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filterPrivacy="1" defaultThemeVersion="124226"/>
  <xr:revisionPtr revIDLastSave="0" documentId="13_ncr:1_{03E0A6B1-643D-7642-80FE-3091F851B3C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F34" i="1" l="1"/>
  <c r="ED34" i="1"/>
  <c r="EB34" i="1"/>
  <c r="DZ34" i="1"/>
  <c r="DX59" i="1" s="1"/>
  <c r="DX34" i="1"/>
  <c r="DW59" i="1" s="1"/>
  <c r="DV34" i="1"/>
  <c r="BG24" i="1"/>
  <c r="BG25" i="1"/>
  <c r="BG26" i="1"/>
  <c r="BG27" i="1"/>
  <c r="BG28" i="1"/>
  <c r="BG29" i="1"/>
  <c r="BG30" i="1"/>
  <c r="BG31" i="1"/>
  <c r="BG32" i="1"/>
  <c r="BG33" i="1"/>
  <c r="BD24" i="1"/>
  <c r="BD25" i="1"/>
  <c r="BD26" i="1"/>
  <c r="BD27" i="1"/>
  <c r="BD28" i="1"/>
  <c r="BD29" i="1"/>
  <c r="BD30" i="1"/>
  <c r="BD31" i="1"/>
  <c r="BD32" i="1"/>
  <c r="BD33" i="1"/>
  <c r="BA24" i="1"/>
  <c r="BA25" i="1"/>
  <c r="BA26" i="1"/>
  <c r="BA27" i="1"/>
  <c r="BA28" i="1"/>
  <c r="BA29" i="1"/>
  <c r="BA30" i="1"/>
  <c r="BA31" i="1"/>
  <c r="BA32" i="1"/>
  <c r="BA33" i="1"/>
  <c r="BJ24" i="1"/>
  <c r="BJ25" i="1"/>
  <c r="BJ26" i="1"/>
  <c r="BJ27" i="1"/>
  <c r="BJ28" i="1"/>
  <c r="BJ29" i="1"/>
  <c r="BJ30" i="1"/>
  <c r="BJ31" i="1"/>
  <c r="BJ32" i="1"/>
  <c r="BJ33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4" i="1"/>
  <c r="EA59" i="1"/>
  <c r="DZ59" i="1"/>
  <c r="DY59" i="1"/>
  <c r="DV59" i="1"/>
  <c r="EB38" i="1"/>
  <c r="DY63" i="1" s="1"/>
  <c r="DV38" i="1"/>
  <c r="DV63" i="1" s="1"/>
  <c r="DX38" i="1" l="1"/>
  <c r="DW63" i="1" s="1"/>
  <c r="DP130" i="1" l="1"/>
  <c r="DP133" i="1"/>
  <c r="DP134" i="1"/>
  <c r="DP136" i="1"/>
  <c r="DP137" i="1"/>
  <c r="DP124" i="1"/>
  <c r="DP125" i="1"/>
  <c r="DP126" i="1"/>
  <c r="DP127" i="1"/>
  <c r="DP128" i="1"/>
  <c r="DP129" i="1"/>
  <c r="DP132" i="1"/>
  <c r="DP131" i="1"/>
  <c r="DP120" i="1"/>
  <c r="DP121" i="1"/>
  <c r="DP122" i="1"/>
  <c r="DP123" i="1"/>
  <c r="DP117" i="1"/>
  <c r="DQ117" i="1"/>
  <c r="DO117" i="1"/>
  <c r="DO116" i="1"/>
  <c r="DO115" i="1"/>
  <c r="DO114" i="1"/>
  <c r="DQ114" i="1"/>
  <c r="DQ115" i="1" s="1"/>
  <c r="DQ116" i="1" s="1"/>
  <c r="ER100" i="1"/>
  <c r="ER101" i="1"/>
  <c r="ER102" i="1"/>
  <c r="ER103" i="1"/>
  <c r="ER104" i="1"/>
  <c r="ER105" i="1"/>
  <c r="ER106" i="1"/>
  <c r="ER107" i="1"/>
  <c r="ER108" i="1"/>
  <c r="ER99" i="1"/>
  <c r="DP114" i="1"/>
  <c r="DP115" i="1" s="1"/>
  <c r="DP116" i="1" s="1"/>
  <c r="EK6" i="1"/>
  <c r="EK7" i="1"/>
  <c r="EK8" i="1"/>
  <c r="EK9" i="1"/>
  <c r="EJ7" i="1"/>
  <c r="EJ8" i="1"/>
  <c r="EJ9" i="1"/>
  <c r="EJ6" i="1"/>
  <c r="DU72" i="1"/>
  <c r="DU73" i="1"/>
  <c r="DU74" i="1"/>
  <c r="DU71" i="1"/>
  <c r="ED71" i="1"/>
  <c r="DW71" i="1"/>
  <c r="EF71" i="1"/>
  <c r="DX71" i="1"/>
  <c r="EG71" i="1"/>
  <c r="DY71" i="1"/>
  <c r="EC71" i="1"/>
  <c r="DZ71" i="1"/>
  <c r="EE71" i="1"/>
  <c r="EA71" i="1"/>
  <c r="EB71" i="1"/>
  <c r="ED72" i="1"/>
  <c r="DW72" i="1"/>
  <c r="EF72" i="1"/>
  <c r="DX72" i="1"/>
  <c r="EG72" i="1"/>
  <c r="DY72" i="1"/>
  <c r="EC72" i="1"/>
  <c r="DZ72" i="1"/>
  <c r="EE72" i="1"/>
  <c r="EA72" i="1"/>
  <c r="EB72" i="1"/>
  <c r="ED73" i="1"/>
  <c r="DW73" i="1"/>
  <c r="EF73" i="1"/>
  <c r="DX73" i="1"/>
  <c r="EG73" i="1"/>
  <c r="DY73" i="1"/>
  <c r="EC73" i="1"/>
  <c r="DZ73" i="1"/>
  <c r="EE73" i="1"/>
  <c r="EA73" i="1"/>
  <c r="EB73" i="1"/>
  <c r="ED74" i="1"/>
  <c r="DW74" i="1"/>
  <c r="EF74" i="1"/>
  <c r="DX74" i="1"/>
  <c r="EG74" i="1"/>
  <c r="DY74" i="1"/>
  <c r="EC74" i="1"/>
  <c r="DZ74" i="1"/>
  <c r="EE74" i="1"/>
  <c r="EA74" i="1"/>
  <c r="EB74" i="1"/>
  <c r="DV72" i="1"/>
  <c r="DV73" i="1"/>
  <c r="DV74" i="1"/>
  <c r="DV71" i="1"/>
  <c r="EE81" i="1"/>
  <c r="EE82" i="1"/>
  <c r="EE83" i="1"/>
  <c r="EE84" i="1"/>
  <c r="EE85" i="1"/>
  <c r="EE86" i="1"/>
  <c r="EE87" i="1"/>
  <c r="EE88" i="1"/>
  <c r="EE89" i="1"/>
  <c r="EE90" i="1"/>
  <c r="EE91" i="1"/>
  <c r="EE92" i="1"/>
  <c r="EE93" i="1"/>
  <c r="EE80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22" i="1"/>
  <c r="EH85" i="1"/>
  <c r="EH86" i="1"/>
  <c r="EH82" i="1"/>
  <c r="EH81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G46" i="1"/>
  <c r="CG47" i="1"/>
  <c r="CG48" i="1"/>
  <c r="CG49" i="1"/>
  <c r="CG50" i="1"/>
  <c r="CG51" i="1"/>
  <c r="CG22" i="1"/>
  <c r="DP139" i="1" l="1"/>
  <c r="DP142" i="1"/>
  <c r="CG19" i="1"/>
  <c r="CL14" i="1"/>
  <c r="EH83" i="1"/>
  <c r="EH84" i="1"/>
  <c r="EI83" i="1" l="1"/>
  <c r="EI82" i="1"/>
  <c r="EI81" i="1"/>
  <c r="EI84" i="1"/>
  <c r="EI85" i="1"/>
  <c r="EI86" i="1"/>
  <c r="EG68" i="1"/>
  <c r="EG69" i="1"/>
  <c r="EG70" i="1"/>
  <c r="EF68" i="1"/>
  <c r="EF69" i="1"/>
  <c r="EF70" i="1"/>
  <c r="EE68" i="1"/>
  <c r="EE69" i="1"/>
  <c r="EE70" i="1"/>
  <c r="ED68" i="1"/>
  <c r="ED69" i="1"/>
  <c r="ED70" i="1"/>
  <c r="EC68" i="1"/>
  <c r="EC69" i="1"/>
  <c r="EC70" i="1"/>
  <c r="EB68" i="1"/>
  <c r="EB69" i="1"/>
  <c r="EB70" i="1"/>
  <c r="EC67" i="1"/>
  <c r="ED67" i="1"/>
  <c r="EE67" i="1"/>
  <c r="EF67" i="1"/>
  <c r="EG67" i="1"/>
  <c r="EB67" i="1"/>
  <c r="DV68" i="1"/>
  <c r="DW68" i="1"/>
  <c r="DX68" i="1"/>
  <c r="DY68" i="1"/>
  <c r="DZ68" i="1"/>
  <c r="EA68" i="1"/>
  <c r="DV69" i="1"/>
  <c r="DW69" i="1"/>
  <c r="DX69" i="1"/>
  <c r="DY69" i="1"/>
  <c r="DZ69" i="1"/>
  <c r="EA69" i="1"/>
  <c r="DV70" i="1"/>
  <c r="DW70" i="1"/>
  <c r="DX70" i="1"/>
  <c r="DY70" i="1"/>
  <c r="DZ70" i="1"/>
  <c r="EA70" i="1"/>
  <c r="DZ67" i="1"/>
  <c r="EA67" i="1"/>
  <c r="DY67" i="1"/>
  <c r="DX67" i="1"/>
  <c r="DW67" i="1"/>
  <c r="DV67" i="1"/>
  <c r="DU70" i="1"/>
  <c r="DU68" i="1"/>
  <c r="DU69" i="1"/>
  <c r="DU67" i="1"/>
  <c r="S160" i="1" l="1"/>
  <c r="S161" i="1" s="1"/>
  <c r="S162" i="1" s="1"/>
  <c r="S137" i="1"/>
  <c r="S138" i="1" s="1"/>
  <c r="S139" i="1" s="1"/>
  <c r="Q132" i="1"/>
  <c r="Q133" i="1" s="1"/>
  <c r="Q134" i="1" s="1"/>
  <c r="Q128" i="1"/>
  <c r="Q129" i="1" s="1"/>
  <c r="Q130" i="1" s="1"/>
  <c r="Q122" i="1"/>
  <c r="Q123" i="1" s="1"/>
  <c r="Q124" i="1" s="1"/>
  <c r="Q118" i="1"/>
  <c r="Q119" i="1" s="1"/>
  <c r="Q120" i="1" s="1"/>
  <c r="Q112" i="1"/>
  <c r="Q113" i="1" s="1"/>
  <c r="Q114" i="1" s="1"/>
  <c r="Q106" i="1"/>
  <c r="Q107" i="1" s="1"/>
  <c r="Q108" i="1" s="1"/>
  <c r="EG66" i="1" l="1"/>
  <c r="EA66" i="1"/>
  <c r="EF66" i="1"/>
  <c r="DZ66" i="1"/>
  <c r="EE66" i="1"/>
  <c r="DY66" i="1"/>
  <c r="ED66" i="1"/>
  <c r="DX66" i="1"/>
  <c r="DW66" i="1"/>
  <c r="DV66" i="1"/>
  <c r="EG65" i="1"/>
  <c r="EA65" i="1"/>
  <c r="EF65" i="1"/>
  <c r="DZ65" i="1"/>
  <c r="EE65" i="1"/>
  <c r="DY65" i="1"/>
  <c r="ED65" i="1"/>
  <c r="DX65" i="1"/>
  <c r="DW65" i="1"/>
  <c r="DV65" i="1"/>
  <c r="EG64" i="1"/>
  <c r="EA64" i="1"/>
  <c r="EF64" i="1"/>
  <c r="DZ64" i="1"/>
  <c r="EE64" i="1"/>
  <c r="DY64" i="1"/>
  <c r="ED64" i="1"/>
  <c r="DX64" i="1"/>
  <c r="DW64" i="1"/>
  <c r="DV64" i="1"/>
  <c r="EG63" i="1"/>
  <c r="EF63" i="1"/>
  <c r="EE63" i="1"/>
  <c r="ED63" i="1"/>
  <c r="EQ105" i="1"/>
  <c r="EQ106" i="1"/>
  <c r="EQ107" i="1"/>
  <c r="EQ108" i="1"/>
  <c r="EQ104" i="1"/>
  <c r="EQ100" i="1"/>
  <c r="EQ101" i="1"/>
  <c r="EQ102" i="1"/>
  <c r="EQ103" i="1"/>
  <c r="EQ99" i="1"/>
  <c r="P48" i="1" l="1"/>
  <c r="P49" i="1"/>
  <c r="BN39" i="1"/>
  <c r="Q102" i="1"/>
  <c r="Q97" i="1"/>
  <c r="Q98" i="1"/>
  <c r="Q99" i="1" s="1"/>
  <c r="Q100" i="1" s="1"/>
  <c r="BL35" i="1" l="1"/>
  <c r="BL36" i="1" s="1"/>
  <c r="BL37" i="1" s="1"/>
  <c r="BK35" i="1"/>
  <c r="BK36" i="1" s="1"/>
  <c r="BK37" i="1" s="1"/>
  <c r="BM15" i="1" l="1"/>
  <c r="BM16" i="1"/>
  <c r="BM17" i="1"/>
  <c r="BM18" i="1"/>
  <c r="BM14" i="1"/>
  <c r="BM5" i="1"/>
  <c r="BM6" i="1"/>
  <c r="BM7" i="1"/>
  <c r="BM8" i="1"/>
  <c r="BM4" i="1"/>
  <c r="EF41" i="1"/>
  <c r="EG39" i="1"/>
  <c r="EG40" i="1"/>
  <c r="EG41" i="1"/>
  <c r="EG38" i="1"/>
  <c r="EE39" i="1"/>
  <c r="EE40" i="1"/>
  <c r="EE41" i="1"/>
  <c r="EE38" i="1"/>
  <c r="EC39" i="1"/>
  <c r="EC40" i="1"/>
  <c r="EC41" i="1"/>
  <c r="EC38" i="1"/>
  <c r="EA39" i="1"/>
  <c r="EA40" i="1"/>
  <c r="EA41" i="1"/>
  <c r="EA38" i="1"/>
  <c r="DY39" i="1"/>
  <c r="DY40" i="1"/>
  <c r="DY41" i="1"/>
  <c r="DY38" i="1"/>
  <c r="DW39" i="1"/>
  <c r="DW40" i="1"/>
  <c r="DW41" i="1"/>
  <c r="DW38" i="1"/>
  <c r="DZ38" i="1"/>
  <c r="DX63" i="1" s="1"/>
  <c r="ED38" i="1"/>
  <c r="DZ63" i="1" s="1"/>
  <c r="EF38" i="1"/>
  <c r="EA63" i="1" s="1"/>
  <c r="DX39" i="1"/>
  <c r="DZ39" i="1"/>
  <c r="EB39" i="1"/>
  <c r="ED39" i="1"/>
  <c r="EF39" i="1"/>
  <c r="DX40" i="1"/>
  <c r="DZ40" i="1"/>
  <c r="EB40" i="1"/>
  <c r="ED40" i="1"/>
  <c r="EF40" i="1"/>
  <c r="DX41" i="1"/>
  <c r="DZ41" i="1"/>
  <c r="EB41" i="1"/>
  <c r="ED41" i="1"/>
  <c r="DV39" i="1"/>
  <c r="DV40" i="1"/>
  <c r="DV41" i="1"/>
  <c r="EB9" i="1"/>
  <c r="EB7" i="1"/>
  <c r="EB8" i="1"/>
  <c r="EB6" i="1"/>
  <c r="CS55" i="1" l="1"/>
  <c r="CS54" i="1"/>
  <c r="CS53" i="1"/>
  <c r="CS52" i="1"/>
  <c r="DQ48" i="1"/>
  <c r="DI55" i="1" s="1"/>
  <c r="DP48" i="1"/>
  <c r="DH55" i="1" s="1"/>
  <c r="DN48" i="1"/>
  <c r="DG55" i="1" s="1"/>
  <c r="DM48" i="1"/>
  <c r="DF55" i="1" s="1"/>
  <c r="DK48" i="1"/>
  <c r="DE55" i="1" s="1"/>
  <c r="DJ48" i="1"/>
  <c r="DD55" i="1" s="1"/>
  <c r="DH48" i="1"/>
  <c r="DC55" i="1" s="1"/>
  <c r="DG48" i="1"/>
  <c r="DB55" i="1" s="1"/>
  <c r="DE48" i="1"/>
  <c r="DA55" i="1" s="1"/>
  <c r="DD48" i="1"/>
  <c r="CZ55" i="1" s="1"/>
  <c r="DB48" i="1"/>
  <c r="CY55" i="1" s="1"/>
  <c r="DA48" i="1"/>
  <c r="CX55" i="1" s="1"/>
  <c r="CY48" i="1"/>
  <c r="CW55" i="1" s="1"/>
  <c r="CX48" i="1"/>
  <c r="CV55" i="1" s="1"/>
  <c r="CV48" i="1"/>
  <c r="CU55" i="1" s="1"/>
  <c r="CU48" i="1"/>
  <c r="CT55" i="1" s="1"/>
  <c r="DQ45" i="1"/>
  <c r="DI54" i="1" s="1"/>
  <c r="DP45" i="1"/>
  <c r="DH54" i="1" s="1"/>
  <c r="DN45" i="1"/>
  <c r="DG54" i="1" s="1"/>
  <c r="DM45" i="1"/>
  <c r="DF54" i="1" s="1"/>
  <c r="DK45" i="1"/>
  <c r="DE54" i="1" s="1"/>
  <c r="DJ45" i="1"/>
  <c r="DD54" i="1" s="1"/>
  <c r="DH45" i="1"/>
  <c r="DC54" i="1" s="1"/>
  <c r="DG45" i="1"/>
  <c r="DB54" i="1" s="1"/>
  <c r="DE45" i="1"/>
  <c r="DA54" i="1" s="1"/>
  <c r="DD45" i="1"/>
  <c r="CZ54" i="1" s="1"/>
  <c r="DB45" i="1"/>
  <c r="CY54" i="1" s="1"/>
  <c r="DA45" i="1"/>
  <c r="CX54" i="1" s="1"/>
  <c r="CY45" i="1"/>
  <c r="CW54" i="1" s="1"/>
  <c r="CX45" i="1"/>
  <c r="CV54" i="1" s="1"/>
  <c r="CV45" i="1"/>
  <c r="CU54" i="1" s="1"/>
  <c r="CU45" i="1"/>
  <c r="CT54" i="1" s="1"/>
  <c r="DQ42" i="1"/>
  <c r="DI53" i="1" s="1"/>
  <c r="DP42" i="1"/>
  <c r="DH53" i="1" s="1"/>
  <c r="DN42" i="1"/>
  <c r="DG53" i="1" s="1"/>
  <c r="DM42" i="1"/>
  <c r="DF53" i="1" s="1"/>
  <c r="DK42" i="1"/>
  <c r="DE53" i="1" s="1"/>
  <c r="DJ42" i="1"/>
  <c r="DD53" i="1" s="1"/>
  <c r="DH42" i="1"/>
  <c r="DC53" i="1" s="1"/>
  <c r="DG42" i="1"/>
  <c r="DB53" i="1" s="1"/>
  <c r="DE42" i="1"/>
  <c r="DA53" i="1" s="1"/>
  <c r="DD42" i="1"/>
  <c r="CZ53" i="1" s="1"/>
  <c r="DB42" i="1"/>
  <c r="CY53" i="1" s="1"/>
  <c r="DA42" i="1"/>
  <c r="CX53" i="1" s="1"/>
  <c r="CY42" i="1"/>
  <c r="CW53" i="1" s="1"/>
  <c r="CX42" i="1"/>
  <c r="CV53" i="1" s="1"/>
  <c r="CV42" i="1"/>
  <c r="CU53" i="1" s="1"/>
  <c r="CU42" i="1"/>
  <c r="CT53" i="1" s="1"/>
  <c r="DQ39" i="1"/>
  <c r="DI52" i="1" s="1"/>
  <c r="DP39" i="1"/>
  <c r="DH52" i="1" s="1"/>
  <c r="DN39" i="1"/>
  <c r="DG52" i="1" s="1"/>
  <c r="DM39" i="1"/>
  <c r="DF52" i="1" s="1"/>
  <c r="DK39" i="1"/>
  <c r="DE52" i="1" s="1"/>
  <c r="DJ39" i="1"/>
  <c r="DD52" i="1" s="1"/>
  <c r="DH39" i="1"/>
  <c r="DC52" i="1" s="1"/>
  <c r="DG39" i="1"/>
  <c r="DB52" i="1" s="1"/>
  <c r="DE39" i="1"/>
  <c r="DA52" i="1" s="1"/>
  <c r="DD39" i="1"/>
  <c r="CZ52" i="1" s="1"/>
  <c r="DB39" i="1"/>
  <c r="CY52" i="1" s="1"/>
  <c r="DA39" i="1"/>
  <c r="CX52" i="1" s="1"/>
  <c r="CY39" i="1"/>
  <c r="CW52" i="1" s="1"/>
  <c r="CX39" i="1"/>
  <c r="CV52" i="1" s="1"/>
  <c r="CV39" i="1"/>
  <c r="CU52" i="1" s="1"/>
  <c r="CU39" i="1"/>
  <c r="CT52" i="1" s="1"/>
  <c r="CS25" i="1"/>
  <c r="CS24" i="1"/>
  <c r="CS23" i="1"/>
  <c r="CS22" i="1"/>
  <c r="DQ18" i="1"/>
  <c r="DI25" i="1" s="1"/>
  <c r="DP18" i="1"/>
  <c r="DH25" i="1" s="1"/>
  <c r="DN18" i="1"/>
  <c r="DG25" i="1" s="1"/>
  <c r="DM18" i="1"/>
  <c r="DF25" i="1" s="1"/>
  <c r="DK18" i="1"/>
  <c r="DE25" i="1" s="1"/>
  <c r="DJ18" i="1"/>
  <c r="DD25" i="1" s="1"/>
  <c r="DH18" i="1"/>
  <c r="DC25" i="1" s="1"/>
  <c r="DG18" i="1"/>
  <c r="DB25" i="1" s="1"/>
  <c r="DE18" i="1"/>
  <c r="DA25" i="1" s="1"/>
  <c r="DD18" i="1"/>
  <c r="CZ25" i="1" s="1"/>
  <c r="DB18" i="1"/>
  <c r="CY25" i="1" s="1"/>
  <c r="DA18" i="1"/>
  <c r="CX25" i="1" s="1"/>
  <c r="CY18" i="1"/>
  <c r="CW25" i="1" s="1"/>
  <c r="CX18" i="1"/>
  <c r="CV25" i="1" s="1"/>
  <c r="CV18" i="1"/>
  <c r="CU25" i="1" s="1"/>
  <c r="CU18" i="1"/>
  <c r="CT25" i="1" s="1"/>
  <c r="DQ15" i="1"/>
  <c r="DI24" i="1" s="1"/>
  <c r="DP15" i="1"/>
  <c r="DH24" i="1" s="1"/>
  <c r="DN15" i="1"/>
  <c r="DG24" i="1" s="1"/>
  <c r="DM15" i="1"/>
  <c r="DF24" i="1" s="1"/>
  <c r="DK15" i="1"/>
  <c r="DE24" i="1" s="1"/>
  <c r="DJ15" i="1"/>
  <c r="DD24" i="1" s="1"/>
  <c r="DH15" i="1"/>
  <c r="DC24" i="1" s="1"/>
  <c r="DG15" i="1"/>
  <c r="DB24" i="1" s="1"/>
  <c r="DE15" i="1"/>
  <c r="DA24" i="1" s="1"/>
  <c r="DD15" i="1"/>
  <c r="CZ24" i="1" s="1"/>
  <c r="DB15" i="1"/>
  <c r="CY24" i="1" s="1"/>
  <c r="DA15" i="1"/>
  <c r="CX24" i="1" s="1"/>
  <c r="CY15" i="1"/>
  <c r="CW24" i="1" s="1"/>
  <c r="CX15" i="1"/>
  <c r="CV24" i="1" s="1"/>
  <c r="CV15" i="1"/>
  <c r="CU24" i="1" s="1"/>
  <c r="CU15" i="1"/>
  <c r="CT24" i="1" s="1"/>
  <c r="DQ12" i="1"/>
  <c r="DI23" i="1" s="1"/>
  <c r="DP12" i="1"/>
  <c r="DH23" i="1" s="1"/>
  <c r="DN12" i="1"/>
  <c r="DG23" i="1" s="1"/>
  <c r="DM12" i="1"/>
  <c r="DF23" i="1" s="1"/>
  <c r="DK12" i="1"/>
  <c r="DE23" i="1" s="1"/>
  <c r="DJ12" i="1"/>
  <c r="DD23" i="1" s="1"/>
  <c r="DH12" i="1"/>
  <c r="DC23" i="1" s="1"/>
  <c r="DG12" i="1"/>
  <c r="DB23" i="1" s="1"/>
  <c r="DE12" i="1"/>
  <c r="DA23" i="1" s="1"/>
  <c r="DD12" i="1"/>
  <c r="CZ23" i="1" s="1"/>
  <c r="DB12" i="1"/>
  <c r="CY23" i="1" s="1"/>
  <c r="DA12" i="1"/>
  <c r="CX23" i="1" s="1"/>
  <c r="CY12" i="1"/>
  <c r="CW23" i="1" s="1"/>
  <c r="CX12" i="1"/>
  <c r="CV23" i="1" s="1"/>
  <c r="CV12" i="1"/>
  <c r="CU23" i="1" s="1"/>
  <c r="CU12" i="1"/>
  <c r="CT23" i="1" s="1"/>
  <c r="DQ9" i="1"/>
  <c r="DI22" i="1" s="1"/>
  <c r="DP9" i="1"/>
  <c r="DH22" i="1" s="1"/>
  <c r="DN9" i="1"/>
  <c r="DG22" i="1" s="1"/>
  <c r="DM9" i="1"/>
  <c r="DF22" i="1" s="1"/>
  <c r="DK9" i="1"/>
  <c r="DE22" i="1" s="1"/>
  <c r="DJ9" i="1"/>
  <c r="DD22" i="1" s="1"/>
  <c r="DH9" i="1"/>
  <c r="DC22" i="1" s="1"/>
  <c r="DG9" i="1"/>
  <c r="DB22" i="1" s="1"/>
  <c r="DE9" i="1"/>
  <c r="DA22" i="1" s="1"/>
  <c r="DD9" i="1"/>
  <c r="CZ22" i="1" s="1"/>
  <c r="DB9" i="1"/>
  <c r="CY22" i="1" s="1"/>
  <c r="DA9" i="1"/>
  <c r="CX22" i="1" s="1"/>
  <c r="CY9" i="1"/>
  <c r="CW22" i="1" s="1"/>
  <c r="CX9" i="1"/>
  <c r="CV22" i="1" s="1"/>
  <c r="CV9" i="1"/>
  <c r="CU22" i="1" s="1"/>
  <c r="CU9" i="1"/>
  <c r="CT22" i="1" s="1"/>
  <c r="CH51" i="1" l="1"/>
  <c r="CH50" i="1"/>
  <c r="CH49" i="1"/>
  <c r="CH48" i="1"/>
  <c r="CH47" i="1"/>
  <c r="CH46" i="1"/>
  <c r="CH45" i="1"/>
  <c r="CH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H24" i="1"/>
  <c r="CH23" i="1"/>
  <c r="CH22" i="1"/>
  <c r="CL17" i="1"/>
  <c r="CL16" i="1"/>
  <c r="CN13" i="1"/>
  <c r="CL13" i="1"/>
  <c r="CN12" i="1"/>
  <c r="CL12" i="1"/>
  <c r="CN11" i="1"/>
  <c r="CL11" i="1"/>
  <c r="CN10" i="1"/>
  <c r="CL10" i="1"/>
  <c r="CN9" i="1"/>
  <c r="CL9" i="1"/>
  <c r="CN8" i="1"/>
  <c r="CL8" i="1"/>
  <c r="CN7" i="1"/>
  <c r="CL7" i="1"/>
  <c r="CN6" i="1"/>
  <c r="CL6" i="1"/>
  <c r="CN5" i="1"/>
  <c r="CL5" i="1"/>
  <c r="CN4" i="1"/>
  <c r="CL4" i="1"/>
  <c r="BG20" i="1"/>
  <c r="BG21" i="1"/>
  <c r="BG22" i="1"/>
  <c r="BG23" i="1"/>
  <c r="BG19" i="1"/>
  <c r="BG15" i="1"/>
  <c r="BG16" i="1"/>
  <c r="BG17" i="1"/>
  <c r="BG18" i="1"/>
  <c r="BG14" i="1"/>
  <c r="BG10" i="1"/>
  <c r="BG11" i="1"/>
  <c r="BG12" i="1"/>
  <c r="BG13" i="1"/>
  <c r="BG9" i="1"/>
  <c r="BG5" i="1"/>
  <c r="BG6" i="1"/>
  <c r="BG7" i="1"/>
  <c r="BG8" i="1"/>
  <c r="BG4" i="1"/>
  <c r="BD20" i="1"/>
  <c r="BD21" i="1"/>
  <c r="BD22" i="1"/>
  <c r="BD23" i="1"/>
  <c r="BD19" i="1"/>
  <c r="BD15" i="1"/>
  <c r="BD16" i="1"/>
  <c r="BD17" i="1"/>
  <c r="BD18" i="1"/>
  <c r="BD14" i="1"/>
  <c r="BD10" i="1"/>
  <c r="BD11" i="1"/>
  <c r="BD12" i="1"/>
  <c r="BD13" i="1"/>
  <c r="BD9" i="1"/>
  <c r="BD5" i="1"/>
  <c r="BD6" i="1"/>
  <c r="BD7" i="1"/>
  <c r="BD8" i="1"/>
  <c r="BD4" i="1"/>
  <c r="BA20" i="1"/>
  <c r="BA21" i="1"/>
  <c r="BA22" i="1"/>
  <c r="BA23" i="1"/>
  <c r="BA19" i="1"/>
  <c r="BA15" i="1"/>
  <c r="BA16" i="1"/>
  <c r="BA17" i="1"/>
  <c r="BA18" i="1"/>
  <c r="BA14" i="1"/>
  <c r="BA10" i="1"/>
  <c r="BA11" i="1"/>
  <c r="BA12" i="1"/>
  <c r="BA13" i="1"/>
  <c r="BA9" i="1"/>
  <c r="BA5" i="1"/>
  <c r="BA6" i="1"/>
  <c r="BA7" i="1"/>
  <c r="BA8" i="1"/>
  <c r="BA4" i="1"/>
  <c r="AA41" i="1"/>
  <c r="AG41" i="1"/>
  <c r="Y8" i="1" l="1"/>
  <c r="X8" i="1"/>
  <c r="BN4" i="1" s="1"/>
  <c r="BU20" i="1"/>
  <c r="BU21" i="1"/>
  <c r="BU22" i="1"/>
  <c r="BU23" i="1"/>
  <c r="BU19" i="1"/>
  <c r="BU15" i="1"/>
  <c r="BU16" i="1"/>
  <c r="BU17" i="1"/>
  <c r="BU18" i="1"/>
  <c r="BU14" i="1"/>
  <c r="BU10" i="1"/>
  <c r="BU11" i="1"/>
  <c r="BU12" i="1"/>
  <c r="BU13" i="1"/>
  <c r="BU9" i="1"/>
  <c r="BU5" i="1"/>
  <c r="BU6" i="1"/>
  <c r="BU7" i="1"/>
  <c r="BU8" i="1"/>
  <c r="BU4" i="1"/>
  <c r="U59" i="1" l="1"/>
  <c r="BN21" i="1" s="1"/>
  <c r="U56" i="1"/>
  <c r="BN20" i="1" s="1"/>
  <c r="BP25" i="1"/>
  <c r="BP26" i="1"/>
  <c r="BP27" i="1"/>
  <c r="BP28" i="1"/>
  <c r="BP24" i="1"/>
  <c r="BP15" i="1"/>
  <c r="BP16" i="1"/>
  <c r="BP17" i="1"/>
  <c r="BP18" i="1"/>
  <c r="BP14" i="1"/>
  <c r="BP10" i="1"/>
  <c r="BP11" i="1"/>
  <c r="BP12" i="1"/>
  <c r="BP13" i="1"/>
  <c r="BP9" i="1"/>
  <c r="BP7" i="1"/>
  <c r="BP8" i="1"/>
  <c r="BP4" i="1"/>
  <c r="AQ59" i="1" l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58" i="1"/>
  <c r="U41" i="1" l="1"/>
  <c r="AM41" i="1" s="1"/>
  <c r="X14" i="1"/>
  <c r="BN6" i="1" s="1"/>
  <c r="BP6" i="1" s="1"/>
  <c r="X11" i="1"/>
  <c r="BN5" i="1" s="1"/>
  <c r="BO5" i="1"/>
  <c r="BP5" i="1" l="1"/>
  <c r="BN35" i="1"/>
  <c r="BM25" i="1"/>
  <c r="BM26" i="1"/>
  <c r="BM27" i="1"/>
  <c r="BM28" i="1"/>
  <c r="BM24" i="1"/>
  <c r="BM20" i="1"/>
  <c r="BM21" i="1"/>
  <c r="BM22" i="1"/>
  <c r="BM23" i="1"/>
  <c r="BM19" i="1"/>
  <c r="BM10" i="1"/>
  <c r="BM11" i="1"/>
  <c r="BM12" i="1"/>
  <c r="BM13" i="1"/>
  <c r="BM9" i="1"/>
  <c r="AR41" i="1"/>
  <c r="AT41" i="1" s="1"/>
  <c r="AR50" i="1"/>
  <c r="AV50" i="1" s="1"/>
  <c r="AT45" i="1"/>
  <c r="AT47" i="1"/>
  <c r="AR48" i="1"/>
  <c r="AT48" i="1" s="1"/>
  <c r="AR49" i="1"/>
  <c r="AX49" i="1" s="1"/>
  <c r="AR51" i="1"/>
  <c r="AV51" i="1" s="1"/>
  <c r="AR52" i="1"/>
  <c r="AV52" i="1" s="1"/>
  <c r="AR42" i="1"/>
  <c r="AV42" i="1" s="1"/>
  <c r="AR43" i="1"/>
  <c r="AV43" i="1" s="1"/>
  <c r="AR44" i="1"/>
  <c r="AT44" i="1" s="1"/>
  <c r="AR40" i="1"/>
  <c r="AT40" i="1" s="1"/>
  <c r="AT52" i="1" l="1"/>
  <c r="AX52" i="1"/>
  <c r="AV48" i="1"/>
  <c r="AX48" i="1"/>
  <c r="AX51" i="1"/>
  <c r="AV40" i="1"/>
  <c r="AT51" i="1"/>
  <c r="AX50" i="1"/>
  <c r="AV49" i="1"/>
  <c r="AT49" i="1"/>
  <c r="AV44" i="1"/>
  <c r="AV41" i="1"/>
  <c r="AR54" i="1"/>
  <c r="AT50" i="1"/>
  <c r="AT43" i="1"/>
  <c r="AR46" i="1"/>
  <c r="AU44" i="1" s="1"/>
  <c r="AT42" i="1"/>
  <c r="AL9" i="1"/>
  <c r="AL10" i="1"/>
  <c r="AL12" i="1"/>
  <c r="AL13" i="1"/>
  <c r="AL15" i="1"/>
  <c r="AL16" i="1"/>
  <c r="AL18" i="1"/>
  <c r="AL19" i="1"/>
  <c r="AL21" i="1"/>
  <c r="AL22" i="1"/>
  <c r="AL24" i="1"/>
  <c r="AL25" i="1"/>
  <c r="AL27" i="1"/>
  <c r="AL28" i="1"/>
  <c r="AL30" i="1"/>
  <c r="AL31" i="1"/>
  <c r="AL33" i="1"/>
  <c r="AL34" i="1"/>
  <c r="AL36" i="1"/>
  <c r="AL37" i="1"/>
  <c r="AL39" i="1"/>
  <c r="AL40" i="1"/>
  <c r="AL42" i="1"/>
  <c r="AL43" i="1"/>
  <c r="AL45" i="1"/>
  <c r="AL46" i="1"/>
  <c r="AL48" i="1"/>
  <c r="AL49" i="1"/>
  <c r="AL51" i="1"/>
  <c r="AL52" i="1"/>
  <c r="AL54" i="1"/>
  <c r="AL55" i="1"/>
  <c r="AL57" i="1"/>
  <c r="AL58" i="1"/>
  <c r="AL60" i="1"/>
  <c r="AL61" i="1"/>
  <c r="AL63" i="1"/>
  <c r="AL64" i="1"/>
  <c r="AL66" i="1"/>
  <c r="AL67" i="1"/>
  <c r="AL69" i="1"/>
  <c r="AL70" i="1"/>
  <c r="AL72" i="1"/>
  <c r="AL73" i="1"/>
  <c r="AL75" i="1"/>
  <c r="AL76" i="1"/>
  <c r="AL78" i="1"/>
  <c r="AL79" i="1"/>
  <c r="AL81" i="1"/>
  <c r="AL82" i="1"/>
  <c r="AL84" i="1"/>
  <c r="AL85" i="1"/>
  <c r="AL87" i="1"/>
  <c r="AL88" i="1"/>
  <c r="AL90" i="1"/>
  <c r="AL91" i="1"/>
  <c r="AL93" i="1"/>
  <c r="AL94" i="1"/>
  <c r="AS44" i="1" l="1"/>
  <c r="AS43" i="1"/>
  <c r="AZ42" i="1"/>
  <c r="AW42" i="1"/>
  <c r="AY43" i="1"/>
  <c r="AW40" i="1"/>
  <c r="AY41" i="1"/>
  <c r="AY42" i="1"/>
  <c r="AY44" i="1"/>
  <c r="AY40" i="1"/>
  <c r="AY49" i="1"/>
  <c r="AW51" i="1"/>
  <c r="AY52" i="1"/>
  <c r="AY48" i="1"/>
  <c r="AS48" i="1"/>
  <c r="AW49" i="1"/>
  <c r="AW50" i="1"/>
  <c r="AY50" i="1"/>
  <c r="AW52" i="1"/>
  <c r="AY51" i="1"/>
  <c r="AW48" i="1"/>
  <c r="AS41" i="1"/>
  <c r="AU41" i="1"/>
  <c r="AX42" i="1"/>
  <c r="AU40" i="1"/>
  <c r="AW44" i="1"/>
  <c r="AX43" i="1"/>
  <c r="AW41" i="1"/>
  <c r="AX44" i="1"/>
  <c r="AS40" i="1"/>
  <c r="AX41" i="1"/>
  <c r="AX40" i="1"/>
  <c r="AW43" i="1"/>
  <c r="AU43" i="1"/>
  <c r="AS46" i="1"/>
  <c r="AT46" i="1"/>
  <c r="AS47" i="1"/>
  <c r="AS45" i="1"/>
  <c r="AU42" i="1"/>
  <c r="AS42" i="1"/>
  <c r="AU51" i="1"/>
  <c r="AS50" i="1"/>
  <c r="AU52" i="1"/>
  <c r="AS51" i="1"/>
  <c r="AU49" i="1"/>
  <c r="AU48" i="1"/>
  <c r="AS52" i="1"/>
  <c r="AU50" i="1"/>
  <c r="AS49" i="1"/>
  <c r="BI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4" i="1"/>
  <c r="BH5" i="1" l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4" i="1"/>
  <c r="L23" i="1"/>
  <c r="S92" i="1"/>
  <c r="R92" i="1"/>
  <c r="S95" i="1"/>
  <c r="R95" i="1"/>
  <c r="S89" i="1"/>
  <c r="R89" i="1"/>
  <c r="S86" i="1"/>
  <c r="R86" i="1"/>
  <c r="S83" i="1"/>
  <c r="R83" i="1"/>
  <c r="P89" i="1"/>
  <c r="O89" i="1"/>
  <c r="P77" i="1"/>
  <c r="O77" i="1"/>
  <c r="P74" i="1"/>
  <c r="O74" i="1"/>
  <c r="P62" i="1"/>
  <c r="O62" i="1"/>
  <c r="P56" i="1"/>
  <c r="O56" i="1"/>
  <c r="P53" i="1"/>
  <c r="O53" i="1"/>
  <c r="P44" i="1"/>
  <c r="O44" i="1"/>
  <c r="P38" i="1"/>
  <c r="O38" i="1"/>
  <c r="P23" i="1"/>
  <c r="O23" i="1"/>
  <c r="P17" i="1"/>
  <c r="O17" i="1"/>
  <c r="P11" i="1"/>
  <c r="O11" i="1"/>
  <c r="P95" i="1"/>
  <c r="O95" i="1"/>
  <c r="P92" i="1"/>
  <c r="O92" i="1"/>
  <c r="P86" i="1"/>
  <c r="O86" i="1"/>
  <c r="P83" i="1"/>
  <c r="O83" i="1"/>
  <c r="P80" i="1"/>
  <c r="O80" i="1"/>
  <c r="P71" i="1"/>
  <c r="O71" i="1"/>
  <c r="P68" i="1"/>
  <c r="O68" i="1"/>
  <c r="P65" i="1"/>
  <c r="O65" i="1"/>
  <c r="P59" i="1"/>
  <c r="O59" i="1"/>
  <c r="P50" i="1"/>
  <c r="O50" i="1"/>
  <c r="P47" i="1"/>
  <c r="O47" i="1"/>
  <c r="P41" i="1"/>
  <c r="O41" i="1"/>
  <c r="P35" i="1"/>
  <c r="O35" i="1"/>
  <c r="P32" i="1"/>
  <c r="O32" i="1"/>
  <c r="P29" i="1"/>
  <c r="O29" i="1"/>
  <c r="P26" i="1"/>
  <c r="O26" i="1"/>
  <c r="P20" i="1"/>
  <c r="O20" i="1"/>
  <c r="P14" i="1"/>
  <c r="O14" i="1"/>
  <c r="P8" i="1"/>
  <c r="O8" i="1"/>
  <c r="M86" i="1"/>
  <c r="L86" i="1"/>
  <c r="M80" i="1"/>
  <c r="L80" i="1"/>
  <c r="M74" i="1"/>
  <c r="L74" i="1"/>
  <c r="M62" i="1"/>
  <c r="L62" i="1"/>
  <c r="M56" i="1"/>
  <c r="L56" i="1"/>
  <c r="M47" i="1"/>
  <c r="L47" i="1"/>
  <c r="M35" i="1"/>
  <c r="L35" i="1"/>
  <c r="M29" i="1"/>
  <c r="L29" i="1"/>
  <c r="M20" i="1"/>
  <c r="L20" i="1"/>
  <c r="M95" i="1"/>
  <c r="L95" i="1"/>
  <c r="M92" i="1"/>
  <c r="L92" i="1"/>
  <c r="M89" i="1"/>
  <c r="L89" i="1"/>
  <c r="M83" i="1"/>
  <c r="L83" i="1"/>
  <c r="M77" i="1"/>
  <c r="L77" i="1"/>
  <c r="M71" i="1"/>
  <c r="L71" i="1"/>
  <c r="M68" i="1"/>
  <c r="L68" i="1"/>
  <c r="M65" i="1"/>
  <c r="L65" i="1"/>
  <c r="M59" i="1"/>
  <c r="L59" i="1"/>
  <c r="M53" i="1"/>
  <c r="L53" i="1"/>
  <c r="M50" i="1"/>
  <c r="L50" i="1"/>
  <c r="M44" i="1"/>
  <c r="L44" i="1"/>
  <c r="M41" i="1"/>
  <c r="L41" i="1"/>
  <c r="M38" i="1"/>
  <c r="L38" i="1"/>
  <c r="M32" i="1"/>
  <c r="L32" i="1"/>
  <c r="M26" i="1"/>
  <c r="L26" i="1"/>
  <c r="M23" i="1"/>
  <c r="M17" i="1"/>
  <c r="L17" i="1"/>
  <c r="M14" i="1"/>
  <c r="L14" i="1"/>
  <c r="M11" i="1"/>
  <c r="L11" i="1"/>
  <c r="M8" i="1"/>
  <c r="L8" i="1"/>
  <c r="AO4" i="1"/>
  <c r="AP4" i="1"/>
  <c r="AX4" i="1"/>
  <c r="AX5" i="1"/>
  <c r="AX6" i="1"/>
  <c r="AX7" i="1"/>
  <c r="AX8" i="1"/>
  <c r="AO29" i="1"/>
  <c r="AO24" i="1"/>
  <c r="AO19" i="1"/>
  <c r="AO14" i="1"/>
  <c r="AO9" i="1"/>
  <c r="AP24" i="1"/>
  <c r="AP29" i="1"/>
  <c r="AP19" i="1"/>
  <c r="AP14" i="1"/>
  <c r="AP9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S71" i="1"/>
  <c r="R71" i="1"/>
  <c r="S62" i="1"/>
  <c r="R62" i="1"/>
  <c r="S65" i="1"/>
  <c r="R65" i="1"/>
  <c r="S50" i="1"/>
  <c r="R50" i="1"/>
  <c r="S35" i="1"/>
  <c r="R35" i="1"/>
  <c r="S23" i="1"/>
  <c r="R23" i="1"/>
  <c r="S80" i="1"/>
  <c r="R80" i="1"/>
  <c r="S77" i="1"/>
  <c r="R77" i="1"/>
  <c r="S74" i="1"/>
  <c r="R74" i="1"/>
  <c r="S68" i="1"/>
  <c r="R68" i="1"/>
  <c r="S59" i="1"/>
  <c r="R59" i="1"/>
  <c r="S56" i="1"/>
  <c r="R56" i="1"/>
  <c r="S53" i="1"/>
  <c r="R53" i="1"/>
  <c r="S47" i="1"/>
  <c r="R47" i="1"/>
  <c r="S44" i="1"/>
  <c r="R44" i="1"/>
  <c r="S41" i="1"/>
  <c r="R41" i="1"/>
  <c r="S38" i="1"/>
  <c r="R38" i="1"/>
  <c r="S32" i="1"/>
  <c r="R32" i="1"/>
  <c r="S29" i="1"/>
  <c r="R29" i="1"/>
  <c r="S26" i="1"/>
  <c r="R26" i="1"/>
  <c r="S20" i="1"/>
  <c r="R20" i="1"/>
  <c r="S17" i="1"/>
  <c r="R17" i="1"/>
  <c r="S14" i="1"/>
  <c r="R14" i="1"/>
  <c r="S11" i="1"/>
  <c r="R11" i="1"/>
  <c r="S8" i="1"/>
  <c r="R8" i="1"/>
  <c r="AH89" i="1"/>
  <c r="AG89" i="1"/>
  <c r="AH80" i="1"/>
  <c r="AG80" i="1"/>
  <c r="AH71" i="1"/>
  <c r="AG71" i="1"/>
  <c r="AH65" i="1"/>
  <c r="AG65" i="1"/>
  <c r="AH62" i="1"/>
  <c r="AG62" i="1"/>
  <c r="AH56" i="1"/>
  <c r="AG56" i="1"/>
  <c r="AH47" i="1"/>
  <c r="AG47" i="1"/>
  <c r="AH38" i="1"/>
  <c r="AG38" i="1"/>
  <c r="AH29" i="1"/>
  <c r="AG29" i="1"/>
  <c r="AH17" i="1"/>
  <c r="AG17" i="1"/>
  <c r="AH95" i="1"/>
  <c r="AG95" i="1"/>
  <c r="AH92" i="1"/>
  <c r="AG92" i="1"/>
  <c r="AH86" i="1"/>
  <c r="AG86" i="1"/>
  <c r="AH83" i="1"/>
  <c r="AG83" i="1"/>
  <c r="AH77" i="1"/>
  <c r="AG77" i="1"/>
  <c r="AH74" i="1"/>
  <c r="AG74" i="1"/>
  <c r="AH68" i="1"/>
  <c r="AG68" i="1"/>
  <c r="AH59" i="1"/>
  <c r="AG59" i="1"/>
  <c r="AH50" i="1"/>
  <c r="AG50" i="1"/>
  <c r="AH53" i="1"/>
  <c r="AG53" i="1"/>
  <c r="AH41" i="1"/>
  <c r="AH44" i="1"/>
  <c r="AG44" i="1"/>
  <c r="AH35" i="1"/>
  <c r="AG35" i="1"/>
  <c r="AH32" i="1"/>
  <c r="AG32" i="1"/>
  <c r="AH26" i="1"/>
  <c r="AG26" i="1"/>
  <c r="AH23" i="1"/>
  <c r="AG23" i="1"/>
  <c r="AH20" i="1"/>
  <c r="AG20" i="1"/>
  <c r="AH14" i="1"/>
  <c r="AG14" i="1"/>
  <c r="AH11" i="1"/>
  <c r="AG11" i="1"/>
  <c r="AH8" i="1"/>
  <c r="AG8" i="1"/>
  <c r="AA92" i="1"/>
  <c r="AB92" i="1"/>
  <c r="AB83" i="1"/>
  <c r="AA83" i="1"/>
  <c r="AB77" i="1"/>
  <c r="AA77" i="1"/>
  <c r="AB62" i="1"/>
  <c r="AA62" i="1"/>
  <c r="AB53" i="1"/>
  <c r="AA53" i="1"/>
  <c r="AB47" i="1"/>
  <c r="AA47" i="1"/>
  <c r="AB44" i="1"/>
  <c r="AA44" i="1"/>
  <c r="AB35" i="1"/>
  <c r="AA35" i="1"/>
  <c r="AB29" i="1"/>
  <c r="AA29" i="1"/>
  <c r="AB23" i="1"/>
  <c r="AA23" i="1"/>
  <c r="AB11" i="1"/>
  <c r="AA11" i="1"/>
  <c r="AB95" i="1"/>
  <c r="AA95" i="1"/>
  <c r="AB89" i="1"/>
  <c r="AA89" i="1"/>
  <c r="AB86" i="1"/>
  <c r="AA86" i="1"/>
  <c r="AB80" i="1"/>
  <c r="AA80" i="1"/>
  <c r="AB74" i="1"/>
  <c r="AA74" i="1"/>
  <c r="AB71" i="1"/>
  <c r="AA71" i="1"/>
  <c r="AB68" i="1"/>
  <c r="AA68" i="1"/>
  <c r="AB65" i="1"/>
  <c r="AA65" i="1"/>
  <c r="AB59" i="1"/>
  <c r="AA59" i="1"/>
  <c r="AM59" i="1" s="1"/>
  <c r="AB56" i="1"/>
  <c r="AA56" i="1"/>
  <c r="AM56" i="1" s="1"/>
  <c r="AB50" i="1"/>
  <c r="AA50" i="1"/>
  <c r="AB41" i="1"/>
  <c r="AL41" i="1"/>
  <c r="AB38" i="1"/>
  <c r="AA38" i="1"/>
  <c r="AB32" i="1"/>
  <c r="AA32" i="1"/>
  <c r="AB26" i="1"/>
  <c r="AA26" i="1"/>
  <c r="AB20" i="1"/>
  <c r="AA20" i="1"/>
  <c r="AB17" i="1"/>
  <c r="AA17" i="1"/>
  <c r="AB14" i="1"/>
  <c r="AA14" i="1"/>
  <c r="AB8" i="1"/>
  <c r="AA8" i="1"/>
  <c r="V80" i="1"/>
  <c r="U80" i="1"/>
  <c r="V71" i="1"/>
  <c r="U71" i="1"/>
  <c r="V68" i="1"/>
  <c r="U68" i="1"/>
  <c r="V56" i="1"/>
  <c r="V50" i="1"/>
  <c r="U50" i="1"/>
  <c r="V38" i="1"/>
  <c r="U38" i="1"/>
  <c r="V29" i="1"/>
  <c r="U29" i="1"/>
  <c r="V20" i="1"/>
  <c r="U20" i="1"/>
  <c r="V95" i="1"/>
  <c r="U95" i="1"/>
  <c r="V92" i="1"/>
  <c r="U92" i="1"/>
  <c r="V86" i="1"/>
  <c r="U86" i="1"/>
  <c r="V89" i="1"/>
  <c r="U89" i="1"/>
  <c r="V83" i="1"/>
  <c r="U83" i="1"/>
  <c r="V74" i="1"/>
  <c r="U74" i="1"/>
  <c r="V77" i="1"/>
  <c r="U77" i="1"/>
  <c r="V65" i="1"/>
  <c r="U65" i="1"/>
  <c r="V62" i="1"/>
  <c r="U62" i="1"/>
  <c r="V59" i="1"/>
  <c r="V53" i="1"/>
  <c r="U53" i="1"/>
  <c r="BN19" i="1" s="1"/>
  <c r="V47" i="1"/>
  <c r="U47" i="1"/>
  <c r="V44" i="1"/>
  <c r="U44" i="1"/>
  <c r="V41" i="1"/>
  <c r="V35" i="1"/>
  <c r="U35" i="1"/>
  <c r="V32" i="1"/>
  <c r="U32" i="1"/>
  <c r="V26" i="1"/>
  <c r="U26" i="1"/>
  <c r="V23" i="1"/>
  <c r="U23" i="1"/>
  <c r="V17" i="1"/>
  <c r="U17" i="1"/>
  <c r="V14" i="1"/>
  <c r="U14" i="1"/>
  <c r="V11" i="1"/>
  <c r="U11" i="1"/>
  <c r="V8" i="1"/>
  <c r="U8" i="1"/>
  <c r="J71" i="1"/>
  <c r="I71" i="1"/>
  <c r="J38" i="1"/>
  <c r="I38" i="1"/>
  <c r="J95" i="1"/>
  <c r="J17" i="1"/>
  <c r="I17" i="1"/>
  <c r="I95" i="1"/>
  <c r="J29" i="1"/>
  <c r="I29" i="1"/>
  <c r="J92" i="1"/>
  <c r="I92" i="1"/>
  <c r="J89" i="1"/>
  <c r="I89" i="1"/>
  <c r="J86" i="1"/>
  <c r="I86" i="1"/>
  <c r="J83" i="1"/>
  <c r="I83" i="1"/>
  <c r="J80" i="1"/>
  <c r="I80" i="1"/>
  <c r="J77" i="1"/>
  <c r="I77" i="1"/>
  <c r="J74" i="1"/>
  <c r="I74" i="1"/>
  <c r="J68" i="1"/>
  <c r="I68" i="1"/>
  <c r="J65" i="1"/>
  <c r="I65" i="1"/>
  <c r="J62" i="1"/>
  <c r="I62" i="1"/>
  <c r="J59" i="1"/>
  <c r="I59" i="1"/>
  <c r="J56" i="1"/>
  <c r="I56" i="1"/>
  <c r="J53" i="1"/>
  <c r="I53" i="1"/>
  <c r="J50" i="1"/>
  <c r="I50" i="1"/>
  <c r="J47" i="1"/>
  <c r="I47" i="1"/>
  <c r="J44" i="1"/>
  <c r="I44" i="1"/>
  <c r="J41" i="1"/>
  <c r="I41" i="1"/>
  <c r="J35" i="1"/>
  <c r="I35" i="1"/>
  <c r="J32" i="1"/>
  <c r="I32" i="1"/>
  <c r="J26" i="1"/>
  <c r="I26" i="1"/>
  <c r="J23" i="1"/>
  <c r="I23" i="1"/>
  <c r="J20" i="1"/>
  <c r="I20" i="1"/>
  <c r="J14" i="1"/>
  <c r="I14" i="1"/>
  <c r="J11" i="1"/>
  <c r="I11" i="1"/>
  <c r="J8" i="1"/>
  <c r="I8" i="1"/>
  <c r="AL80" i="1" l="1"/>
  <c r="AL89" i="1"/>
  <c r="AL92" i="1"/>
  <c r="AL14" i="1"/>
  <c r="AL32" i="1"/>
  <c r="AM92" i="1"/>
  <c r="BP19" i="1"/>
  <c r="BP22" i="1"/>
  <c r="BP23" i="1"/>
  <c r="BP20" i="1"/>
  <c r="BP21" i="1"/>
  <c r="AM8" i="1"/>
  <c r="AM17" i="1"/>
  <c r="AM26" i="1"/>
  <c r="AM38" i="1"/>
  <c r="AM50" i="1"/>
  <c r="AM68" i="1"/>
  <c r="AM74" i="1"/>
  <c r="AM86" i="1"/>
  <c r="AM95" i="1"/>
  <c r="AM23" i="1"/>
  <c r="AM35" i="1"/>
  <c r="AM47" i="1"/>
  <c r="AM62" i="1"/>
  <c r="AM83" i="1"/>
  <c r="AM14" i="1"/>
  <c r="AM20" i="1"/>
  <c r="AM32" i="1"/>
  <c r="AM65" i="1"/>
  <c r="AM71" i="1"/>
  <c r="AM80" i="1"/>
  <c r="AM89" i="1"/>
  <c r="AM11" i="1"/>
  <c r="AM29" i="1"/>
  <c r="AM44" i="1"/>
  <c r="AM53" i="1"/>
  <c r="AM77" i="1"/>
  <c r="AL20" i="1"/>
  <c r="AL71" i="1"/>
  <c r="AL65" i="1"/>
  <c r="AL56" i="1"/>
  <c r="AL8" i="1"/>
  <c r="AL23" i="1"/>
  <c r="AL47" i="1"/>
  <c r="AL59" i="1"/>
  <c r="AL74" i="1"/>
  <c r="AL38" i="1"/>
  <c r="AL68" i="1"/>
  <c r="AL11" i="1"/>
  <c r="AL17" i="1"/>
  <c r="AL26" i="1"/>
  <c r="AL35" i="1"/>
  <c r="AL44" i="1"/>
  <c r="AL53" i="1"/>
  <c r="AL62" i="1"/>
  <c r="AL77" i="1"/>
  <c r="AL83" i="1"/>
  <c r="AL86" i="1"/>
  <c r="AL95" i="1"/>
  <c r="AL29" i="1"/>
  <c r="AL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07" authorId="0" shapeId="0" xr:uid="{2C203AA8-591C-496C-8B64-57F9AC2C0B47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Water quality 
</t>
        </r>
      </text>
    </comment>
  </commentList>
</comments>
</file>

<file path=xl/sharedStrings.xml><?xml version="1.0" encoding="utf-8"?>
<sst xmlns="http://schemas.openxmlformats.org/spreadsheetml/2006/main" count="546" uniqueCount="242">
  <si>
    <t>Valuse</t>
  </si>
  <si>
    <t>average</t>
  </si>
  <si>
    <t>SD</t>
  </si>
  <si>
    <t>1PA Light</t>
  </si>
  <si>
    <t>1PA Dark</t>
  </si>
  <si>
    <t>2PA Ligt</t>
  </si>
  <si>
    <t>2PA Dark</t>
  </si>
  <si>
    <t>2PA dark</t>
  </si>
  <si>
    <t>light intensity</t>
  </si>
  <si>
    <t>Time</t>
  </si>
  <si>
    <t xml:space="preserve"> 15:00pm</t>
  </si>
  <si>
    <t xml:space="preserve"> 09:00 am</t>
  </si>
  <si>
    <t xml:space="preserve">  12:00 am</t>
  </si>
  <si>
    <t xml:space="preserve"> 18:00pm</t>
  </si>
  <si>
    <t xml:space="preserve"> 06:00 am</t>
  </si>
  <si>
    <t>plant</t>
  </si>
  <si>
    <t>GPS</t>
  </si>
  <si>
    <t>Plant</t>
  </si>
  <si>
    <t>SHINJI     Lake    data</t>
  </si>
  <si>
    <t>air</t>
  </si>
  <si>
    <t>surface</t>
  </si>
  <si>
    <t>10cm</t>
  </si>
  <si>
    <t>20cm</t>
  </si>
  <si>
    <t>30cm</t>
  </si>
  <si>
    <t>40cm</t>
  </si>
  <si>
    <t>bottom</t>
  </si>
  <si>
    <t>Light intensity (µmolm-2s-1)</t>
  </si>
  <si>
    <t xml:space="preserve">POD+CAT+APX </t>
  </si>
  <si>
    <t>(ΔOD/min/g FW)</t>
  </si>
  <si>
    <t>depth m</t>
  </si>
  <si>
    <t>35°28'25.13"N,132°57'2.09"E (2PA)</t>
    <phoneticPr fontId="1"/>
  </si>
  <si>
    <t>POD+CAT+APX</t>
    <phoneticPr fontId="1"/>
  </si>
  <si>
    <t>(umol/min/gFW)</t>
    <phoneticPr fontId="1"/>
  </si>
  <si>
    <t>Hl-a +Chl b</t>
    <phoneticPr fontId="1"/>
  </si>
  <si>
    <t>122cm deep</t>
    <phoneticPr fontId="1"/>
  </si>
  <si>
    <t>135cm deep</t>
    <phoneticPr fontId="1"/>
  </si>
  <si>
    <t>100cm deep</t>
    <phoneticPr fontId="1"/>
  </si>
  <si>
    <t>10cm deep</t>
    <phoneticPr fontId="1"/>
  </si>
  <si>
    <t>P1</t>
    <phoneticPr fontId="1"/>
  </si>
  <si>
    <t>P2</t>
    <phoneticPr fontId="1"/>
  </si>
  <si>
    <t>P.panormitanus</t>
    <phoneticPr fontId="1"/>
  </si>
  <si>
    <t>P.panormitanus</t>
    <phoneticPr fontId="1"/>
  </si>
  <si>
    <t>P.anguillanuce</t>
    <phoneticPr fontId="1"/>
  </si>
  <si>
    <t>normalized</t>
    <phoneticPr fontId="1"/>
  </si>
  <si>
    <t>Chla/Chlb</t>
    <phoneticPr fontId="1"/>
  </si>
  <si>
    <t>normalized</t>
    <phoneticPr fontId="1"/>
  </si>
  <si>
    <t>Depth</t>
  </si>
  <si>
    <t>Potamogeton anguillanus</t>
  </si>
  <si>
    <t>Algae biomass</t>
  </si>
  <si>
    <t>Total biomass</t>
  </si>
  <si>
    <t>light intensity t bottom</t>
    <phoneticPr fontId="1"/>
  </si>
  <si>
    <t>N</t>
  </si>
  <si>
    <t>E</t>
  </si>
  <si>
    <t>Site No.</t>
  </si>
  <si>
    <t>(g DW/0.25 m)</t>
  </si>
  <si>
    <t>(g DW/0.25m)</t>
  </si>
  <si>
    <t>(g DW/m2)</t>
  </si>
  <si>
    <t xml:space="preserve"> 35°28'25.93"N</t>
  </si>
  <si>
    <t>132°57'2.14"E</t>
  </si>
  <si>
    <t>Site 1</t>
  </si>
  <si>
    <t xml:space="preserve"> 35°28'25.31"N</t>
  </si>
  <si>
    <t>132°57'2.21"E</t>
  </si>
  <si>
    <t>Site 2</t>
  </si>
  <si>
    <t xml:space="preserve"> 35°28'25.13"N</t>
  </si>
  <si>
    <t>132°57'2.09"E</t>
  </si>
  <si>
    <t>Site 3</t>
  </si>
  <si>
    <t>Site 4</t>
  </si>
  <si>
    <t>Site 5</t>
  </si>
  <si>
    <t>Site 6</t>
  </si>
  <si>
    <t xml:space="preserve"> 35°28'48.20"N</t>
  </si>
  <si>
    <t>132°57'54.52"E</t>
  </si>
  <si>
    <t>Site 7</t>
  </si>
  <si>
    <t xml:space="preserve"> 35°28'47.66"N</t>
  </si>
  <si>
    <t>132°57'54.37"E</t>
  </si>
  <si>
    <t>Site 9</t>
  </si>
  <si>
    <t xml:space="preserve"> 35°28'25.75"N</t>
  </si>
  <si>
    <t>132°56'28.25"E</t>
  </si>
  <si>
    <t>Site 10</t>
  </si>
  <si>
    <t>Potamogeton pusillus</t>
  </si>
  <si>
    <t>Macrophyte biomass</t>
  </si>
  <si>
    <t xml:space="preserve"> 35°28'47.96"N</t>
  </si>
  <si>
    <t>132°57'54.61"E</t>
  </si>
  <si>
    <t>Site 8</t>
  </si>
  <si>
    <t xml:space="preserve"> 35°28'25.42"N</t>
  </si>
  <si>
    <t>132°56'28.46"E</t>
  </si>
  <si>
    <t>Site 11</t>
  </si>
  <si>
    <t>expected highest light intenisty at the bottom</t>
  </si>
  <si>
    <t xml:space="preserve">Potamogeton anguillanus
</t>
  </si>
  <si>
    <t>salinity</t>
  </si>
  <si>
    <t>In temperature condition</t>
  </si>
  <si>
    <t xml:space="preserve">Values </t>
  </si>
  <si>
    <t>Average</t>
  </si>
  <si>
    <t>control</t>
  </si>
  <si>
    <t>5ppt</t>
  </si>
  <si>
    <t>10ppt</t>
  </si>
  <si>
    <t>15ppt</t>
  </si>
  <si>
    <t xml:space="preserve">Potamogeton anguillanus
</t>
  </si>
  <si>
    <t>Salinity</t>
  </si>
  <si>
    <t>Chlorophyll-a (µg/g FW)</t>
  </si>
  <si>
    <t>Chlorophyll-b (µg/g FW)</t>
  </si>
  <si>
    <t>Carotenoids (µg/g FW)</t>
  </si>
  <si>
    <t>H2O2 (µmol/g FW)</t>
  </si>
  <si>
    <t>SGR (cm/day)</t>
  </si>
  <si>
    <t>CAT Activity (ΔOD/min/g FW)</t>
  </si>
  <si>
    <t>POD Activity (ΔOD/min/g FW)</t>
  </si>
  <si>
    <t>APX Activity (ΔOD/min/g FW)</t>
  </si>
  <si>
    <t>start experiment before the values of P.anguillanus</t>
  </si>
  <si>
    <t>chl-a  (µg/g FW)</t>
  </si>
  <si>
    <t>chl-b  (µg/g FW)</t>
  </si>
  <si>
    <t>POD (ΔOD/min/g FW)</t>
  </si>
  <si>
    <t>CAT (ΔOD/min/g FW)</t>
  </si>
  <si>
    <t>APX (ΔOD/min/g FW)</t>
  </si>
  <si>
    <t xml:space="preserve">light intensity treatment </t>
  </si>
  <si>
    <t>5days</t>
  </si>
  <si>
    <t>10days</t>
  </si>
  <si>
    <t>15days</t>
  </si>
  <si>
    <t>20days</t>
  </si>
  <si>
    <t>25days</t>
  </si>
  <si>
    <t>30days</t>
  </si>
  <si>
    <t>Experimental conditions</t>
  </si>
  <si>
    <t>p.anguillanus</t>
  </si>
  <si>
    <t>In green house</t>
  </si>
  <si>
    <t>time</t>
  </si>
  <si>
    <t>temperature   (°C )</t>
  </si>
  <si>
    <t>Light condition</t>
  </si>
  <si>
    <t>10:10am</t>
  </si>
  <si>
    <t>10:20am</t>
  </si>
  <si>
    <t>10:40am</t>
  </si>
  <si>
    <t>11:00am</t>
  </si>
  <si>
    <t>13:00pm</t>
  </si>
  <si>
    <t>16:00pm</t>
  </si>
  <si>
    <t>19:00pm</t>
  </si>
  <si>
    <t>Dark condition</t>
  </si>
  <si>
    <t>14:10pm</t>
  </si>
  <si>
    <t>14:20pm</t>
  </si>
  <si>
    <t>14:40pm</t>
  </si>
  <si>
    <t>15:00pm</t>
  </si>
  <si>
    <t>17:00pm</t>
  </si>
  <si>
    <t>20:00pm</t>
  </si>
  <si>
    <t>23:00pm</t>
  </si>
  <si>
    <t>POD  (ΔOD/min/g FW)</t>
  </si>
  <si>
    <t>APX  (ΔOD/min/g FW)</t>
  </si>
  <si>
    <t>H2O2  (µmol/g FW)</t>
  </si>
  <si>
    <t>Chl-a (µg/g FW)</t>
  </si>
  <si>
    <t>Chl-b (µg/g FW)</t>
  </si>
  <si>
    <t>P.anguillanuce</t>
  </si>
  <si>
    <t>P1  06:00 am</t>
  </si>
  <si>
    <t>P1   09:00 am</t>
  </si>
  <si>
    <t xml:space="preserve">  P1   12:00 am</t>
  </si>
  <si>
    <t>P1   15:00pm</t>
  </si>
  <si>
    <t>P1    18:00pm</t>
  </si>
  <si>
    <t>P2    06:00 am</t>
  </si>
  <si>
    <t>P2    09:00 am</t>
  </si>
  <si>
    <t>P2     12:00 am</t>
  </si>
  <si>
    <t>P2    15:00pm</t>
  </si>
  <si>
    <t>P2    18:00pm</t>
  </si>
  <si>
    <t>P.anguillanus</t>
  </si>
  <si>
    <t>Salinity (ppt)</t>
  </si>
  <si>
    <t>CAT  (ΔOD/min/g FW)</t>
  </si>
  <si>
    <t>water quality</t>
  </si>
  <si>
    <t>pH</t>
  </si>
  <si>
    <t>Conductivity (mS/m)</t>
  </si>
  <si>
    <t>DO (g/L)</t>
  </si>
  <si>
    <t>Temperature (˚C)</t>
  </si>
  <si>
    <t>Salinity (g/L)</t>
  </si>
  <si>
    <t>delta H2O2</t>
    <phoneticPr fontId="1"/>
  </si>
  <si>
    <t>=</t>
    <phoneticPr fontId="1"/>
  </si>
  <si>
    <t xml:space="preserve">light </t>
    <phoneticPr fontId="1"/>
  </si>
  <si>
    <t>temp</t>
    <phoneticPr fontId="1"/>
  </si>
  <si>
    <t>H2O2</t>
    <phoneticPr fontId="1"/>
  </si>
  <si>
    <t>1PA Light</t>
    <phoneticPr fontId="1"/>
  </si>
  <si>
    <t>2PA Ligt</t>
    <phoneticPr fontId="1"/>
  </si>
  <si>
    <t>P.anguillance</t>
    <phoneticPr fontId="1"/>
  </si>
  <si>
    <t>STDEV</t>
    <phoneticPr fontId="1"/>
  </si>
  <si>
    <t>AVERAGE</t>
    <phoneticPr fontId="1"/>
  </si>
  <si>
    <t xml:space="preserve">light intensity </t>
    <phoneticPr fontId="1"/>
  </si>
  <si>
    <t>with light  P1</t>
    <phoneticPr fontId="1"/>
  </si>
  <si>
    <t>chl-a  (µg/g FW)</t>
    <phoneticPr fontId="1"/>
  </si>
  <si>
    <t>14.5 : Base value (in the medium)</t>
    <phoneticPr fontId="1"/>
  </si>
  <si>
    <t>0-430</t>
    <phoneticPr fontId="1"/>
  </si>
  <si>
    <t>measured PAR 201/Aug/8</t>
    <phoneticPr fontId="1"/>
  </si>
  <si>
    <t>35°28'25.93"N,132°57'2.14"E (1PA)</t>
    <phoneticPr fontId="1"/>
  </si>
  <si>
    <t>dark</t>
    <phoneticPr fontId="1"/>
  </si>
  <si>
    <t>CAT+APX+POD</t>
    <phoneticPr fontId="1"/>
  </si>
  <si>
    <t>Chl-a</t>
    <phoneticPr fontId="1"/>
  </si>
  <si>
    <t>PAR exp</t>
    <phoneticPr fontId="1"/>
  </si>
  <si>
    <t>salinity exp</t>
    <phoneticPr fontId="1"/>
  </si>
  <si>
    <t>Lake Shinji</t>
    <phoneticPr fontId="1"/>
  </si>
  <si>
    <t>R</t>
    <phoneticPr fontId="1"/>
  </si>
  <si>
    <t>t</t>
    <phoneticPr fontId="1"/>
  </si>
  <si>
    <t>p</t>
    <phoneticPr fontId="1"/>
  </si>
  <si>
    <t>AOX</t>
    <phoneticPr fontId="1"/>
  </si>
  <si>
    <t>antioxidant</t>
    <phoneticPr fontId="1"/>
  </si>
  <si>
    <t>Delta H2O2</t>
    <phoneticPr fontId="1"/>
  </si>
  <si>
    <t>PAR</t>
    <phoneticPr fontId="1"/>
  </si>
  <si>
    <t>Outdoor exp</t>
    <phoneticPr fontId="1"/>
  </si>
  <si>
    <t>df</t>
    <phoneticPr fontId="1"/>
  </si>
  <si>
    <t>Shinji lake</t>
    <phoneticPr fontId="1"/>
  </si>
  <si>
    <t>oudoor exp</t>
    <phoneticPr fontId="1"/>
  </si>
  <si>
    <t>PODS+CAT+APX STDEV</t>
    <phoneticPr fontId="1"/>
  </si>
  <si>
    <r>
      <rPr>
        <b/>
        <sz val="11"/>
        <color theme="1"/>
        <rFont val="Calibri (Body)"/>
      </rPr>
      <t>POD Activity</t>
    </r>
    <r>
      <rPr>
        <sz val="11"/>
        <color theme="1"/>
        <rFont val="Calibri (Body)"/>
      </rPr>
      <t xml:space="preserve"> (ΔOD/min/g FW)</t>
    </r>
  </si>
  <si>
    <r>
      <rPr>
        <b/>
        <sz val="11"/>
        <color theme="1"/>
        <rFont val="Calibri (Body)"/>
      </rPr>
      <t xml:space="preserve">CAT Activity </t>
    </r>
    <r>
      <rPr>
        <sz val="11"/>
        <color theme="1"/>
        <rFont val="Calibri (Body)"/>
      </rPr>
      <t>(ΔOD/min/g FW)</t>
    </r>
  </si>
  <si>
    <r>
      <rPr>
        <b/>
        <sz val="11"/>
        <color theme="1"/>
        <rFont val="Calibri (Body)"/>
      </rPr>
      <t>APX Activity</t>
    </r>
    <r>
      <rPr>
        <sz val="11"/>
        <color theme="1"/>
        <rFont val="Calibri (Body)"/>
      </rPr>
      <t xml:space="preserve"> (ΔOD/min/g FW)</t>
    </r>
  </si>
  <si>
    <r>
      <rPr>
        <b/>
        <sz val="11"/>
        <color theme="1"/>
        <rFont val="Calibri (Body)"/>
      </rPr>
      <t>H2O2 concentration</t>
    </r>
    <r>
      <rPr>
        <sz val="11"/>
        <color theme="1"/>
        <rFont val="Calibri (Body)"/>
      </rPr>
      <t xml:space="preserve"> (µmol/g FW)</t>
    </r>
  </si>
  <si>
    <r>
      <rPr>
        <b/>
        <sz val="11"/>
        <color theme="1"/>
        <rFont val="Calibri (Body)"/>
      </rPr>
      <t>Chlorophyll-a</t>
    </r>
    <r>
      <rPr>
        <sz val="11"/>
        <color theme="1"/>
        <rFont val="Calibri (Body)"/>
      </rPr>
      <t xml:space="preserve"> (µg/g FW)</t>
    </r>
  </si>
  <si>
    <r>
      <rPr>
        <b/>
        <sz val="11"/>
        <color theme="1"/>
        <rFont val="Calibri (Body)"/>
      </rPr>
      <t xml:space="preserve">Chlorophyll-b </t>
    </r>
    <r>
      <rPr>
        <sz val="11"/>
        <color theme="1"/>
        <rFont val="Calibri (Body)"/>
      </rPr>
      <t>(µg/g FW)</t>
    </r>
  </si>
  <si>
    <r>
      <rPr>
        <b/>
        <sz val="11"/>
        <color theme="1"/>
        <rFont val="Calibri (Body)"/>
      </rPr>
      <t xml:space="preserve">Carotenoids </t>
    </r>
    <r>
      <rPr>
        <sz val="11"/>
        <color theme="1"/>
        <rFont val="Calibri (Body)"/>
      </rPr>
      <t>(µg/g FW)</t>
    </r>
  </si>
  <si>
    <t>normzlized</t>
  </si>
  <si>
    <t>The effect of different salinity concentrations on the growth of Potamogeton anguillanus and Potamogeton pusillus</t>
  </si>
  <si>
    <t>1.22m</t>
  </si>
  <si>
    <r>
      <t xml:space="preserve">Effects of salinity on the growth of </t>
    </r>
    <r>
      <rPr>
        <b/>
        <i/>
        <sz val="20"/>
        <color theme="1"/>
        <rFont val="Calibri (Body)"/>
      </rPr>
      <t>P.anguillanus</t>
    </r>
  </si>
  <si>
    <r>
      <t xml:space="preserve">POD Activity </t>
    </r>
    <r>
      <rPr>
        <sz val="11"/>
        <color theme="1"/>
        <rFont val="Calibri (Body)"/>
      </rPr>
      <t>(ΔOD/min/g FW)</t>
    </r>
  </si>
  <si>
    <r>
      <t xml:space="preserve">CAT </t>
    </r>
    <r>
      <rPr>
        <sz val="11"/>
        <color theme="1"/>
        <rFont val="Calibri (Body)"/>
      </rPr>
      <t>(ΔOD/min/g FW)</t>
    </r>
  </si>
  <si>
    <r>
      <t xml:space="preserve">APX </t>
    </r>
    <r>
      <rPr>
        <sz val="11"/>
        <color theme="1"/>
        <rFont val="Calibri (Body)"/>
      </rPr>
      <t>(ΔOD/min/g FW)</t>
    </r>
  </si>
  <si>
    <r>
      <t xml:space="preserve">H2O2 </t>
    </r>
    <r>
      <rPr>
        <sz val="11"/>
        <color theme="1"/>
        <rFont val="Calibri (Body)"/>
      </rPr>
      <t>concentration (µmol/g FW)</t>
    </r>
  </si>
  <si>
    <r>
      <t xml:space="preserve">Chlorophyll-a </t>
    </r>
    <r>
      <rPr>
        <sz val="11"/>
        <color theme="1"/>
        <rFont val="Calibri (Body)"/>
      </rPr>
      <t>(µg/g FW)</t>
    </r>
  </si>
  <si>
    <r>
      <t xml:space="preserve">Chlorophyll-b </t>
    </r>
    <r>
      <rPr>
        <sz val="11"/>
        <color theme="1"/>
        <rFont val="Calibri (Body)"/>
      </rPr>
      <t>(µg/g FW)</t>
    </r>
  </si>
  <si>
    <r>
      <t xml:space="preserve">Carotenoids </t>
    </r>
    <r>
      <rPr>
        <sz val="11"/>
        <color theme="1"/>
        <rFont val="Calibri (Body)"/>
      </rPr>
      <t>(µg/g FW)</t>
    </r>
  </si>
  <si>
    <r>
      <rPr>
        <b/>
        <sz val="11"/>
        <color theme="1"/>
        <rFont val="Calibri (Body)"/>
      </rPr>
      <t>Chlorophyll-b</t>
    </r>
    <r>
      <rPr>
        <sz val="11"/>
        <color theme="1"/>
        <rFont val="Calibri (Body)"/>
      </rPr>
      <t xml:space="preserve"> (µg/g FW)</t>
    </r>
  </si>
  <si>
    <r>
      <rPr>
        <b/>
        <sz val="11"/>
        <color theme="1"/>
        <rFont val="Calibri (Body)"/>
      </rPr>
      <t>Carotenoids</t>
    </r>
    <r>
      <rPr>
        <sz val="11"/>
        <color theme="1"/>
        <rFont val="Calibri (Body)"/>
      </rPr>
      <t xml:space="preserve"> (µg/g FW)</t>
    </r>
  </si>
  <si>
    <r>
      <rPr>
        <b/>
        <sz val="11"/>
        <color theme="1"/>
        <rFont val="Calibri (Body)"/>
      </rPr>
      <t xml:space="preserve">H2O2 </t>
    </r>
    <r>
      <rPr>
        <sz val="11"/>
        <color theme="1"/>
        <rFont val="Calibri (Body)"/>
      </rPr>
      <t>(µmol/g FW)</t>
    </r>
  </si>
  <si>
    <r>
      <rPr>
        <b/>
        <sz val="11"/>
        <color theme="1"/>
        <rFont val="Calibri (Body)"/>
      </rPr>
      <t xml:space="preserve">SGR </t>
    </r>
    <r>
      <rPr>
        <sz val="11"/>
        <color theme="1"/>
        <rFont val="Calibri (Body)"/>
      </rPr>
      <t>(cm/day)</t>
    </r>
  </si>
  <si>
    <r>
      <rPr>
        <b/>
        <sz val="11"/>
        <color theme="1"/>
        <rFont val="Calibri (Body)"/>
      </rPr>
      <t>CAT</t>
    </r>
    <r>
      <rPr>
        <sz val="11"/>
        <color theme="1"/>
        <rFont val="Calibri (Body)"/>
      </rPr>
      <t xml:space="preserve"> Activity (ΔOD</t>
    </r>
    <r>
      <rPr>
        <sz val="8.8000000000000007"/>
        <color theme="1"/>
        <rFont val="Calibri (Body)"/>
      </rPr>
      <t>/min/g FW)</t>
    </r>
  </si>
  <si>
    <r>
      <rPr>
        <b/>
        <sz val="11"/>
        <color theme="1"/>
        <rFont val="Calibri (Body)"/>
      </rPr>
      <t>POD</t>
    </r>
    <r>
      <rPr>
        <sz val="11"/>
        <color theme="1"/>
        <rFont val="Calibri (Body)"/>
      </rPr>
      <t xml:space="preserve"> Activity (ΔOD</t>
    </r>
    <r>
      <rPr>
        <sz val="8.8000000000000007"/>
        <color theme="1"/>
        <rFont val="Calibri (Body)"/>
      </rPr>
      <t>/min/g FW)</t>
    </r>
  </si>
  <si>
    <r>
      <rPr>
        <b/>
        <sz val="11"/>
        <color theme="1"/>
        <rFont val="Calibri (Body)"/>
      </rPr>
      <t>APX</t>
    </r>
    <r>
      <rPr>
        <sz val="11"/>
        <color theme="1"/>
        <rFont val="Calibri (Body)"/>
      </rPr>
      <t>Activity (ΔOD</t>
    </r>
    <r>
      <rPr>
        <sz val="8.8000000000000007"/>
        <color theme="1"/>
        <rFont val="Calibri (Body)"/>
      </rPr>
      <t>/min/g FW)</t>
    </r>
  </si>
  <si>
    <r>
      <rPr>
        <b/>
        <i/>
        <sz val="10"/>
        <color theme="1"/>
        <rFont val="Calibri (Body)"/>
      </rPr>
      <t xml:space="preserve">P.anguillanus </t>
    </r>
    <r>
      <rPr>
        <sz val="10"/>
        <color theme="1"/>
        <rFont val="Calibri (Body)"/>
      </rPr>
      <t xml:space="preserve">treated with different concentrations of salinity (0, 5, 10, 15ppt) for 7days.                                                                         Salinity concentrations by adding NaCl, and for each condition treated with 5%hoagland solution.                                                                                                                                                                          Experimnet glass tank size: 15.7*15.7*24cm,  three plants in PVP pot with river sand,  two PVP pot in each tank.   Experiment temperature:25±2℃,                                                                                                                                                                          Light intensity : 100 - 120 µmol/m2/s using fluorescent lamps, 12 h light / 12 h dark.                                                                                Experiment time 2017.8.10. 13:00pm---2017.8.17. 13:00pm (7days).                                 </t>
    </r>
  </si>
  <si>
    <r>
      <t>µmolm</t>
    </r>
    <r>
      <rPr>
        <vertAlign val="superscript"/>
        <sz val="11"/>
        <color theme="1"/>
        <rFont val="Calibri (Body)"/>
      </rPr>
      <t>-2</t>
    </r>
    <r>
      <rPr>
        <sz val="11"/>
        <color theme="1"/>
        <rFont val="Calibri (Body)"/>
      </rPr>
      <t>s</t>
    </r>
    <r>
      <rPr>
        <vertAlign val="superscript"/>
        <sz val="11"/>
        <color theme="1"/>
        <rFont val="Calibri (Body)"/>
      </rPr>
      <t>-1</t>
    </r>
  </si>
  <si>
    <t>30cm deep</t>
  </si>
  <si>
    <r>
      <t xml:space="preserve">Effects of light intensity on the growth of </t>
    </r>
    <r>
      <rPr>
        <b/>
        <i/>
        <sz val="20"/>
        <color theme="1"/>
        <rFont val="Calibri (Body)"/>
      </rPr>
      <t>P.anguillanus</t>
    </r>
    <r>
      <rPr>
        <b/>
        <sz val="20"/>
        <color theme="1"/>
        <rFont val="Calibri (Body)"/>
      </rPr>
      <t xml:space="preserve"> for 30days</t>
    </r>
  </si>
  <si>
    <t>1.35m</t>
  </si>
  <si>
    <r>
      <rPr>
        <b/>
        <i/>
        <sz val="11"/>
        <color theme="1"/>
        <rFont val="Calibri (Body)"/>
      </rPr>
      <t>P. anguillanus</t>
    </r>
    <r>
      <rPr>
        <sz val="11"/>
        <color theme="1"/>
        <rFont val="Calibri (Body)"/>
      </rPr>
      <t xml:space="preserve"> treated with four levles of light intensity (50, 100, 20, 300 µmol/m2/s) with 5%hoagland solution, and with 6 times treatment (5, 10, 15, 20, 25, 30 days). Samples were taken for analisys after every 5days.                                                                         Glass tank size: 30*17.5*20.4 cm, 30 plants in each tank with river sand,  did three raplicate for all conditions.                                                                                                                                                         Experiment temperature:25±2℃,                                                                                                      Light intensity by using fluorescent lamps, 12 h light / 12 h dark.                                                                    Experiment time :                                                                                                          2017.10.23. 13:00pm---2017.10.28. 13:00pm (5days).                                                      2017.10.23.  13:00pm---2017.11.2. 13:00pm  (10days).                           2017.10.23.  13:00pm---2017.11.7.  13:00pm  (15days).                          2017.10.23.  13:00pm---2017.11.12.  13:00pm  (20days)                       2017.10.23.  13:00pm---2017.11.17.  13:00pm  (25days).                        2017.10.23.  13:00pm---2017.11.22. 13:00pm  (30days)              </t>
    </r>
  </si>
  <si>
    <r>
      <t>H</t>
    </r>
    <r>
      <rPr>
        <b/>
        <vertAlign val="subscript"/>
        <sz val="14"/>
        <color theme="1"/>
        <rFont val="Calibri (Body)"/>
      </rPr>
      <t>2</t>
    </r>
    <r>
      <rPr>
        <b/>
        <sz val="14"/>
        <color theme="1"/>
        <rFont val="Calibri (Body)"/>
      </rPr>
      <t>O</t>
    </r>
    <r>
      <rPr>
        <b/>
        <vertAlign val="subscript"/>
        <sz val="14"/>
        <color theme="1"/>
        <rFont val="Calibri (Body)"/>
      </rPr>
      <t>2</t>
    </r>
    <r>
      <rPr>
        <b/>
        <sz val="14"/>
        <color theme="1"/>
        <rFont val="Calibri (Body)"/>
      </rPr>
      <t xml:space="preserve"> (µmol/g FW)</t>
    </r>
  </si>
  <si>
    <r>
      <rPr>
        <b/>
        <sz val="14"/>
        <color theme="1"/>
        <rFont val="Calibri (Body)"/>
      </rPr>
      <t>POD+CAT+AP</t>
    </r>
    <r>
      <rPr>
        <sz val="14"/>
        <color theme="1"/>
        <rFont val="Calibri (Body)"/>
      </rPr>
      <t>X</t>
    </r>
  </si>
  <si>
    <r>
      <t xml:space="preserve">Effects of dark and light conditions on the growth of </t>
    </r>
    <r>
      <rPr>
        <b/>
        <i/>
        <sz val="20"/>
        <color theme="1"/>
        <rFont val="Calibri (Body)"/>
      </rPr>
      <t xml:space="preserve">P.anguillanus </t>
    </r>
    <r>
      <rPr>
        <b/>
        <sz val="20"/>
        <color theme="1"/>
        <rFont val="Calibri (Body)"/>
      </rPr>
      <t xml:space="preserve">in the greenhouse </t>
    </r>
  </si>
  <si>
    <r>
      <t>light intensity (µmolm</t>
    </r>
    <r>
      <rPr>
        <b/>
        <vertAlign val="superscript"/>
        <sz val="11"/>
        <color theme="1"/>
        <rFont val="Calibri (Body)"/>
      </rPr>
      <t>-2</t>
    </r>
    <r>
      <rPr>
        <b/>
        <sz val="11"/>
        <color theme="1"/>
        <rFont val="Calibri (Body)"/>
      </rPr>
      <t>s</t>
    </r>
    <r>
      <rPr>
        <b/>
        <vertAlign val="superscript"/>
        <sz val="11"/>
        <color theme="1"/>
        <rFont val="Calibri (Body)"/>
      </rPr>
      <t>-1</t>
    </r>
    <r>
      <rPr>
        <b/>
        <sz val="11"/>
        <color theme="1"/>
        <rFont val="Calibri (Body)"/>
      </rPr>
      <t>)</t>
    </r>
  </si>
  <si>
    <t>POD+CATR+APX</t>
  </si>
  <si>
    <r>
      <rPr>
        <b/>
        <i/>
        <sz val="14"/>
        <color theme="1"/>
        <rFont val="Calibri (Body)"/>
      </rPr>
      <t>P.anguillanus</t>
    </r>
    <r>
      <rPr>
        <sz val="14"/>
        <color theme="1"/>
        <rFont val="Calibri (Body)"/>
      </rPr>
      <t xml:space="preserve"> treated with dark and light conditions in the greenhouse for one day.                                                                                                                                                                       Glass tank size: 30*17.5*20.4 cm, 35 plants in each tank with river sand,      Experiment temperature:22-34℃,                                                                                                                                                                          Sun light intensity : 430-800 µmol/m</t>
    </r>
    <r>
      <rPr>
        <vertAlign val="superscript"/>
        <sz val="14"/>
        <color theme="1"/>
        <rFont val="Calibri (Body)"/>
      </rPr>
      <t>2</t>
    </r>
    <r>
      <rPr>
        <sz val="14"/>
        <color theme="1"/>
        <rFont val="Calibri (Body)"/>
      </rPr>
      <t xml:space="preserve">/s                                                                               </t>
    </r>
    <r>
      <rPr>
        <b/>
        <sz val="14"/>
        <color theme="1"/>
        <rFont val="Calibri (Body)"/>
      </rPr>
      <t>Light condition</t>
    </r>
    <r>
      <rPr>
        <sz val="14"/>
        <color theme="1"/>
        <rFont val="Calibri (Body)"/>
      </rPr>
      <t xml:space="preserve">:   plants were covered from last night (keep dark condition) until next morning 10:00am (remove cover sheet)  to keep light condition, and taken samples for analysis with different time and light conditions.                                                                                                                </t>
    </r>
    <r>
      <rPr>
        <b/>
        <sz val="14"/>
        <color theme="1"/>
        <rFont val="Calibri (Body)"/>
      </rPr>
      <t>Dark condition</t>
    </r>
    <r>
      <rPr>
        <sz val="14"/>
        <color theme="1"/>
        <rFont val="Calibri (Body)"/>
      </rPr>
      <t>:  plants were did  not covered from morning  sunrise (keep light condition) until 14:00pm, and covered started form 14:00pm (keep dark condition), and taken samples for analysis weith different time and dark conditions.                                                                                        Experiment time:  2017.10.5</t>
    </r>
  </si>
  <si>
    <t>P1 vs P2</t>
  </si>
  <si>
    <t>Del H2O2</t>
  </si>
  <si>
    <t>with light P2</t>
  </si>
  <si>
    <t>dark P1</t>
  </si>
  <si>
    <t>dark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</si>
</sst>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[$-F400]h:mm:ss\ AM/PM"/>
    <numFmt numFmtId="168" formatCode="0.00_ "/>
    <numFmt numFmtId="169" formatCode="0.0_ "/>
    <numFmt numFmtId="170" formatCode="0.000_ "/>
    <numFmt numFmtId="171" formatCode="0.000_);[Red]\(0.000\)"/>
  </numFmts>
  <fonts count="2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Calibri (Body)"/>
    </font>
    <font>
      <b/>
      <sz val="18"/>
      <color theme="1"/>
      <name val="Calibri (Body)"/>
    </font>
    <font>
      <sz val="12"/>
      <color theme="1"/>
      <name val="Calibri (Body)"/>
    </font>
    <font>
      <b/>
      <sz val="12"/>
      <color theme="1"/>
      <name val="Calibri (Body)"/>
    </font>
    <font>
      <b/>
      <sz val="11"/>
      <color theme="1"/>
      <name val="Calibri (Body)"/>
    </font>
    <font>
      <b/>
      <sz val="14"/>
      <color theme="1"/>
      <name val="Calibri (Body)"/>
    </font>
    <font>
      <b/>
      <sz val="20"/>
      <color theme="1"/>
      <name val="Calibri (Body)"/>
    </font>
    <font>
      <b/>
      <i/>
      <sz val="20"/>
      <color theme="1"/>
      <name val="Calibri (Body)"/>
    </font>
    <font>
      <b/>
      <sz val="16"/>
      <color theme="1"/>
      <name val="Calibri (Body)"/>
    </font>
    <font>
      <sz val="8.8000000000000007"/>
      <color theme="1"/>
      <name val="Calibri (Body)"/>
    </font>
    <font>
      <b/>
      <sz val="10"/>
      <color theme="1"/>
      <name val="Calibri (Body)"/>
    </font>
    <font>
      <sz val="10"/>
      <color theme="1"/>
      <name val="Calibri (Body)"/>
    </font>
    <font>
      <b/>
      <i/>
      <sz val="10"/>
      <color theme="1"/>
      <name val="Calibri (Body)"/>
    </font>
    <font>
      <vertAlign val="superscript"/>
      <sz val="11"/>
      <color theme="1"/>
      <name val="Calibri (Body)"/>
    </font>
    <font>
      <sz val="14"/>
      <color theme="1"/>
      <name val="Calibri (Body)"/>
    </font>
    <font>
      <b/>
      <i/>
      <sz val="11"/>
      <color theme="1"/>
      <name val="Calibri (Body)"/>
    </font>
    <font>
      <b/>
      <vertAlign val="subscript"/>
      <sz val="14"/>
      <color theme="1"/>
      <name val="Calibri (Body)"/>
    </font>
    <font>
      <sz val="20"/>
      <color theme="1"/>
      <name val="Calibri (Body)"/>
    </font>
    <font>
      <b/>
      <vertAlign val="superscript"/>
      <sz val="11"/>
      <color theme="1"/>
      <name val="Calibri (Body)"/>
    </font>
    <font>
      <b/>
      <i/>
      <sz val="14"/>
      <color theme="1"/>
      <name val="Calibri (Body)"/>
    </font>
    <font>
      <vertAlign val="superscript"/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4" fillId="0" borderId="0" xfId="0" applyFont="1" applyFill="1"/>
    <xf numFmtId="167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/>
    <xf numFmtId="0" fontId="6" fillId="0" borderId="15" xfId="0" applyFont="1" applyFill="1" applyBorder="1" applyAlignment="1"/>
    <xf numFmtId="0" fontId="6" fillId="0" borderId="6" xfId="0" applyFont="1" applyFill="1" applyBorder="1" applyAlignment="1"/>
    <xf numFmtId="0" fontId="7" fillId="0" borderId="1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7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167" fontId="8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8" fillId="0" borderId="0" xfId="0" applyFont="1" applyFill="1"/>
    <xf numFmtId="0" fontId="15" fillId="0" borderId="7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8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4" fillId="0" borderId="11" xfId="0" applyFont="1" applyFill="1" applyBorder="1"/>
    <xf numFmtId="0" fontId="9" fillId="0" borderId="1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168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0" fontId="15" fillId="0" borderId="12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0" xfId="0" applyFont="1" applyFill="1"/>
    <xf numFmtId="166" fontId="4" fillId="0" borderId="0" xfId="0" applyNumberFormat="1" applyFont="1" applyFill="1" applyBorder="1" applyAlignment="1">
      <alignment horizontal="center"/>
    </xf>
    <xf numFmtId="0" fontId="18" fillId="0" borderId="5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18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Alignment="1">
      <alignment horizontal="center"/>
    </xf>
    <xf numFmtId="0" fontId="9" fillId="0" borderId="15" xfId="0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2" fontId="4" fillId="0" borderId="0" xfId="0" applyNumberFormat="1" applyFont="1" applyFill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166" fontId="4" fillId="0" borderId="0" xfId="0" applyNumberFormat="1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167" fontId="4" fillId="0" borderId="0" xfId="0" applyNumberFormat="1" applyFont="1" applyFill="1" applyBorder="1"/>
    <xf numFmtId="166" fontId="5" fillId="0" borderId="0" xfId="0" applyNumberFormat="1" applyFont="1" applyFill="1" applyAlignment="1">
      <alignment horizontal="center" vertical="center"/>
    </xf>
    <xf numFmtId="166" fontId="18" fillId="0" borderId="0" xfId="0" applyNumberFormat="1" applyFont="1" applyFill="1" applyAlignment="1">
      <alignment vertical="top" wrapText="1"/>
    </xf>
    <xf numFmtId="166" fontId="4" fillId="0" borderId="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/>
    </xf>
    <xf numFmtId="171" fontId="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71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Border="1"/>
    <xf numFmtId="0" fontId="18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66" fontId="10" fillId="0" borderId="5" xfId="0" applyNumberFormat="1" applyFont="1" applyFill="1" applyBorder="1" applyAlignment="1">
      <alignment horizontal="center" vertical="center"/>
    </xf>
    <xf numFmtId="166" fontId="10" fillId="0" borderId="15" xfId="0" applyNumberFormat="1" applyFont="1" applyFill="1" applyBorder="1" applyAlignment="1">
      <alignment horizontal="center" vertical="center"/>
    </xf>
    <xf numFmtId="166" fontId="10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66" fontId="18" fillId="0" borderId="1" xfId="0" applyNumberFormat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69" fontId="4" fillId="0" borderId="0" xfId="0" applyNumberFormat="1" applyFont="1" applyFill="1" applyAlignment="1">
      <alignment vertical="top" wrapText="1"/>
    </xf>
    <xf numFmtId="171" fontId="4" fillId="0" borderId="0" xfId="0" applyNumberFormat="1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168" fontId="4" fillId="0" borderId="0" xfId="0" applyNumberFormat="1" applyFont="1" applyFill="1" applyAlignment="1">
      <alignment vertical="top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67" fontId="4" fillId="0" borderId="13" xfId="0" applyNumberFormat="1" applyFont="1" applyFill="1" applyBorder="1"/>
    <xf numFmtId="0" fontId="4" fillId="0" borderId="13" xfId="0" applyFont="1" applyFill="1" applyBorder="1" applyAlignment="1">
      <alignment horizontal="center"/>
    </xf>
    <xf numFmtId="166" fontId="4" fillId="0" borderId="13" xfId="0" applyNumberFormat="1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0" fontId="4" fillId="0" borderId="0" xfId="0" applyNumberFormat="1" applyFont="1" applyFill="1"/>
    <xf numFmtId="168" fontId="4" fillId="0" borderId="0" xfId="0" applyNumberFormat="1" applyFont="1" applyFill="1"/>
    <xf numFmtId="0" fontId="1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68</xdr:col>
      <xdr:colOff>849850</xdr:colOff>
      <xdr:row>72</xdr:row>
      <xdr:rowOff>207425</xdr:rowOff>
    </xdr:from>
    <xdr:ext cx="275717" cy="160851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rot="16200000">
          <a:off x="58044650" y="17231425"/>
          <a:ext cx="160851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日射強度　</a:t>
          </a:r>
          <a:r>
            <a:rPr kumimoji="1" lang="en-US" altLang="ja-JP" sz="1100"/>
            <a:t>(</a:t>
          </a:r>
          <a:r>
            <a:rPr kumimoji="1" lang="en-US" altLang="ja-JP" sz="1100">
              <a:latin typeface="Symbol" panose="05050102010706020507" pitchFamily="18" charset="2"/>
            </a:rPr>
            <a:t>m</a:t>
          </a:r>
          <a:r>
            <a:rPr kumimoji="1" lang="en-US" altLang="ja-JP" sz="1100"/>
            <a:t>mol/m</a:t>
          </a:r>
          <a:r>
            <a:rPr kumimoji="1" lang="en-US" altLang="ja-JP" sz="1100" baseline="30000"/>
            <a:t>2</a:t>
          </a:r>
          <a:r>
            <a:rPr kumimoji="1" lang="en-US" altLang="ja-JP" sz="1100"/>
            <a:t>/s)</a:t>
          </a:r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Biomass%20Shinji%20Lake%20August%20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Users/ASAEDA/AppData/Roaming/Microsoft/Excel/&#12467;&#12500;&#12540;Lake%20shinjiWQ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Users/ASAEDA/Downloads/Salinity%20experiemnt%20data%20(Ka)%20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Users/ASAEDA/Desktop/FeLightExp/Frontiergraph%205%20FePHOTO%20ETC%20FIGURES20220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mass NEW"/>
      <sheetName val="biomass"/>
    </sheetNames>
    <sheetDataSet>
      <sheetData sheetId="0">
        <row r="5">
          <cell r="E5">
            <v>1.22</v>
          </cell>
          <cell r="H5">
            <v>230</v>
          </cell>
          <cell r="I5">
            <v>226.4</v>
          </cell>
          <cell r="J5">
            <v>456.4</v>
          </cell>
          <cell r="L5">
            <v>38.598769089539907</v>
          </cell>
        </row>
        <row r="6">
          <cell r="E6">
            <v>1.28</v>
          </cell>
          <cell r="H6">
            <v>243.2</v>
          </cell>
          <cell r="I6">
            <v>156.80000000000001</v>
          </cell>
          <cell r="J6">
            <v>400</v>
          </cell>
          <cell r="L6">
            <v>32.240402017634885</v>
          </cell>
        </row>
        <row r="7">
          <cell r="E7">
            <v>1.35</v>
          </cell>
          <cell r="H7">
            <v>285.60000000000002</v>
          </cell>
          <cell r="I7">
            <v>190.4</v>
          </cell>
          <cell r="J7">
            <v>476</v>
          </cell>
          <cell r="L7">
            <v>26.133561959240271</v>
          </cell>
        </row>
        <row r="8">
          <cell r="E8">
            <v>1.71</v>
          </cell>
          <cell r="H8">
            <v>247.2</v>
          </cell>
          <cell r="I8">
            <v>105.2</v>
          </cell>
          <cell r="J8">
            <v>352.4</v>
          </cell>
          <cell r="L8">
            <v>8.8748407105227862</v>
          </cell>
        </row>
        <row r="9">
          <cell r="E9">
            <v>2.2999999999999998</v>
          </cell>
          <cell r="H9">
            <v>143.6</v>
          </cell>
          <cell r="I9">
            <v>111.2</v>
          </cell>
          <cell r="J9">
            <v>254.8</v>
          </cell>
          <cell r="L9">
            <v>1.5116781435727671</v>
          </cell>
        </row>
        <row r="10">
          <cell r="E10">
            <v>2.52</v>
          </cell>
          <cell r="H10">
            <v>137.6</v>
          </cell>
          <cell r="I10">
            <v>136</v>
          </cell>
          <cell r="J10">
            <v>273.60000000000002</v>
          </cell>
          <cell r="L10">
            <v>0.78131286582751824</v>
          </cell>
        </row>
        <row r="11">
          <cell r="E11">
            <v>0.4</v>
          </cell>
          <cell r="H11">
            <v>31.2</v>
          </cell>
          <cell r="I11">
            <v>14</v>
          </cell>
          <cell r="J11">
            <v>45.2</v>
          </cell>
          <cell r="L11">
            <v>451.79131786830322</v>
          </cell>
        </row>
        <row r="12">
          <cell r="E12">
            <v>0.5</v>
          </cell>
          <cell r="H12">
            <v>60.415999999999997</v>
          </cell>
          <cell r="I12">
            <v>41.984000000000009</v>
          </cell>
          <cell r="J12">
            <v>102.4</v>
          </cell>
          <cell r="L12">
            <v>334.69524022264471</v>
          </cell>
        </row>
        <row r="13">
          <cell r="E13">
            <v>0.8</v>
          </cell>
          <cell r="H13">
            <v>71.92</v>
          </cell>
          <cell r="I13">
            <v>45.28</v>
          </cell>
          <cell r="J13">
            <v>117.2</v>
          </cell>
          <cell r="L13">
            <v>136.07692993411877</v>
          </cell>
        </row>
        <row r="14">
          <cell r="E14">
            <v>0.3</v>
          </cell>
          <cell r="H14">
            <v>0</v>
          </cell>
          <cell r="I14">
            <v>0</v>
          </cell>
          <cell r="L14">
            <v>609.85448961089878</v>
          </cell>
        </row>
        <row r="15">
          <cell r="H15" t="str">
            <v>Macrophyte biomass</v>
          </cell>
        </row>
        <row r="16">
          <cell r="E16">
            <v>0.6</v>
          </cell>
          <cell r="H16">
            <v>98.207999999999998</v>
          </cell>
        </row>
        <row r="17">
          <cell r="E17">
            <v>1.2</v>
          </cell>
          <cell r="H17">
            <v>93.492000000000004</v>
          </cell>
        </row>
        <row r="21">
          <cell r="C21">
            <v>0.1</v>
          </cell>
          <cell r="E21">
            <v>1111.2273310225769</v>
          </cell>
        </row>
        <row r="22">
          <cell r="C22">
            <v>0.2</v>
          </cell>
          <cell r="E22">
            <v>823.21745414103964</v>
          </cell>
        </row>
        <row r="23">
          <cell r="C23">
            <v>0.3</v>
          </cell>
          <cell r="E23">
            <v>609.85448961089878</v>
          </cell>
        </row>
        <row r="24">
          <cell r="C24">
            <v>0.4</v>
          </cell>
          <cell r="E24">
            <v>451.79131786830322</v>
          </cell>
        </row>
        <row r="25">
          <cell r="C25">
            <v>0.5</v>
          </cell>
          <cell r="E25">
            <v>334.69524022264471</v>
          </cell>
          <cell r="F25">
            <v>1500</v>
          </cell>
        </row>
        <row r="26">
          <cell r="C26">
            <v>0.6</v>
          </cell>
          <cell r="E26">
            <v>247.94833233237983</v>
          </cell>
          <cell r="F26">
            <v>1111.2273310225769</v>
          </cell>
        </row>
        <row r="27">
          <cell r="C27">
            <v>0.70000000000000007</v>
          </cell>
          <cell r="E27">
            <v>183.68464237947285</v>
          </cell>
          <cell r="F27">
            <v>823.21745414103964</v>
          </cell>
        </row>
        <row r="28">
          <cell r="C28">
            <v>0.8</v>
          </cell>
          <cell r="E28">
            <v>136.07692993411877</v>
          </cell>
          <cell r="F28">
            <v>609.85448961089878</v>
          </cell>
        </row>
        <row r="29">
          <cell r="C29">
            <v>0.9</v>
          </cell>
          <cell r="E29">
            <v>100.80826910962467</v>
          </cell>
          <cell r="F29">
            <v>451.79131786830322</v>
          </cell>
        </row>
        <row r="30">
          <cell r="C30">
            <v>1</v>
          </cell>
          <cell r="E30">
            <v>74.680602551795914</v>
          </cell>
          <cell r="F30">
            <v>334.69524022264471</v>
          </cell>
        </row>
        <row r="31">
          <cell r="C31">
            <v>1.1000000000000001</v>
          </cell>
          <cell r="E31">
            <v>55.324751101860024</v>
          </cell>
          <cell r="F31">
            <v>247.94833233237983</v>
          </cell>
        </row>
        <row r="32">
          <cell r="C32">
            <v>1.2</v>
          </cell>
          <cell r="E32">
            <v>40.985583670938851</v>
          </cell>
          <cell r="F32">
            <v>183.68464237947285</v>
          </cell>
        </row>
        <row r="33">
          <cell r="C33">
            <v>1.3</v>
          </cell>
          <cell r="E33">
            <v>30.362867168706586</v>
          </cell>
          <cell r="F33">
            <v>136.07692993411877</v>
          </cell>
        </row>
        <row r="34">
          <cell r="C34">
            <v>1.4000000000000001</v>
          </cell>
          <cell r="E34">
            <v>22.493365230716556</v>
          </cell>
          <cell r="F34">
            <v>100.80826910962467</v>
          </cell>
        </row>
        <row r="35">
          <cell r="C35">
            <v>1.5</v>
          </cell>
          <cell r="E35">
            <v>16.66349480736346</v>
          </cell>
          <cell r="F35">
            <v>74.680602551795914</v>
          </cell>
        </row>
        <row r="36">
          <cell r="C36">
            <v>1.6</v>
          </cell>
          <cell r="E36">
            <v>12.344620573530046</v>
          </cell>
          <cell r="F36">
            <v>55.324751101860024</v>
          </cell>
        </row>
        <row r="37">
          <cell r="C37">
            <v>1.7</v>
          </cell>
          <cell r="E37">
            <v>9.1451198482734561</v>
          </cell>
          <cell r="F37">
            <v>40.985583670938851</v>
          </cell>
        </row>
        <row r="38">
          <cell r="C38">
            <v>1.8</v>
          </cell>
          <cell r="E38">
            <v>6.7748714139190058</v>
          </cell>
          <cell r="F38">
            <v>30.362867168706586</v>
          </cell>
        </row>
        <row r="39">
          <cell r="C39">
            <v>1.9000000000000001</v>
          </cell>
          <cell r="E39">
            <v>5.0189481862069076</v>
          </cell>
          <cell r="F39">
            <v>22.493365230716556</v>
          </cell>
        </row>
        <row r="40">
          <cell r="C40">
            <v>2</v>
          </cell>
          <cell r="E40">
            <v>3.7181282649995375</v>
          </cell>
          <cell r="F40">
            <v>16.66349480736346</v>
          </cell>
        </row>
        <row r="41">
          <cell r="C41">
            <v>2.1</v>
          </cell>
          <cell r="E41">
            <v>2.7544571655433607</v>
          </cell>
          <cell r="F41">
            <v>12.344620573530046</v>
          </cell>
        </row>
        <row r="42">
          <cell r="C42">
            <v>2.2000000000000002</v>
          </cell>
          <cell r="E42">
            <v>2.0405520563218409</v>
          </cell>
          <cell r="F42">
            <v>9.1451198482734561</v>
          </cell>
        </row>
        <row r="43">
          <cell r="C43">
            <v>2.3000000000000003</v>
          </cell>
          <cell r="E43">
            <v>1.5116781435727671</v>
          </cell>
          <cell r="F43">
            <v>6.7748714139190058</v>
          </cell>
        </row>
        <row r="44">
          <cell r="C44">
            <v>2.4</v>
          </cell>
          <cell r="E44">
            <v>1.1198787125650198</v>
          </cell>
          <cell r="F44">
            <v>5.0189481862069076</v>
          </cell>
        </row>
        <row r="45">
          <cell r="C45">
            <v>2.5</v>
          </cell>
          <cell r="E45">
            <v>0.82962655522175044</v>
          </cell>
          <cell r="F45">
            <v>3.7181282649995375</v>
          </cell>
        </row>
        <row r="46">
          <cell r="C46">
            <v>2.6</v>
          </cell>
          <cell r="E46">
            <v>0.61460246846968025</v>
          </cell>
          <cell r="F46">
            <v>2.7544571655433607</v>
          </cell>
        </row>
        <row r="47">
          <cell r="C47">
            <v>2.7</v>
          </cell>
          <cell r="E47">
            <v>0.45530870711830018</v>
          </cell>
          <cell r="F47">
            <v>2.0405520563218409</v>
          </cell>
        </row>
        <row r="48">
          <cell r="C48">
            <v>2.8000000000000003</v>
          </cell>
          <cell r="E48">
            <v>0.33730098626827232</v>
          </cell>
          <cell r="F48">
            <v>1.5116781435727671</v>
          </cell>
        </row>
        <row r="49">
          <cell r="C49">
            <v>2.9</v>
          </cell>
          <cell r="E49">
            <v>0.2498787164814503</v>
          </cell>
          <cell r="F49">
            <v>1.1198787125650198</v>
          </cell>
        </row>
        <row r="50">
          <cell r="C50">
            <v>3</v>
          </cell>
          <cell r="E50">
            <v>0.18511470613001935</v>
          </cell>
          <cell r="F50">
            <v>0.82962655522175044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BA4" t="str">
            <v xml:space="preserve"> 06:00 am</v>
          </cell>
          <cell r="BK4">
            <v>955.79999999999984</v>
          </cell>
          <cell r="BL4">
            <v>6.2601916903558079</v>
          </cell>
          <cell r="BM4">
            <v>402.56666666666666</v>
          </cell>
          <cell r="BN4">
            <v>10.168742957383353</v>
          </cell>
          <cell r="BO4">
            <v>302.0333333333333</v>
          </cell>
          <cell r="BP4">
            <v>6.206716791777545</v>
          </cell>
          <cell r="BQ4">
            <v>955.79999999999984</v>
          </cell>
          <cell r="BR4">
            <v>6.2601916903558079</v>
          </cell>
          <cell r="BS4">
            <v>402.56666666666666</v>
          </cell>
          <cell r="BT4">
            <v>10.168742957383353</v>
          </cell>
          <cell r="BU4">
            <v>302.0333333333333</v>
          </cell>
          <cell r="BV4">
            <v>6.206716791777545</v>
          </cell>
        </row>
        <row r="5">
          <cell r="BA5" t="str">
            <v xml:space="preserve"> 09:00 am</v>
          </cell>
          <cell r="BK5">
            <v>1483.4333333333334</v>
          </cell>
          <cell r="BL5">
            <v>16.701596730053424</v>
          </cell>
          <cell r="BM5">
            <v>645.20000000000005</v>
          </cell>
          <cell r="BN5">
            <v>28.425692603699162</v>
          </cell>
          <cell r="BO5">
            <v>425.09999999999997</v>
          </cell>
          <cell r="BP5">
            <v>16.900887550658375</v>
          </cell>
          <cell r="BQ5">
            <v>1296.7</v>
          </cell>
          <cell r="BR5">
            <v>29.170704482408389</v>
          </cell>
          <cell r="BS5">
            <v>580.16666666666663</v>
          </cell>
          <cell r="BT5">
            <v>15.757643647872392</v>
          </cell>
          <cell r="BU5">
            <v>356.2</v>
          </cell>
          <cell r="BV5">
            <v>28.551006987495214</v>
          </cell>
        </row>
        <row r="6">
          <cell r="BA6" t="str">
            <v xml:space="preserve">  12:00 am</v>
          </cell>
          <cell r="BK6">
            <v>1425.2</v>
          </cell>
          <cell r="BL6">
            <v>57.445713504142262</v>
          </cell>
          <cell r="BM6">
            <v>668.5</v>
          </cell>
          <cell r="BN6">
            <v>28.276492003075617</v>
          </cell>
          <cell r="BO6">
            <v>398.40000000000003</v>
          </cell>
          <cell r="BP6">
            <v>12.572986916401364</v>
          </cell>
          <cell r="BQ6">
            <v>1399.4333333333332</v>
          </cell>
          <cell r="BR6">
            <v>25.199669309999614</v>
          </cell>
          <cell r="BS6">
            <v>636.86666666666667</v>
          </cell>
          <cell r="BT6">
            <v>13.282444554122325</v>
          </cell>
          <cell r="BU6">
            <v>411.90000000000003</v>
          </cell>
          <cell r="BV6">
            <v>9.2999999999999829</v>
          </cell>
        </row>
        <row r="7">
          <cell r="BA7" t="str">
            <v xml:space="preserve"> 15:00pm</v>
          </cell>
          <cell r="BK7">
            <v>1214.8666666666666</v>
          </cell>
          <cell r="BL7">
            <v>39.467243802086401</v>
          </cell>
          <cell r="BM7">
            <v>625.6</v>
          </cell>
          <cell r="BN7">
            <v>22.558147087028178</v>
          </cell>
          <cell r="BO7">
            <v>389.3</v>
          </cell>
          <cell r="BP7">
            <v>3.9597979746446823</v>
          </cell>
          <cell r="BQ7">
            <v>1214.8666666666666</v>
          </cell>
          <cell r="BR7">
            <v>39.467243802086401</v>
          </cell>
          <cell r="BS7">
            <v>625.6</v>
          </cell>
          <cell r="BT7">
            <v>22.558147087028178</v>
          </cell>
          <cell r="BU7">
            <v>389.3</v>
          </cell>
          <cell r="BV7">
            <v>3.9597979746446823</v>
          </cell>
        </row>
        <row r="8">
          <cell r="BA8" t="str">
            <v xml:space="preserve"> 18:00pm</v>
          </cell>
          <cell r="BK8">
            <v>1149.0999999999999</v>
          </cell>
          <cell r="BL8">
            <v>120.20815280171308</v>
          </cell>
          <cell r="BM8">
            <v>502.63333333333338</v>
          </cell>
          <cell r="BN8">
            <v>6.6830631699343535</v>
          </cell>
          <cell r="BO8">
            <v>348.2</v>
          </cell>
          <cell r="BP8">
            <v>15.613775968675863</v>
          </cell>
          <cell r="BQ8">
            <v>1149.0999999999999</v>
          </cell>
          <cell r="BR8">
            <v>120.20815280171308</v>
          </cell>
          <cell r="BS8">
            <v>502.63333333333338</v>
          </cell>
          <cell r="BT8">
            <v>6.6830631699343535</v>
          </cell>
          <cell r="BU8">
            <v>348.2</v>
          </cell>
          <cell r="BV8">
            <v>15.613775968675863</v>
          </cell>
        </row>
        <row r="9">
          <cell r="BA9" t="str">
            <v xml:space="preserve"> 06:00 am</v>
          </cell>
          <cell r="BK9">
            <v>1032.7333333333333</v>
          </cell>
          <cell r="BL9">
            <v>33.541814699466308</v>
          </cell>
          <cell r="BM9">
            <v>402.35</v>
          </cell>
          <cell r="BN9">
            <v>5.3033008588991066</v>
          </cell>
          <cell r="BO9">
            <v>298.06666666666666</v>
          </cell>
          <cell r="BP9">
            <v>15.003444049061967</v>
          </cell>
          <cell r="BQ9">
            <v>1032.7333333333333</v>
          </cell>
          <cell r="BR9">
            <v>33.541814699466308</v>
          </cell>
          <cell r="BS9">
            <v>402.35</v>
          </cell>
          <cell r="BT9">
            <v>5.3033008588991066</v>
          </cell>
          <cell r="BU9">
            <v>298.06666666666666</v>
          </cell>
          <cell r="BV9">
            <v>15.003444049061967</v>
          </cell>
        </row>
        <row r="10">
          <cell r="BA10" t="str">
            <v xml:space="preserve"> 09:00 am</v>
          </cell>
          <cell r="BK10">
            <v>1056.3</v>
          </cell>
          <cell r="BL10">
            <v>14.96429082850239</v>
          </cell>
          <cell r="BM10">
            <v>502.86666666666673</v>
          </cell>
          <cell r="BN10">
            <v>14.828800805639466</v>
          </cell>
          <cell r="BO10">
            <v>302.33333333333331</v>
          </cell>
          <cell r="BP10">
            <v>14.992109035533767</v>
          </cell>
          <cell r="BQ10">
            <v>1056.3</v>
          </cell>
          <cell r="BR10">
            <v>14.96429082850239</v>
          </cell>
          <cell r="BS10">
            <v>502.86666666666673</v>
          </cell>
          <cell r="BT10">
            <v>14.828800805639466</v>
          </cell>
          <cell r="BU10">
            <v>302.33333333333331</v>
          </cell>
          <cell r="BV10">
            <v>14.992109035533767</v>
          </cell>
        </row>
        <row r="11">
          <cell r="BA11" t="str">
            <v xml:space="preserve">  12:00 am</v>
          </cell>
          <cell r="BK11">
            <v>1156.6666666666667</v>
          </cell>
          <cell r="BL11">
            <v>11.09519415482823</v>
          </cell>
          <cell r="BM11">
            <v>501.8</v>
          </cell>
          <cell r="BN11">
            <v>6.5779936150774549</v>
          </cell>
          <cell r="BO11">
            <v>278.64999999999998</v>
          </cell>
          <cell r="BP11">
            <v>13.788582233137676</v>
          </cell>
          <cell r="BQ11">
            <v>1156.6666666666667</v>
          </cell>
          <cell r="BR11">
            <v>11.09519415482823</v>
          </cell>
          <cell r="BS11">
            <v>501.8</v>
          </cell>
          <cell r="BT11">
            <v>6.5779936150774549</v>
          </cell>
          <cell r="BU11">
            <v>278.64999999999998</v>
          </cell>
          <cell r="BV11">
            <v>13.788582233137676</v>
          </cell>
        </row>
        <row r="12">
          <cell r="BA12" t="str">
            <v xml:space="preserve"> 15:00pm</v>
          </cell>
          <cell r="BK12">
            <v>1081.8</v>
          </cell>
          <cell r="BL12">
            <v>38.697674348725343</v>
          </cell>
          <cell r="BM12">
            <v>456.36666666666662</v>
          </cell>
          <cell r="BN12">
            <v>28.164930912987067</v>
          </cell>
          <cell r="BO12">
            <v>255.73333333333335</v>
          </cell>
          <cell r="BP12">
            <v>14.80213948499788</v>
          </cell>
          <cell r="BQ12">
            <v>1081.8</v>
          </cell>
          <cell r="BR12">
            <v>38.697674348725343</v>
          </cell>
          <cell r="BS12">
            <v>456.36666666666662</v>
          </cell>
          <cell r="BT12">
            <v>28.164930912987067</v>
          </cell>
          <cell r="BU12">
            <v>255.73333333333335</v>
          </cell>
          <cell r="BV12">
            <v>14.80213948499788</v>
          </cell>
        </row>
        <row r="13">
          <cell r="BA13" t="str">
            <v xml:space="preserve"> 18:00pm</v>
          </cell>
          <cell r="BK13">
            <v>1161.5666666666668</v>
          </cell>
          <cell r="BL13">
            <v>24.903279569834421</v>
          </cell>
          <cell r="BM13">
            <v>602.23333333333335</v>
          </cell>
          <cell r="BN13">
            <v>14.015824390071851</v>
          </cell>
          <cell r="BO13">
            <v>325.2</v>
          </cell>
          <cell r="BP13">
            <v>7.8542981863435708</v>
          </cell>
          <cell r="BQ13">
            <v>1161.5666666666668</v>
          </cell>
          <cell r="BR13">
            <v>24.903279569834421</v>
          </cell>
          <cell r="BS13">
            <v>602.23333333333335</v>
          </cell>
          <cell r="BT13">
            <v>14.015824390071851</v>
          </cell>
          <cell r="BU13">
            <v>325.2</v>
          </cell>
          <cell r="BV13">
            <v>7.8542981863435708</v>
          </cell>
        </row>
        <row r="14">
          <cell r="BA14" t="str">
            <v xml:space="preserve"> 06:00 am</v>
          </cell>
          <cell r="BK14">
            <v>902.25</v>
          </cell>
          <cell r="BL14">
            <v>18.314065632731644</v>
          </cell>
          <cell r="BM14">
            <v>402.83333333333331</v>
          </cell>
          <cell r="BN14">
            <v>23.725373196924277</v>
          </cell>
          <cell r="BO14">
            <v>287.20000000000005</v>
          </cell>
          <cell r="BP14">
            <v>9.7580735803743632</v>
          </cell>
        </row>
        <row r="15">
          <cell r="BA15" t="str">
            <v xml:space="preserve"> 09:00 am</v>
          </cell>
          <cell r="BK15">
            <v>1021.6666666666666</v>
          </cell>
          <cell r="BL15">
            <v>21.259429280517661</v>
          </cell>
          <cell r="BM15">
            <v>365.40000000000003</v>
          </cell>
          <cell r="BN15">
            <v>38.177087369258565</v>
          </cell>
          <cell r="BO15">
            <v>221.36666666666665</v>
          </cell>
          <cell r="BP15">
            <v>8.458329228242027</v>
          </cell>
        </row>
        <row r="16">
          <cell r="BA16" t="str">
            <v xml:space="preserve">  12:00 am</v>
          </cell>
          <cell r="BK16">
            <v>1132.4666666666667</v>
          </cell>
          <cell r="BL16">
            <v>34.439850948186908</v>
          </cell>
          <cell r="BM16">
            <v>588.65</v>
          </cell>
          <cell r="BN16">
            <v>19.586857838867399</v>
          </cell>
          <cell r="BO16">
            <v>356</v>
          </cell>
          <cell r="BP16">
            <v>11.580587204455551</v>
          </cell>
        </row>
        <row r="17">
          <cell r="BA17" t="str">
            <v xml:space="preserve"> 15:00pm</v>
          </cell>
          <cell r="BK17">
            <v>1140.9999999999998</v>
          </cell>
          <cell r="BL17">
            <v>27.626617599699049</v>
          </cell>
          <cell r="BM17">
            <v>624.36666666666667</v>
          </cell>
          <cell r="BN17">
            <v>12.312730539296849</v>
          </cell>
          <cell r="BO17">
            <v>336.70000000000005</v>
          </cell>
          <cell r="BP17">
            <v>15.414927829866743</v>
          </cell>
        </row>
        <row r="18">
          <cell r="BA18" t="str">
            <v xml:space="preserve"> 18:00pm</v>
          </cell>
          <cell r="BK18">
            <v>931.75</v>
          </cell>
          <cell r="BL18">
            <v>37.54737008100561</v>
          </cell>
          <cell r="BM18">
            <v>315.39999999999998</v>
          </cell>
          <cell r="BN18">
            <v>14.892615619829842</v>
          </cell>
          <cell r="BO18">
            <v>214.43333333333337</v>
          </cell>
          <cell r="BP18">
            <v>11.703560711737834</v>
          </cell>
        </row>
        <row r="19">
          <cell r="BA19" t="str">
            <v xml:space="preserve"> 06:00 am</v>
          </cell>
          <cell r="BK19">
            <v>954.43333333333339</v>
          </cell>
          <cell r="BL19">
            <v>40.286019080238418</v>
          </cell>
          <cell r="BM19">
            <v>456.5</v>
          </cell>
          <cell r="BN19">
            <v>28.849956672411107</v>
          </cell>
          <cell r="BO19">
            <v>268.5</v>
          </cell>
          <cell r="BP19">
            <v>19.190883252211183</v>
          </cell>
        </row>
        <row r="20">
          <cell r="BA20" t="str">
            <v xml:space="preserve"> 09:00 am</v>
          </cell>
          <cell r="BK20">
            <v>1069.5999999999999</v>
          </cell>
          <cell r="BL20">
            <v>40.587929240107734</v>
          </cell>
          <cell r="BM20">
            <v>514</v>
          </cell>
          <cell r="BN20">
            <v>10.79212675981891</v>
          </cell>
          <cell r="BO20">
            <v>298.06666666666666</v>
          </cell>
          <cell r="BP20">
            <v>9.2721806137139939</v>
          </cell>
        </row>
        <row r="21">
          <cell r="BA21" t="str">
            <v xml:space="preserve">  12:00 am</v>
          </cell>
          <cell r="BK21">
            <v>1123.8999999999999</v>
          </cell>
          <cell r="BL21">
            <v>90.378592598026316</v>
          </cell>
          <cell r="BM21">
            <v>402.36666666666662</v>
          </cell>
          <cell r="BN21">
            <v>13.202020047452324</v>
          </cell>
          <cell r="BO21">
            <v>301.3</v>
          </cell>
          <cell r="BP21">
            <v>8.1541400527584873</v>
          </cell>
        </row>
        <row r="22">
          <cell r="BA22" t="str">
            <v xml:space="preserve"> 15:00pm</v>
          </cell>
          <cell r="BK22">
            <v>1085.5999999999999</v>
          </cell>
          <cell r="BL22">
            <v>27.108854641980013</v>
          </cell>
          <cell r="BM22">
            <v>457.15</v>
          </cell>
          <cell r="BN22">
            <v>29.769195487953628</v>
          </cell>
          <cell r="BO22">
            <v>398.56666666666661</v>
          </cell>
          <cell r="BP22">
            <v>28.912338773148957</v>
          </cell>
        </row>
        <row r="23">
          <cell r="BA23" t="str">
            <v xml:space="preserve"> 18:00pm</v>
          </cell>
          <cell r="BK23">
            <v>965</v>
          </cell>
          <cell r="BL23">
            <v>31.424353613081713</v>
          </cell>
          <cell r="BM23">
            <v>369.63333333333338</v>
          </cell>
          <cell r="BN23">
            <v>12.687526683058959</v>
          </cell>
          <cell r="BO23">
            <v>278.35000000000002</v>
          </cell>
          <cell r="BP23">
            <v>14.354267658086924</v>
          </cell>
        </row>
        <row r="24">
          <cell r="BA24" t="str">
            <v xml:space="preserve"> 06:00 am</v>
          </cell>
          <cell r="BK24">
            <v>637.29999999999995</v>
          </cell>
          <cell r="BL24">
            <v>7.353910524340078</v>
          </cell>
          <cell r="BM24">
            <v>302.16666666666669</v>
          </cell>
          <cell r="BN24">
            <v>13.05386277441788</v>
          </cell>
          <cell r="BO24">
            <v>205.66666666666666</v>
          </cell>
          <cell r="BP24">
            <v>7.966387721755293</v>
          </cell>
        </row>
        <row r="25">
          <cell r="BA25" t="str">
            <v xml:space="preserve"> 09:00 am</v>
          </cell>
          <cell r="BK25">
            <v>674.63333333333333</v>
          </cell>
          <cell r="BL25">
            <v>22.490961147388408</v>
          </cell>
          <cell r="BM25">
            <v>227.03333333333333</v>
          </cell>
          <cell r="BN25">
            <v>22.624175859759692</v>
          </cell>
          <cell r="BO25">
            <v>201.5</v>
          </cell>
          <cell r="BP25">
            <v>9.450396817065414</v>
          </cell>
        </row>
        <row r="26">
          <cell r="BA26" t="str">
            <v xml:space="preserve">  12:00 am</v>
          </cell>
          <cell r="BK26">
            <v>814.36666666666679</v>
          </cell>
          <cell r="BL26">
            <v>15.566738044090474</v>
          </cell>
          <cell r="BM26">
            <v>369.4666666666667</v>
          </cell>
          <cell r="BN26">
            <v>15.550026795260939</v>
          </cell>
          <cell r="BO26">
            <v>256.06666666666666</v>
          </cell>
          <cell r="BP26">
            <v>10.891433942935759</v>
          </cell>
        </row>
        <row r="27">
          <cell r="BA27" t="str">
            <v xml:space="preserve"> 15:00pm</v>
          </cell>
          <cell r="BK27">
            <v>742.63333333333333</v>
          </cell>
          <cell r="BL27">
            <v>19.514439098609376</v>
          </cell>
          <cell r="BM27">
            <v>302.73333333333329</v>
          </cell>
          <cell r="BN27">
            <v>7.9764235928975831</v>
          </cell>
          <cell r="BO27">
            <v>269.63333333333333</v>
          </cell>
          <cell r="BP27">
            <v>19.125201523992725</v>
          </cell>
        </row>
        <row r="28">
          <cell r="BA28" t="str">
            <v xml:space="preserve"> 18:00pm</v>
          </cell>
          <cell r="BK28">
            <v>701.15</v>
          </cell>
          <cell r="BL28">
            <v>24.395183950935891</v>
          </cell>
          <cell r="BM28">
            <v>289</v>
          </cell>
          <cell r="BN28">
            <v>13.517766087634451</v>
          </cell>
          <cell r="BO28">
            <v>187.64999999999998</v>
          </cell>
          <cell r="BP28">
            <v>14.919953083036148</v>
          </cell>
        </row>
        <row r="29">
          <cell r="BA29" t="str">
            <v xml:space="preserve"> 06:00 am</v>
          </cell>
          <cell r="BK29">
            <v>502.03333333333336</v>
          </cell>
          <cell r="BL29">
            <v>11.81707803703325</v>
          </cell>
          <cell r="BM29">
            <v>259.3</v>
          </cell>
          <cell r="BN29">
            <v>15.556349186104045</v>
          </cell>
          <cell r="BO29">
            <v>112.36666666666667</v>
          </cell>
          <cell r="BP29">
            <v>12.25819453807669</v>
          </cell>
        </row>
        <row r="30">
          <cell r="BA30" t="str">
            <v xml:space="preserve"> 09:00 am</v>
          </cell>
          <cell r="BK30">
            <v>536.19999999999993</v>
          </cell>
          <cell r="BL30">
            <v>21.21815260572885</v>
          </cell>
          <cell r="BM30">
            <v>298.26666666666665</v>
          </cell>
          <cell r="BN30">
            <v>14.931287062183664</v>
          </cell>
          <cell r="BO30">
            <v>104.53333333333332</v>
          </cell>
          <cell r="BP30">
            <v>4.4657959350303233</v>
          </cell>
        </row>
        <row r="31">
          <cell r="BA31" t="str">
            <v xml:space="preserve">  12:00 am</v>
          </cell>
          <cell r="BK31">
            <v>623.26666666666665</v>
          </cell>
          <cell r="BL31">
            <v>19.32933866776958</v>
          </cell>
          <cell r="BM31">
            <v>302.03333333333336</v>
          </cell>
          <cell r="BN31">
            <v>11.569932295970142</v>
          </cell>
          <cell r="BO31">
            <v>145.75</v>
          </cell>
          <cell r="BP31">
            <v>13.505739520663074</v>
          </cell>
        </row>
        <row r="32">
          <cell r="BA32" t="str">
            <v xml:space="preserve"> 15:00pm</v>
          </cell>
          <cell r="BK32">
            <v>487.5333333333333</v>
          </cell>
          <cell r="BL32">
            <v>21.180730236073853</v>
          </cell>
          <cell r="BM32">
            <v>301.5</v>
          </cell>
          <cell r="BN32">
            <v>4.5254833995938881</v>
          </cell>
          <cell r="BO32">
            <v>198.56666666666669</v>
          </cell>
          <cell r="BP32">
            <v>8.9007490321508023</v>
          </cell>
        </row>
        <row r="33">
          <cell r="BA33" t="str">
            <v xml:space="preserve"> 18:00pm</v>
          </cell>
          <cell r="BK33">
            <v>446.16666666666669</v>
          </cell>
          <cell r="BL33">
            <v>7.0606892959068306</v>
          </cell>
          <cell r="BM33">
            <v>214.03333333333333</v>
          </cell>
          <cell r="BN33">
            <v>11.860157390748792</v>
          </cell>
          <cell r="BO33">
            <v>169.20000000000002</v>
          </cell>
          <cell r="BP33">
            <v>11.2769676775275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experimental data"/>
    </sheetNames>
    <sheetDataSet>
      <sheetData sheetId="0">
        <row r="19">
          <cell r="A19" t="str">
            <v xml:space="preserve">Potamogeton anguillanus
</v>
          </cell>
        </row>
        <row r="21">
          <cell r="I21">
            <v>31.69</v>
          </cell>
          <cell r="J21">
            <v>1.1901260437449468</v>
          </cell>
          <cell r="K21">
            <v>0.38000000000000006</v>
          </cell>
          <cell r="L21">
            <v>2.0000000000000018E-2</v>
          </cell>
          <cell r="M21">
            <v>0.45633333333333331</v>
          </cell>
          <cell r="N21">
            <v>5.4500764520631566E-2</v>
          </cell>
          <cell r="O21">
            <v>2.5103333333333331</v>
          </cell>
          <cell r="P21">
            <v>0.20650020177552708</v>
          </cell>
          <cell r="Q21">
            <v>9.4333333333333338E-2</v>
          </cell>
          <cell r="R21">
            <v>7.0237691685684986E-3</v>
          </cell>
        </row>
        <row r="22">
          <cell r="I22">
            <v>39.76</v>
          </cell>
          <cell r="J22">
            <v>2.1778888860545651</v>
          </cell>
          <cell r="K22">
            <v>0.25</v>
          </cell>
          <cell r="L22">
            <v>0</v>
          </cell>
          <cell r="M22">
            <v>0.42033333333333328</v>
          </cell>
          <cell r="N22">
            <v>4.0414518843273836E-3</v>
          </cell>
          <cell r="O22">
            <v>2.5443333333333329</v>
          </cell>
          <cell r="P22">
            <v>0.10186428880296243</v>
          </cell>
          <cell r="Q22">
            <v>7.8333333333333324E-2</v>
          </cell>
          <cell r="R22">
            <v>1.5275252316519479E-3</v>
          </cell>
        </row>
        <row r="23">
          <cell r="I23">
            <v>43.589999999999996</v>
          </cell>
          <cell r="J23">
            <v>2.9895317359078155</v>
          </cell>
          <cell r="K23">
            <v>0.25</v>
          </cell>
          <cell r="L23">
            <v>2.0000000000000004E-2</v>
          </cell>
          <cell r="M23">
            <v>0.34999999999999992</v>
          </cell>
          <cell r="N23">
            <v>2.0000000000000018E-3</v>
          </cell>
          <cell r="O23">
            <v>2.4456666666666664</v>
          </cell>
          <cell r="P23">
            <v>0.11250037036976053</v>
          </cell>
          <cell r="Q23">
            <v>3.5999999999999997E-2</v>
          </cell>
          <cell r="R23">
            <v>1.5099668870541504E-2</v>
          </cell>
        </row>
        <row r="24">
          <cell r="I24">
            <v>12.866666666666667</v>
          </cell>
          <cell r="J24">
            <v>6.0277137733416725E-2</v>
          </cell>
          <cell r="K24">
            <v>0.13</v>
          </cell>
          <cell r="L24">
            <v>1.0000000000000009E-2</v>
          </cell>
          <cell r="M24">
            <v>0.23633333333333331</v>
          </cell>
          <cell r="N24">
            <v>2.1126602503321105E-2</v>
          </cell>
          <cell r="O24">
            <v>1.8239999999999998</v>
          </cell>
          <cell r="P24">
            <v>0.1725340546095176</v>
          </cell>
          <cell r="Q24">
            <v>2.5500000000000002E-2</v>
          </cell>
          <cell r="R24">
            <v>7.0710678118654567E-4</v>
          </cell>
        </row>
        <row r="45">
          <cell r="B45" t="str">
            <v>control</v>
          </cell>
          <cell r="I45">
            <v>18.506666666666664</v>
          </cell>
          <cell r="J45">
            <v>1.9119187569908236</v>
          </cell>
          <cell r="K45">
            <v>0.28000000000000003</v>
          </cell>
          <cell r="L45">
            <v>1.999999999999999E-2</v>
          </cell>
          <cell r="M45">
            <v>0.23933333333333331</v>
          </cell>
          <cell r="N45">
            <v>1.5275252316519479E-3</v>
          </cell>
          <cell r="O45">
            <v>1.542</v>
          </cell>
          <cell r="P45">
            <v>0.11499999999999999</v>
          </cell>
          <cell r="Q45">
            <v>3.0333333333333334E-2</v>
          </cell>
          <cell r="R45">
            <v>2.0816659994661326E-3</v>
          </cell>
        </row>
        <row r="46">
          <cell r="B46" t="str">
            <v>5ppt</v>
          </cell>
          <cell r="I46">
            <v>15.5</v>
          </cell>
          <cell r="J46">
            <v>1.6122034611053291</v>
          </cell>
          <cell r="K46">
            <v>0.25333333333333335</v>
          </cell>
          <cell r="L46">
            <v>5.7735026918962623E-3</v>
          </cell>
          <cell r="M46">
            <v>0.21566666666666667</v>
          </cell>
          <cell r="N46">
            <v>4.5092497528228985E-3</v>
          </cell>
          <cell r="O46">
            <v>1.5043333333333333</v>
          </cell>
          <cell r="P46">
            <v>7.0945988845976041E-3</v>
          </cell>
          <cell r="Q46">
            <v>2.3666666666666669E-2</v>
          </cell>
          <cell r="R46">
            <v>6.5064070986476964E-3</v>
          </cell>
        </row>
        <row r="47">
          <cell r="B47" t="str">
            <v>10ppt</v>
          </cell>
          <cell r="I47">
            <v>13.523333333333332</v>
          </cell>
          <cell r="J47">
            <v>0.26501572280401242</v>
          </cell>
          <cell r="K47">
            <v>0.25</v>
          </cell>
          <cell r="L47">
            <v>2.0000000000000004E-2</v>
          </cell>
          <cell r="M47">
            <v>0.19133333333333336</v>
          </cell>
          <cell r="N47">
            <v>2.0256686138984663E-2</v>
          </cell>
          <cell r="O47">
            <v>1.4295</v>
          </cell>
          <cell r="P47">
            <v>0.21991020894901686</v>
          </cell>
          <cell r="Q47">
            <v>2.1666666666666667E-2</v>
          </cell>
          <cell r="R47">
            <v>2.5166114784235835E-3</v>
          </cell>
        </row>
        <row r="48">
          <cell r="B48" t="str">
            <v>15ppt</v>
          </cell>
          <cell r="I48">
            <v>14.56</v>
          </cell>
          <cell r="J48">
            <v>0.39344631145811965</v>
          </cell>
          <cell r="K48">
            <v>0.21</v>
          </cell>
          <cell r="L48">
            <v>9.999999999999995E-3</v>
          </cell>
          <cell r="M48">
            <v>0.184</v>
          </cell>
          <cell r="N48">
            <v>2.8284271247461927E-3</v>
          </cell>
          <cell r="O48">
            <v>1.1850000000000001</v>
          </cell>
          <cell r="P48">
            <v>9.000000000000008E-3</v>
          </cell>
          <cell r="Q48">
            <v>1.9E-2</v>
          </cell>
          <cell r="R48">
            <v>4.242640687119284E-3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eria densa"/>
      <sheetName val="Potamogeton anguillanus"/>
    </sheetNames>
    <sheetDataSet>
      <sheetData sheetId="0"/>
      <sheetData sheetId="1">
        <row r="36">
          <cell r="D36">
            <v>50</v>
          </cell>
          <cell r="E36">
            <v>35.014583333333334</v>
          </cell>
          <cell r="G36">
            <v>37.96875</v>
          </cell>
          <cell r="I36">
            <v>30.520833333333329</v>
          </cell>
          <cell r="K36">
            <v>31.145833333333329</v>
          </cell>
          <cell r="M36">
            <v>32.037500000000001</v>
          </cell>
          <cell r="O36">
            <v>32.993749999999999</v>
          </cell>
        </row>
        <row r="37">
          <cell r="D37">
            <v>100</v>
          </cell>
          <cell r="E37">
            <v>28.175000000000001</v>
          </cell>
          <cell r="G37">
            <v>27.587500000000002</v>
          </cell>
          <cell r="I37">
            <v>25.243749999999999</v>
          </cell>
          <cell r="K37">
            <v>22.647916666666664</v>
          </cell>
          <cell r="M37">
            <v>25.483333333333331</v>
          </cell>
          <cell r="O37">
            <v>27.239583333333332</v>
          </cell>
        </row>
        <row r="38">
          <cell r="D38">
            <v>200</v>
          </cell>
          <cell r="E38">
            <v>32.122916666666661</v>
          </cell>
          <cell r="G38">
            <v>29.199999999999996</v>
          </cell>
          <cell r="I38">
            <v>20.731249999999999</v>
          </cell>
          <cell r="K38">
            <v>20.0625</v>
          </cell>
          <cell r="M38">
            <v>21.137499999999996</v>
          </cell>
          <cell r="O38">
            <v>24.277083333333334</v>
          </cell>
        </row>
        <row r="39">
          <cell r="D39">
            <v>300</v>
          </cell>
          <cell r="E39">
            <v>38.304166666666667</v>
          </cell>
          <cell r="G39">
            <v>39.868749999999999</v>
          </cell>
          <cell r="I39">
            <v>42.883333333333326</v>
          </cell>
          <cell r="K39">
            <v>45.834374999999994</v>
          </cell>
          <cell r="M39">
            <v>27.391666666666662</v>
          </cell>
          <cell r="O39">
            <v>13.875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162"/>
  <sheetViews>
    <sheetView tabSelected="1" zoomScale="50" zoomScaleNormal="100" workbookViewId="0">
      <pane xSplit="7" ySplit="1" topLeftCell="AI42" activePane="bottomRight" state="frozen"/>
      <selection pane="topRight" activeCell="F1" sqref="F1"/>
      <selection pane="bottomLeft" activeCell="A2" sqref="A2"/>
      <selection pane="bottomRight" activeCell="AY42" activeCellId="1" sqref="DC74 AY42"/>
    </sheetView>
  </sheetViews>
  <sheetFormatPr baseColWidth="10" defaultColWidth="9" defaultRowHeight="15"/>
  <cols>
    <col min="1" max="1" width="3.1640625" style="1" customWidth="1"/>
    <col min="2" max="2" width="3.6640625" style="1" customWidth="1"/>
    <col min="3" max="3" width="4.33203125" style="1" customWidth="1"/>
    <col min="4" max="5" width="6.1640625" style="1" customWidth="1"/>
    <col min="6" max="6" width="4.5" style="1" customWidth="1"/>
    <col min="7" max="7" width="7" style="2" customWidth="1"/>
    <col min="8" max="8" width="10" style="1" customWidth="1"/>
    <col min="9" max="9" width="9" style="1"/>
    <col min="10" max="10" width="10.6640625" style="1" customWidth="1"/>
    <col min="11" max="11" width="9" style="1"/>
    <col min="12" max="12" width="9.1640625" style="1" customWidth="1"/>
    <col min="13" max="13" width="9" style="1"/>
    <col min="14" max="14" width="10" style="1" customWidth="1"/>
    <col min="15" max="15" width="9" style="1"/>
    <col min="16" max="16" width="8.33203125" style="1" customWidth="1"/>
    <col min="17" max="17" width="12.1640625" style="3" customWidth="1"/>
    <col min="18" max="18" width="9" style="1"/>
    <col min="19" max="19" width="10.83203125" style="1" customWidth="1"/>
    <col min="20" max="27" width="9" style="1"/>
    <col min="28" max="31" width="8.33203125" style="1" customWidth="1"/>
    <col min="32" max="40" width="9" style="1"/>
    <col min="41" max="41" width="12" style="1" customWidth="1"/>
    <col min="42" max="42" width="16.1640625" style="1" customWidth="1"/>
    <col min="43" max="43" width="9" style="1" customWidth="1"/>
    <col min="44" max="44" width="9.33203125" style="1" customWidth="1"/>
    <col min="45" max="45" width="10.6640625" style="1" customWidth="1"/>
    <col min="46" max="46" width="8.1640625" style="1" customWidth="1"/>
    <col min="47" max="48" width="9.1640625" style="1" customWidth="1"/>
    <col min="49" max="49" width="9" style="1" customWidth="1"/>
    <col min="50" max="50" width="12.1640625" style="1" customWidth="1"/>
    <col min="51" max="56" width="15.1640625" style="1" customWidth="1"/>
    <col min="57" max="59" width="16.1640625" style="1" customWidth="1"/>
    <col min="60" max="60" width="14.6640625" style="1" customWidth="1"/>
    <col min="61" max="62" width="17.1640625" style="1" customWidth="1"/>
    <col min="63" max="63" width="14.6640625" style="1" customWidth="1"/>
    <col min="64" max="65" width="9.83203125" style="1" customWidth="1"/>
    <col min="66" max="66" width="12.33203125" style="1" customWidth="1"/>
    <col min="67" max="67" width="12.83203125" style="1" customWidth="1"/>
    <col min="68" max="68" width="12.1640625" style="1" customWidth="1"/>
    <col min="69" max="69" width="12.6640625" style="1" customWidth="1"/>
    <col min="70" max="70" width="14.6640625" style="1" customWidth="1"/>
    <col min="71" max="118" width="9" style="1"/>
    <col min="119" max="119" width="13.1640625" style="1" bestFit="1" customWidth="1"/>
    <col min="120" max="120" width="9.6640625" style="1" customWidth="1"/>
    <col min="121" max="122" width="9" style="1"/>
    <col min="123" max="123" width="15.1640625" style="1" customWidth="1"/>
    <col min="124" max="136" width="9" style="1"/>
    <col min="137" max="139" width="9.6640625" style="1" bestFit="1" customWidth="1"/>
    <col min="140" max="140" width="9" style="1"/>
    <col min="141" max="141" width="9.6640625" style="1" bestFit="1" customWidth="1"/>
    <col min="142" max="142" width="10.1640625" style="1" customWidth="1"/>
    <col min="143" max="143" width="9.6640625" style="1" bestFit="1" customWidth="1"/>
    <col min="144" max="144" width="7.33203125" style="1" customWidth="1"/>
    <col min="145" max="16384" width="9" style="1"/>
  </cols>
  <sheetData>
    <row r="1" spans="1:147" s="1" customFormat="1" ht="20.25" customHeight="1">
      <c r="G1" s="2"/>
      <c r="Q1" s="3"/>
    </row>
    <row r="2" spans="1:147" s="1" customFormat="1" ht="24">
      <c r="B2" s="4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  <c r="AI2" s="7"/>
      <c r="AJ2" s="7"/>
      <c r="AK2" s="7"/>
      <c r="AL2" s="8"/>
      <c r="AM2" s="8"/>
      <c r="AO2" s="9" t="s">
        <v>16</v>
      </c>
      <c r="AP2" s="9" t="s">
        <v>17</v>
      </c>
      <c r="AQ2" s="10" t="s">
        <v>26</v>
      </c>
      <c r="AR2" s="11"/>
      <c r="AS2" s="11"/>
      <c r="AT2" s="11"/>
      <c r="AU2" s="11"/>
      <c r="AV2" s="11"/>
      <c r="AW2" s="12"/>
      <c r="AX2" s="13" t="s">
        <v>9</v>
      </c>
      <c r="AY2" s="14" t="s">
        <v>200</v>
      </c>
      <c r="AZ2" s="15"/>
      <c r="BA2" s="16"/>
      <c r="BB2" s="15" t="s">
        <v>201</v>
      </c>
      <c r="BC2" s="15"/>
      <c r="BD2" s="15"/>
      <c r="BE2" s="14" t="s">
        <v>202</v>
      </c>
      <c r="BF2" s="15"/>
      <c r="BG2" s="16"/>
      <c r="BH2" s="17" t="s">
        <v>27</v>
      </c>
      <c r="BI2" s="18" t="s">
        <v>31</v>
      </c>
      <c r="BJ2" s="18" t="s">
        <v>199</v>
      </c>
      <c r="BK2" s="19" t="s">
        <v>203</v>
      </c>
      <c r="BL2" s="20"/>
      <c r="BM2" s="21"/>
      <c r="BN2" s="19" t="s">
        <v>204</v>
      </c>
      <c r="BO2" s="20"/>
      <c r="BP2" s="21" t="s">
        <v>43</v>
      </c>
      <c r="BQ2" s="19" t="s">
        <v>205</v>
      </c>
      <c r="BR2" s="20"/>
      <c r="BS2" s="19" t="s">
        <v>206</v>
      </c>
      <c r="BT2" s="20"/>
      <c r="BU2" s="1" t="s">
        <v>207</v>
      </c>
      <c r="CG2" s="1" t="s">
        <v>46</v>
      </c>
      <c r="CH2" s="1" t="s">
        <v>47</v>
      </c>
      <c r="CI2" s="1" t="s">
        <v>48</v>
      </c>
      <c r="CJ2" s="1" t="s">
        <v>47</v>
      </c>
      <c r="CK2" s="1" t="s">
        <v>48</v>
      </c>
      <c r="CL2" s="1" t="s">
        <v>49</v>
      </c>
      <c r="CN2" s="1" t="s">
        <v>50</v>
      </c>
      <c r="CR2" s="22"/>
      <c r="CS2" s="23" t="s">
        <v>208</v>
      </c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2"/>
    </row>
    <row r="3" spans="1:147" s="1" customFormat="1" ht="26">
      <c r="A3" s="25"/>
      <c r="B3" s="2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7"/>
      <c r="AI3" s="7"/>
      <c r="AJ3" s="7"/>
      <c r="AK3" s="7"/>
      <c r="AL3" s="8"/>
      <c r="AM3" s="8"/>
      <c r="AN3" s="1" t="s">
        <v>209</v>
      </c>
      <c r="AO3" s="28"/>
      <c r="AP3" s="28"/>
      <c r="AQ3" s="29" t="s">
        <v>19</v>
      </c>
      <c r="AR3" s="29" t="s">
        <v>20</v>
      </c>
      <c r="AS3" s="29" t="s">
        <v>21</v>
      </c>
      <c r="AT3" s="29" t="s">
        <v>22</v>
      </c>
      <c r="AU3" s="29" t="s">
        <v>23</v>
      </c>
      <c r="AV3" s="29" t="s">
        <v>24</v>
      </c>
      <c r="AW3" s="29" t="s">
        <v>25</v>
      </c>
      <c r="AX3" s="30"/>
      <c r="AY3" s="31" t="s">
        <v>1</v>
      </c>
      <c r="AZ3" s="31" t="s">
        <v>2</v>
      </c>
      <c r="BA3" s="31" t="s">
        <v>45</v>
      </c>
      <c r="BB3" s="31" t="s">
        <v>1</v>
      </c>
      <c r="BC3" s="31" t="s">
        <v>2</v>
      </c>
      <c r="BD3" s="31" t="s">
        <v>45</v>
      </c>
      <c r="BE3" s="31" t="s">
        <v>1</v>
      </c>
      <c r="BF3" s="31" t="s">
        <v>2</v>
      </c>
      <c r="BG3" s="31" t="s">
        <v>45</v>
      </c>
      <c r="BH3" s="32" t="s">
        <v>28</v>
      </c>
      <c r="BI3" s="32" t="s">
        <v>32</v>
      </c>
      <c r="BJ3" s="32"/>
      <c r="BK3" s="32" t="s">
        <v>1</v>
      </c>
      <c r="BL3" s="32" t="s">
        <v>2</v>
      </c>
      <c r="BM3" s="32" t="s">
        <v>165</v>
      </c>
      <c r="BN3" s="32" t="s">
        <v>1</v>
      </c>
      <c r="BO3" s="32" t="s">
        <v>2</v>
      </c>
      <c r="BP3" s="32"/>
      <c r="BQ3" s="32" t="s">
        <v>1</v>
      </c>
      <c r="BR3" s="32" t="s">
        <v>2</v>
      </c>
      <c r="BS3" s="32" t="s">
        <v>1</v>
      </c>
      <c r="BT3" s="32" t="s">
        <v>2</v>
      </c>
      <c r="CD3" s="1" t="s">
        <v>51</v>
      </c>
      <c r="CE3" s="1" t="s">
        <v>52</v>
      </c>
      <c r="CF3" s="1" t="s">
        <v>53</v>
      </c>
      <c r="CH3" s="1" t="s">
        <v>54</v>
      </c>
      <c r="CI3" s="1" t="s">
        <v>55</v>
      </c>
      <c r="CJ3" s="1" t="s">
        <v>56</v>
      </c>
      <c r="CK3" s="1" t="s">
        <v>56</v>
      </c>
      <c r="CL3" s="1" t="s">
        <v>56</v>
      </c>
      <c r="CO3" s="1" t="s">
        <v>180</v>
      </c>
      <c r="CR3" s="22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2"/>
      <c r="DS3" s="33" t="s">
        <v>156</v>
      </c>
      <c r="DT3" s="34" t="s">
        <v>210</v>
      </c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6"/>
      <c r="EL3" s="37" t="s">
        <v>119</v>
      </c>
      <c r="EM3" s="38"/>
      <c r="EN3" s="38"/>
      <c r="EO3" s="38"/>
      <c r="EP3" s="38"/>
      <c r="EQ3" s="39"/>
    </row>
    <row r="4" spans="1:147" s="1" customFormat="1" ht="18.75" customHeight="1">
      <c r="A4" s="25"/>
      <c r="B4" s="40" t="s">
        <v>16</v>
      </c>
      <c r="C4" s="41" t="s">
        <v>15</v>
      </c>
      <c r="D4" s="42" t="s">
        <v>8</v>
      </c>
      <c r="E4" s="42" t="s">
        <v>175</v>
      </c>
      <c r="F4" s="42"/>
      <c r="G4" s="43" t="s">
        <v>9</v>
      </c>
      <c r="H4" s="44" t="s">
        <v>211</v>
      </c>
      <c r="I4" s="44"/>
      <c r="J4" s="44"/>
      <c r="K4" s="44" t="s">
        <v>212</v>
      </c>
      <c r="L4" s="44"/>
      <c r="M4" s="44"/>
      <c r="N4" s="44" t="s">
        <v>213</v>
      </c>
      <c r="O4" s="44"/>
      <c r="P4" s="44"/>
      <c r="Q4" s="44" t="s">
        <v>214</v>
      </c>
      <c r="R4" s="44"/>
      <c r="S4" s="44"/>
      <c r="T4" s="44" t="s">
        <v>215</v>
      </c>
      <c r="U4" s="44"/>
      <c r="V4" s="44"/>
      <c r="W4" s="45"/>
      <c r="X4" s="45"/>
      <c r="Y4" s="45"/>
      <c r="Z4" s="44" t="s">
        <v>216</v>
      </c>
      <c r="AA4" s="44"/>
      <c r="AB4" s="44"/>
      <c r="AC4" s="45"/>
      <c r="AD4" s="45"/>
      <c r="AE4" s="45"/>
      <c r="AF4" s="44" t="s">
        <v>217</v>
      </c>
      <c r="AG4" s="44"/>
      <c r="AH4" s="46"/>
      <c r="AI4" s="45"/>
      <c r="AJ4" s="45"/>
      <c r="AK4" s="45"/>
      <c r="AL4" s="45" t="s">
        <v>33</v>
      </c>
      <c r="AM4" s="45" t="s">
        <v>44</v>
      </c>
      <c r="AN4" s="1">
        <v>6</v>
      </c>
      <c r="AO4" s="33" t="str">
        <f>B6</f>
        <v>1PA Light</v>
      </c>
      <c r="AP4" s="33" t="str">
        <f>C6</f>
        <v>P.anguillanuce</v>
      </c>
      <c r="AQ4" s="47">
        <v>654</v>
      </c>
      <c r="AR4" s="47">
        <v>345</v>
      </c>
      <c r="AS4" s="47">
        <v>130</v>
      </c>
      <c r="AT4" s="47">
        <v>55</v>
      </c>
      <c r="AU4" s="47">
        <v>30</v>
      </c>
      <c r="AV4" s="47">
        <v>20</v>
      </c>
      <c r="AW4" s="47">
        <v>10</v>
      </c>
      <c r="AX4" s="48" t="str">
        <f>G6</f>
        <v xml:space="preserve"> 06:00 am</v>
      </c>
      <c r="AY4" s="49">
        <v>0.84299999999999997</v>
      </c>
      <c r="AZ4" s="50">
        <v>2.7622454633866294E-2</v>
      </c>
      <c r="BA4" s="50">
        <f>AY4/AY$4</f>
        <v>1</v>
      </c>
      <c r="BB4" s="50">
        <v>0.20233333333333334</v>
      </c>
      <c r="BC4" s="50">
        <v>6.1101009266077769E-3</v>
      </c>
      <c r="BD4" s="50">
        <f>BB4/BB$4</f>
        <v>1</v>
      </c>
      <c r="BE4" s="51">
        <v>1.9186666666666668E-2</v>
      </c>
      <c r="BF4" s="50">
        <v>7.0713035101976202E-4</v>
      </c>
      <c r="BG4" s="50">
        <f>BE4/BE$4</f>
        <v>1</v>
      </c>
      <c r="BH4" s="50">
        <f t="shared" ref="BH4:BH33" si="0">AY4+BB4+BE4</f>
        <v>1.0645199999999999</v>
      </c>
      <c r="BI4" s="50">
        <f t="shared" ref="BI4:BI33" si="1">26.6*AY4+40*BB4+2.8*BE4</f>
        <v>30.570855999999999</v>
      </c>
      <c r="BJ4" s="50">
        <f>26.6*AZ4+40*BC4+2.8*BF4</f>
        <v>0.98114129530800986</v>
      </c>
      <c r="BK4" s="49">
        <v>9.0180000000000007</v>
      </c>
      <c r="BL4" s="49">
        <v>2.4556058315617305E-2</v>
      </c>
      <c r="BM4" s="49">
        <f>BK4-BK9</f>
        <v>1.5660000000000007</v>
      </c>
      <c r="BN4" s="52">
        <f>X8</f>
        <v>1055.6666666666667</v>
      </c>
      <c r="BO4" s="52">
        <v>6.2601916903558079</v>
      </c>
      <c r="BP4" s="52">
        <f>BN4/BN$4</f>
        <v>1</v>
      </c>
      <c r="BQ4" s="52">
        <v>402.56666666666666</v>
      </c>
      <c r="BR4" s="52">
        <v>10.168742957383353</v>
      </c>
      <c r="BS4" s="52">
        <v>302.0333333333333</v>
      </c>
      <c r="BT4" s="52">
        <v>6.206716791777545</v>
      </c>
      <c r="BU4" s="1">
        <f>BS4/BS$4</f>
        <v>1</v>
      </c>
      <c r="CD4" s="1" t="s">
        <v>57</v>
      </c>
      <c r="CE4" s="1" t="s">
        <v>58</v>
      </c>
      <c r="CF4" s="1" t="s">
        <v>59</v>
      </c>
      <c r="CG4" s="1">
        <v>1.22</v>
      </c>
      <c r="CH4" s="1">
        <v>57.5</v>
      </c>
      <c r="CI4" s="1">
        <v>56.6</v>
      </c>
      <c r="CJ4" s="1">
        <v>230</v>
      </c>
      <c r="CK4" s="1">
        <v>226.4</v>
      </c>
      <c r="CL4" s="1">
        <f>CJ4+CK4</f>
        <v>456.4</v>
      </c>
      <c r="CM4" s="1">
        <v>0</v>
      </c>
      <c r="CN4" s="1">
        <f>1500*EXP(-0.03*CG4*100)</f>
        <v>38.598769089539907</v>
      </c>
      <c r="CO4" s="1">
        <v>0</v>
      </c>
      <c r="CP4" s="1">
        <v>1800</v>
      </c>
      <c r="CR4" s="53" t="s">
        <v>87</v>
      </c>
      <c r="CS4" s="53" t="s">
        <v>88</v>
      </c>
      <c r="CT4" s="54" t="s">
        <v>204</v>
      </c>
      <c r="CU4" s="54"/>
      <c r="CV4" s="54"/>
      <c r="CW4" s="54" t="s">
        <v>218</v>
      </c>
      <c r="CX4" s="54"/>
      <c r="CY4" s="54"/>
      <c r="CZ4" s="54" t="s">
        <v>219</v>
      </c>
      <c r="DA4" s="54"/>
      <c r="DB4" s="54"/>
      <c r="DC4" s="54" t="s">
        <v>220</v>
      </c>
      <c r="DD4" s="54"/>
      <c r="DE4" s="54"/>
      <c r="DF4" s="54" t="s">
        <v>221</v>
      </c>
      <c r="DG4" s="54"/>
      <c r="DH4" s="54"/>
      <c r="DI4" s="54" t="s">
        <v>222</v>
      </c>
      <c r="DJ4" s="54"/>
      <c r="DK4" s="54"/>
      <c r="DL4" s="54" t="s">
        <v>223</v>
      </c>
      <c r="DM4" s="54"/>
      <c r="DN4" s="54"/>
      <c r="DO4" s="54" t="s">
        <v>224</v>
      </c>
      <c r="DP4" s="54"/>
      <c r="DQ4" s="54"/>
      <c r="DR4" s="22"/>
      <c r="DS4" s="55"/>
      <c r="DT4" s="56" t="s">
        <v>157</v>
      </c>
      <c r="DU4" s="57" t="s">
        <v>143</v>
      </c>
      <c r="DV4" s="58"/>
      <c r="DW4" s="57" t="s">
        <v>144</v>
      </c>
      <c r="DX4" s="58"/>
      <c r="DY4" s="57" t="s">
        <v>100</v>
      </c>
      <c r="DZ4" s="58"/>
      <c r="EA4" s="59" t="s">
        <v>101</v>
      </c>
      <c r="EB4" s="60"/>
      <c r="EC4" s="61"/>
      <c r="ED4" s="57" t="s">
        <v>158</v>
      </c>
      <c r="EE4" s="58"/>
      <c r="EF4" s="57" t="s">
        <v>141</v>
      </c>
      <c r="EG4" s="58"/>
      <c r="EH4" s="57" t="s">
        <v>140</v>
      </c>
      <c r="EI4" s="58"/>
      <c r="EJ4" s="62" t="s">
        <v>183</v>
      </c>
      <c r="EL4" s="63" t="s">
        <v>225</v>
      </c>
      <c r="EM4" s="64"/>
      <c r="EN4" s="64"/>
      <c r="EO4" s="64"/>
      <c r="EP4" s="64"/>
      <c r="EQ4" s="65"/>
    </row>
    <row r="5" spans="1:147" s="1" customFormat="1" ht="18.75" customHeight="1">
      <c r="A5" s="25"/>
      <c r="B5" s="40"/>
      <c r="C5" s="41"/>
      <c r="D5" s="66" t="s">
        <v>226</v>
      </c>
      <c r="E5" s="66" t="s">
        <v>227</v>
      </c>
      <c r="F5" s="66"/>
      <c r="G5" s="43"/>
      <c r="H5" s="67" t="s">
        <v>0</v>
      </c>
      <c r="I5" s="67" t="s">
        <v>1</v>
      </c>
      <c r="J5" s="67" t="s">
        <v>2</v>
      </c>
      <c r="K5" s="67" t="s">
        <v>0</v>
      </c>
      <c r="L5" s="67" t="s">
        <v>1</v>
      </c>
      <c r="M5" s="67" t="s">
        <v>2</v>
      </c>
      <c r="N5" s="67" t="s">
        <v>0</v>
      </c>
      <c r="O5" s="67" t="s">
        <v>1</v>
      </c>
      <c r="P5" s="67" t="s">
        <v>2</v>
      </c>
      <c r="Q5" s="67" t="s">
        <v>0</v>
      </c>
      <c r="R5" s="67" t="s">
        <v>1</v>
      </c>
      <c r="S5" s="67" t="s">
        <v>2</v>
      </c>
      <c r="T5" s="67" t="s">
        <v>0</v>
      </c>
      <c r="U5" s="67" t="s">
        <v>1</v>
      </c>
      <c r="V5" s="67" t="s">
        <v>2</v>
      </c>
      <c r="W5" s="67"/>
      <c r="X5" s="67"/>
      <c r="Y5" s="67"/>
      <c r="Z5" s="67" t="s">
        <v>0</v>
      </c>
      <c r="AA5" s="67" t="s">
        <v>1</v>
      </c>
      <c r="AB5" s="67" t="s">
        <v>2</v>
      </c>
      <c r="AC5" s="67"/>
      <c r="AD5" s="67"/>
      <c r="AE5" s="67"/>
      <c r="AF5" s="67" t="s">
        <v>0</v>
      </c>
      <c r="AG5" s="67" t="s">
        <v>1</v>
      </c>
      <c r="AH5" s="68" t="s">
        <v>2</v>
      </c>
      <c r="AI5" s="67"/>
      <c r="AJ5" s="67"/>
      <c r="AK5" s="67"/>
      <c r="AL5" s="67"/>
      <c r="AM5" s="67"/>
      <c r="AN5" s="1">
        <v>9</v>
      </c>
      <c r="AO5" s="55"/>
      <c r="AP5" s="55"/>
      <c r="AQ5" s="47">
        <v>925</v>
      </c>
      <c r="AR5" s="47">
        <v>402</v>
      </c>
      <c r="AS5" s="47">
        <v>298</v>
      </c>
      <c r="AT5" s="47">
        <v>145</v>
      </c>
      <c r="AU5" s="47">
        <v>102</v>
      </c>
      <c r="AV5" s="47">
        <v>50</v>
      </c>
      <c r="AW5" s="47">
        <v>20</v>
      </c>
      <c r="AX5" s="48" t="str">
        <f>G9</f>
        <v xml:space="preserve"> 09:00 am</v>
      </c>
      <c r="AY5" s="49">
        <v>0.91366666666666674</v>
      </c>
      <c r="AZ5" s="50">
        <v>1.2583057392117928E-2</v>
      </c>
      <c r="BA5" s="50">
        <f t="shared" ref="BA5:BA8" si="2">AY5/AY$4</f>
        <v>1.0838275998418347</v>
      </c>
      <c r="BB5" s="50">
        <v>0.21233333333333335</v>
      </c>
      <c r="BC5" s="50">
        <v>6.6583281184793989E-3</v>
      </c>
      <c r="BD5" s="50">
        <f t="shared" ref="BD5:BD8" si="3">BB5/BB$4</f>
        <v>1.0494233937397035</v>
      </c>
      <c r="BE5" s="51">
        <v>2.1649999999999999E-2</v>
      </c>
      <c r="BF5" s="50">
        <v>2.1213203435596541E-4</v>
      </c>
      <c r="BG5" s="50">
        <f t="shared" ref="BG5:BG8" si="4">BE5/BE$4</f>
        <v>1.128387769284225</v>
      </c>
      <c r="BH5" s="50">
        <f t="shared" si="0"/>
        <v>1.1476500000000001</v>
      </c>
      <c r="BI5" s="50">
        <f t="shared" si="1"/>
        <v>32.857486666666674</v>
      </c>
      <c r="BJ5" s="50">
        <f t="shared" ref="BJ5:BJ33" si="5">26.6*AZ5+40*BC5+2.8*BF5</f>
        <v>0.60163642106570969</v>
      </c>
      <c r="BK5" s="49">
        <v>10.198</v>
      </c>
      <c r="BL5" s="49">
        <v>9.3600213674969457E-2</v>
      </c>
      <c r="BM5" s="49">
        <f t="shared" ref="BM5:BM8" si="6">BK5-BK10</f>
        <v>2.0583333333333336</v>
      </c>
      <c r="BN5" s="52">
        <f>X11</f>
        <v>1265.0999999999999</v>
      </c>
      <c r="BO5" s="52">
        <f>Y11</f>
        <v>29.170704482408389</v>
      </c>
      <c r="BP5" s="52">
        <f t="shared" ref="BP5:BP8" si="7">BN5/BN$4</f>
        <v>1.198389643195453</v>
      </c>
      <c r="BQ5" s="52">
        <v>645.20000000000005</v>
      </c>
      <c r="BR5" s="52">
        <v>28.425692603699162</v>
      </c>
      <c r="BS5" s="52">
        <v>425.09999999999997</v>
      </c>
      <c r="BT5" s="52">
        <v>16.900887550658375</v>
      </c>
      <c r="BU5" s="1">
        <f t="shared" ref="BU5:BU8" si="8">BS5/BS$4</f>
        <v>1.4074605451936872</v>
      </c>
      <c r="CD5" s="1" t="s">
        <v>60</v>
      </c>
      <c r="CE5" s="1" t="s">
        <v>61</v>
      </c>
      <c r="CF5" s="1" t="s">
        <v>62</v>
      </c>
      <c r="CG5" s="1">
        <v>1.28</v>
      </c>
      <c r="CH5" s="1">
        <v>60.8</v>
      </c>
      <c r="CI5" s="1">
        <v>39.200000000000003</v>
      </c>
      <c r="CJ5" s="1">
        <v>243.2</v>
      </c>
      <c r="CK5" s="1">
        <v>156.80000000000001</v>
      </c>
      <c r="CL5" s="1">
        <f t="shared" ref="CL5:CL17" si="9">CJ5+CK5</f>
        <v>400</v>
      </c>
      <c r="CM5" s="1">
        <v>0</v>
      </c>
      <c r="CN5" s="1">
        <f t="shared" ref="CN5:CN13" si="10">1500*EXP(-0.03*CG5*100)</f>
        <v>32.240402017634885</v>
      </c>
      <c r="CO5" s="1">
        <v>0.1</v>
      </c>
      <c r="CP5" s="1">
        <v>1570</v>
      </c>
      <c r="CR5" s="53"/>
      <c r="CS5" s="53"/>
      <c r="CT5" s="54" t="s">
        <v>89</v>
      </c>
      <c r="CU5" s="54"/>
      <c r="CV5" s="54"/>
      <c r="CW5" s="54" t="s">
        <v>89</v>
      </c>
      <c r="CX5" s="54"/>
      <c r="CY5" s="54"/>
      <c r="CZ5" s="54" t="s">
        <v>89</v>
      </c>
      <c r="DA5" s="54"/>
      <c r="DB5" s="54"/>
      <c r="DC5" s="54" t="s">
        <v>89</v>
      </c>
      <c r="DD5" s="54"/>
      <c r="DE5" s="54"/>
      <c r="DF5" s="54" t="s">
        <v>89</v>
      </c>
      <c r="DG5" s="54"/>
      <c r="DH5" s="54"/>
      <c r="DI5" s="54" t="s">
        <v>89</v>
      </c>
      <c r="DJ5" s="54"/>
      <c r="DK5" s="54"/>
      <c r="DL5" s="54" t="s">
        <v>89</v>
      </c>
      <c r="DM5" s="54"/>
      <c r="DN5" s="54"/>
      <c r="DO5" s="54" t="s">
        <v>89</v>
      </c>
      <c r="DP5" s="54"/>
      <c r="DQ5" s="54"/>
      <c r="DR5" s="22"/>
      <c r="DS5" s="55"/>
      <c r="DT5" s="69"/>
      <c r="DU5" s="29" t="s">
        <v>91</v>
      </c>
      <c r="DV5" s="29" t="s">
        <v>2</v>
      </c>
      <c r="DW5" s="29" t="s">
        <v>91</v>
      </c>
      <c r="DX5" s="29" t="s">
        <v>2</v>
      </c>
      <c r="DY5" s="29" t="s">
        <v>91</v>
      </c>
      <c r="DZ5" s="29" t="s">
        <v>2</v>
      </c>
      <c r="EA5" s="29" t="s">
        <v>91</v>
      </c>
      <c r="EB5" s="29"/>
      <c r="EC5" s="29" t="s">
        <v>2</v>
      </c>
      <c r="ED5" s="29" t="s">
        <v>91</v>
      </c>
      <c r="EE5" s="29" t="s">
        <v>2</v>
      </c>
      <c r="EF5" s="29" t="s">
        <v>91</v>
      </c>
      <c r="EG5" s="29" t="s">
        <v>2</v>
      </c>
      <c r="EH5" s="29" t="s">
        <v>91</v>
      </c>
      <c r="EI5" s="29" t="s">
        <v>2</v>
      </c>
      <c r="EJ5" s="70" t="s">
        <v>91</v>
      </c>
      <c r="EK5" s="70" t="s">
        <v>2</v>
      </c>
      <c r="EL5" s="71"/>
      <c r="EM5" s="72"/>
      <c r="EN5" s="72"/>
      <c r="EO5" s="72"/>
      <c r="EP5" s="72"/>
      <c r="EQ5" s="73"/>
    </row>
    <row r="6" spans="1:147" s="1" customFormat="1" ht="15" customHeight="1">
      <c r="A6" s="25"/>
      <c r="B6" s="74" t="s">
        <v>170</v>
      </c>
      <c r="C6" s="75" t="s">
        <v>42</v>
      </c>
      <c r="D6" s="76">
        <v>654</v>
      </c>
      <c r="E6" s="76">
        <v>30</v>
      </c>
      <c r="F6" s="76"/>
      <c r="G6" s="77" t="s">
        <v>14</v>
      </c>
      <c r="H6" s="67">
        <v>0.86899999999999999</v>
      </c>
      <c r="I6" s="67"/>
      <c r="J6" s="67"/>
      <c r="K6" s="67">
        <v>0.19700000000000001</v>
      </c>
      <c r="L6" s="67"/>
      <c r="M6" s="67"/>
      <c r="N6" s="67">
        <v>1.9859999999999999E-2</v>
      </c>
      <c r="O6" s="67"/>
      <c r="P6" s="67"/>
      <c r="Q6" s="78">
        <v>9.0120000000000005</v>
      </c>
      <c r="R6" s="67"/>
      <c r="S6" s="67"/>
      <c r="T6" s="67">
        <v>950.1</v>
      </c>
      <c r="U6" s="67"/>
      <c r="V6" s="67"/>
      <c r="W6" s="67">
        <v>1050</v>
      </c>
      <c r="X6" s="67"/>
      <c r="Y6" s="67"/>
      <c r="Z6" s="67">
        <v>410.8</v>
      </c>
      <c r="AA6" s="67"/>
      <c r="AB6" s="67"/>
      <c r="AC6" s="67"/>
      <c r="AD6" s="67"/>
      <c r="AE6" s="67"/>
      <c r="AF6" s="67">
        <v>298.39999999999998</v>
      </c>
      <c r="AG6" s="67"/>
      <c r="AH6" s="68"/>
      <c r="AI6" s="67"/>
      <c r="AJ6" s="67"/>
      <c r="AK6" s="67"/>
      <c r="AL6" s="67"/>
      <c r="AM6" s="67"/>
      <c r="AN6" s="1">
        <v>12</v>
      </c>
      <c r="AO6" s="55"/>
      <c r="AP6" s="55"/>
      <c r="AQ6" s="47">
        <v>1817</v>
      </c>
      <c r="AR6" s="47">
        <v>1408</v>
      </c>
      <c r="AS6" s="47">
        <v>948</v>
      </c>
      <c r="AT6" s="47">
        <v>283</v>
      </c>
      <c r="AU6" s="47">
        <v>171</v>
      </c>
      <c r="AV6" s="47">
        <v>65</v>
      </c>
      <c r="AW6" s="47">
        <v>25</v>
      </c>
      <c r="AX6" s="48" t="str">
        <f>G12</f>
        <v xml:space="preserve">  12:00 am</v>
      </c>
      <c r="AY6" s="49">
        <v>1.1403333333333332</v>
      </c>
      <c r="AZ6" s="50">
        <v>8.0208062770106558E-3</v>
      </c>
      <c r="BA6" s="50">
        <f t="shared" si="2"/>
        <v>1.3527085804665875</v>
      </c>
      <c r="BB6" s="50">
        <v>0.21433333333333335</v>
      </c>
      <c r="BC6" s="50">
        <v>4.0414518843273836E-3</v>
      </c>
      <c r="BD6" s="50">
        <f t="shared" si="3"/>
        <v>1.0593080724876442</v>
      </c>
      <c r="BE6" s="51">
        <v>2.2500000000000003E-2</v>
      </c>
      <c r="BF6" s="50">
        <v>3.9999999999999937E-4</v>
      </c>
      <c r="BG6" s="50">
        <f t="shared" si="4"/>
        <v>1.1726893676164003</v>
      </c>
      <c r="BH6" s="50">
        <f t="shared" si="0"/>
        <v>1.3771666666666664</v>
      </c>
      <c r="BI6" s="50">
        <f t="shared" si="1"/>
        <v>38.969200000000001</v>
      </c>
      <c r="BJ6" s="50">
        <f t="shared" si="5"/>
        <v>0.37613152234157882</v>
      </c>
      <c r="BK6" s="49">
        <v>13.463333333333333</v>
      </c>
      <c r="BL6" s="49">
        <v>1.0488247390929206</v>
      </c>
      <c r="BM6" s="49">
        <f t="shared" si="6"/>
        <v>5.2756666666666661</v>
      </c>
      <c r="BN6" s="52">
        <f>X14</f>
        <v>1361.2</v>
      </c>
      <c r="BO6" s="52">
        <v>57.445713504142262</v>
      </c>
      <c r="BP6" s="52">
        <f t="shared" si="7"/>
        <v>1.2894221660877803</v>
      </c>
      <c r="BQ6" s="52">
        <v>668.5</v>
      </c>
      <c r="BR6" s="52">
        <v>28.276492003075617</v>
      </c>
      <c r="BS6" s="52">
        <v>398.40000000000003</v>
      </c>
      <c r="BT6" s="52">
        <v>12.572986916401364</v>
      </c>
      <c r="BU6" s="1">
        <f t="shared" si="8"/>
        <v>1.3190597064341687</v>
      </c>
      <c r="CD6" s="1" t="s">
        <v>63</v>
      </c>
      <c r="CE6" s="1" t="s">
        <v>64</v>
      </c>
      <c r="CF6" s="1" t="s">
        <v>65</v>
      </c>
      <c r="CG6" s="1">
        <v>1.35</v>
      </c>
      <c r="CH6" s="1">
        <v>71.400000000000006</v>
      </c>
      <c r="CI6" s="1">
        <v>47.6</v>
      </c>
      <c r="CJ6" s="1">
        <v>285.60000000000002</v>
      </c>
      <c r="CK6" s="1">
        <v>190.4</v>
      </c>
      <c r="CL6" s="1">
        <f t="shared" si="9"/>
        <v>476</v>
      </c>
      <c r="CM6" s="1">
        <v>0</v>
      </c>
      <c r="CN6" s="1">
        <f t="shared" si="10"/>
        <v>26.133561959240271</v>
      </c>
      <c r="CO6" s="1">
        <v>0.2</v>
      </c>
      <c r="CP6" s="1">
        <v>1213</v>
      </c>
      <c r="CR6" s="53"/>
      <c r="CS6" s="53"/>
      <c r="CT6" s="3" t="s">
        <v>90</v>
      </c>
      <c r="CU6" s="3" t="s">
        <v>91</v>
      </c>
      <c r="CV6" s="3" t="s">
        <v>2</v>
      </c>
      <c r="CW6" s="3" t="s">
        <v>90</v>
      </c>
      <c r="CX6" s="3" t="s">
        <v>91</v>
      </c>
      <c r="CY6" s="3" t="s">
        <v>2</v>
      </c>
      <c r="CZ6" s="3" t="s">
        <v>90</v>
      </c>
      <c r="DA6" s="3" t="s">
        <v>91</v>
      </c>
      <c r="DB6" s="3" t="s">
        <v>2</v>
      </c>
      <c r="DC6" s="3" t="s">
        <v>90</v>
      </c>
      <c r="DD6" s="3" t="s">
        <v>91</v>
      </c>
      <c r="DE6" s="3" t="s">
        <v>2</v>
      </c>
      <c r="DF6" s="3" t="s">
        <v>90</v>
      </c>
      <c r="DG6" s="3" t="s">
        <v>91</v>
      </c>
      <c r="DH6" s="3" t="s">
        <v>2</v>
      </c>
      <c r="DI6" s="3" t="s">
        <v>90</v>
      </c>
      <c r="DJ6" s="3" t="s">
        <v>91</v>
      </c>
      <c r="DK6" s="3" t="s">
        <v>2</v>
      </c>
      <c r="DL6" s="3" t="s">
        <v>90</v>
      </c>
      <c r="DM6" s="3" t="s">
        <v>91</v>
      </c>
      <c r="DN6" s="3" t="s">
        <v>2</v>
      </c>
      <c r="DO6" s="3" t="s">
        <v>90</v>
      </c>
      <c r="DP6" s="3" t="s">
        <v>91</v>
      </c>
      <c r="DQ6" s="3" t="s">
        <v>2</v>
      </c>
      <c r="DR6" s="22">
        <v>0</v>
      </c>
      <c r="DS6" s="55"/>
      <c r="DT6" s="79" t="s">
        <v>92</v>
      </c>
      <c r="DU6" s="80">
        <v>1227.3233333333335</v>
      </c>
      <c r="DV6" s="81">
        <v>26.152946934013617</v>
      </c>
      <c r="DW6" s="80">
        <v>527.86666666666667</v>
      </c>
      <c r="DX6" s="81">
        <v>14.05323213119793</v>
      </c>
      <c r="DY6" s="80">
        <v>304.26666666666671</v>
      </c>
      <c r="DZ6" s="81">
        <v>14.78151999401053</v>
      </c>
      <c r="EA6" s="80">
        <v>31.69</v>
      </c>
      <c r="EB6" s="80">
        <f>EA6-EA$15</f>
        <v>17.18</v>
      </c>
      <c r="EC6" s="81">
        <v>1.1901260437449468</v>
      </c>
      <c r="ED6" s="81">
        <v>0.45633333333333331</v>
      </c>
      <c r="EE6" s="81">
        <v>5.4500764520631566E-2</v>
      </c>
      <c r="EF6" s="82">
        <v>1.0566666666666667E-2</v>
      </c>
      <c r="EG6" s="82">
        <v>2.3999999999999998E-3</v>
      </c>
      <c r="EH6" s="80">
        <v>2.5103333333333331</v>
      </c>
      <c r="EI6" s="81">
        <v>0.20650020177552708</v>
      </c>
      <c r="EJ6" s="1">
        <f>ED6*40+EF6*2.8+EH6*26.6</f>
        <v>85.057786666666672</v>
      </c>
      <c r="EK6" s="1">
        <f>EE6*40+EG6*2.8+EI6*26.6</f>
        <v>7.6796559480542834</v>
      </c>
      <c r="EL6" s="71"/>
      <c r="EM6" s="72"/>
      <c r="EN6" s="72"/>
      <c r="EO6" s="72"/>
      <c r="EP6" s="72"/>
      <c r="EQ6" s="73"/>
    </row>
    <row r="7" spans="1:147" s="1" customFormat="1" ht="15" customHeight="1">
      <c r="A7" s="25"/>
      <c r="B7" s="74"/>
      <c r="C7" s="75"/>
      <c r="D7" s="76"/>
      <c r="E7" s="76">
        <v>30</v>
      </c>
      <c r="F7" s="76"/>
      <c r="G7" s="77"/>
      <c r="H7" s="67">
        <v>0.81399999999999995</v>
      </c>
      <c r="I7" s="67"/>
      <c r="J7" s="67"/>
      <c r="K7" s="67">
        <v>0.20100000000000001</v>
      </c>
      <c r="L7" s="67"/>
      <c r="M7" s="67"/>
      <c r="N7" s="67">
        <v>1.8450000000000001E-2</v>
      </c>
      <c r="O7" s="67"/>
      <c r="P7" s="67"/>
      <c r="Q7" s="78">
        <v>9.0449999999999999</v>
      </c>
      <c r="R7" s="67"/>
      <c r="S7" s="67"/>
      <c r="T7" s="67">
        <v>962.5</v>
      </c>
      <c r="U7" s="67"/>
      <c r="V7" s="67"/>
      <c r="W7" s="67">
        <v>1062</v>
      </c>
      <c r="X7" s="67"/>
      <c r="Y7" s="67"/>
      <c r="Z7" s="67">
        <v>391.2</v>
      </c>
      <c r="AA7" s="67"/>
      <c r="AB7" s="67"/>
      <c r="AC7" s="67"/>
      <c r="AD7" s="67"/>
      <c r="AE7" s="67"/>
      <c r="AF7" s="67">
        <v>309.2</v>
      </c>
      <c r="AG7" s="67"/>
      <c r="AH7" s="68"/>
      <c r="AI7" s="67"/>
      <c r="AJ7" s="67"/>
      <c r="AK7" s="67"/>
      <c r="AL7" s="67"/>
      <c r="AM7" s="67"/>
      <c r="AN7" s="1">
        <v>15</v>
      </c>
      <c r="AO7" s="55"/>
      <c r="AP7" s="55"/>
      <c r="AQ7" s="47">
        <v>1512</v>
      </c>
      <c r="AR7" s="47">
        <v>1149</v>
      </c>
      <c r="AS7" s="47">
        <v>118</v>
      </c>
      <c r="AT7" s="47">
        <v>83</v>
      </c>
      <c r="AU7" s="47">
        <v>77</v>
      </c>
      <c r="AV7" s="47">
        <v>39</v>
      </c>
      <c r="AW7" s="47">
        <v>8</v>
      </c>
      <c r="AX7" s="48" t="str">
        <f>G15</f>
        <v xml:space="preserve"> 15:00pm</v>
      </c>
      <c r="AY7" s="49">
        <v>1.1296999999999999</v>
      </c>
      <c r="AZ7" s="50">
        <v>8.9095454429504589E-3</v>
      </c>
      <c r="BA7" s="50">
        <f t="shared" si="2"/>
        <v>1.3400948991696322</v>
      </c>
      <c r="BB7" s="50">
        <v>0.22133333333333335</v>
      </c>
      <c r="BC7" s="50">
        <v>9.5043849529221781E-3</v>
      </c>
      <c r="BD7" s="50">
        <f t="shared" si="3"/>
        <v>1.0939044481054367</v>
      </c>
      <c r="BE7" s="51">
        <v>2.3650000000000001E-2</v>
      </c>
      <c r="BF7" s="50">
        <v>3.5355339059327408E-4</v>
      </c>
      <c r="BG7" s="50">
        <f t="shared" si="4"/>
        <v>1.2326268241834608</v>
      </c>
      <c r="BH7" s="50">
        <f t="shared" si="0"/>
        <v>1.3746833333333333</v>
      </c>
      <c r="BI7" s="50">
        <f t="shared" si="1"/>
        <v>38.969573333333337</v>
      </c>
      <c r="BJ7" s="50">
        <f t="shared" si="5"/>
        <v>0.61815925639303049</v>
      </c>
      <c r="BK7" s="49">
        <v>11.316333333333333</v>
      </c>
      <c r="BL7" s="49">
        <v>7.9475363058833084E-2</v>
      </c>
      <c r="BM7" s="49">
        <f t="shared" si="6"/>
        <v>3.708333333333333</v>
      </c>
      <c r="BN7" s="52">
        <v>1214.8666666666666</v>
      </c>
      <c r="BO7" s="52">
        <v>39.46</v>
      </c>
      <c r="BP7" s="52">
        <f t="shared" si="7"/>
        <v>1.1508051784022733</v>
      </c>
      <c r="BQ7" s="52">
        <v>625.6</v>
      </c>
      <c r="BR7" s="52">
        <v>22.558147087028178</v>
      </c>
      <c r="BS7" s="52">
        <v>389.3</v>
      </c>
      <c r="BT7" s="52">
        <v>3.9597979746446823</v>
      </c>
      <c r="BU7" s="1">
        <f t="shared" si="8"/>
        <v>1.2889305816135086</v>
      </c>
      <c r="CD7" s="1">
        <v>35.473468490000002</v>
      </c>
      <c r="CE7" s="1">
        <v>132.95048513</v>
      </c>
      <c r="CF7" s="1" t="s">
        <v>66</v>
      </c>
      <c r="CG7" s="1">
        <v>1.71</v>
      </c>
      <c r="CH7" s="1">
        <v>61.8</v>
      </c>
      <c r="CI7" s="1">
        <v>26.3</v>
      </c>
      <c r="CJ7" s="1">
        <v>247.2</v>
      </c>
      <c r="CK7" s="1">
        <v>105.2</v>
      </c>
      <c r="CL7" s="1">
        <f t="shared" si="9"/>
        <v>352.4</v>
      </c>
      <c r="CM7" s="1">
        <v>0</v>
      </c>
      <c r="CN7" s="1">
        <f t="shared" si="10"/>
        <v>8.8748407105227862</v>
      </c>
      <c r="CO7" s="1">
        <v>0.4</v>
      </c>
      <c r="CP7" s="1">
        <v>950</v>
      </c>
      <c r="CR7" s="53"/>
      <c r="CS7" s="24" t="s">
        <v>92</v>
      </c>
      <c r="CT7" s="83">
        <v>1253.7</v>
      </c>
      <c r="CU7" s="83"/>
      <c r="CV7" s="83"/>
      <c r="CW7" s="83">
        <v>524.79999999999995</v>
      </c>
      <c r="CX7" s="83"/>
      <c r="CY7" s="83"/>
      <c r="CZ7" s="83">
        <v>320.2</v>
      </c>
      <c r="DA7" s="83"/>
      <c r="DB7" s="83"/>
      <c r="DC7" s="83">
        <v>31.67</v>
      </c>
      <c r="DD7" s="83"/>
      <c r="DE7" s="83"/>
      <c r="DF7" s="84">
        <v>0.38</v>
      </c>
      <c r="DG7" s="83"/>
      <c r="DH7" s="83"/>
      <c r="DI7" s="83">
        <v>0.40200000000000002</v>
      </c>
      <c r="DJ7" s="83"/>
      <c r="DK7" s="83"/>
      <c r="DL7" s="85">
        <v>2.7170000000000001</v>
      </c>
      <c r="DM7" s="85"/>
      <c r="DN7" s="85"/>
      <c r="DO7" s="22">
        <v>0.10100000000000001</v>
      </c>
      <c r="DP7" s="22"/>
      <c r="DQ7" s="22"/>
      <c r="DR7" s="22">
        <v>5</v>
      </c>
      <c r="DS7" s="55"/>
      <c r="DT7" s="79">
        <v>5</v>
      </c>
      <c r="DU7" s="80">
        <v>1282.1500000000001</v>
      </c>
      <c r="DV7" s="81">
        <v>1.4849242404918463</v>
      </c>
      <c r="DW7" s="80">
        <v>544.13333333333333</v>
      </c>
      <c r="DX7" s="81">
        <v>6.9399807876775634</v>
      </c>
      <c r="DY7" s="80">
        <v>310.23333333333335</v>
      </c>
      <c r="DZ7" s="81">
        <v>4.6371686763944062</v>
      </c>
      <c r="EA7" s="80">
        <v>39.76</v>
      </c>
      <c r="EB7" s="80">
        <f t="shared" ref="EB7:EB8" si="11">EA7-EA$15</f>
        <v>25.25</v>
      </c>
      <c r="EC7" s="81">
        <v>2.1778888860545651</v>
      </c>
      <c r="ED7" s="81">
        <v>0.42033333333333328</v>
      </c>
      <c r="EE7" s="81">
        <v>4.0414518843273836E-3</v>
      </c>
      <c r="EF7" s="82">
        <v>2.9366666666666666E-2</v>
      </c>
      <c r="EG7" s="82">
        <v>1.6000000000000001E-3</v>
      </c>
      <c r="EH7" s="80">
        <v>2.5443333333333329</v>
      </c>
      <c r="EI7" s="81">
        <v>0.10186428880296243</v>
      </c>
      <c r="EJ7" s="1">
        <f t="shared" ref="EJ7:EK9" si="12">ED7*40+EF7*2.8+EH7*26.6</f>
        <v>84.574826666666667</v>
      </c>
      <c r="EK7" s="1">
        <f t="shared" si="12"/>
        <v>2.875728157531896</v>
      </c>
      <c r="EL7" s="71"/>
      <c r="EM7" s="72"/>
      <c r="EN7" s="72"/>
      <c r="EO7" s="72"/>
      <c r="EP7" s="72"/>
      <c r="EQ7" s="73"/>
    </row>
    <row r="8" spans="1:147" s="1" customFormat="1" ht="15" customHeight="1">
      <c r="A8" s="25"/>
      <c r="B8" s="74"/>
      <c r="C8" s="75"/>
      <c r="D8" s="76"/>
      <c r="E8" s="76">
        <v>30</v>
      </c>
      <c r="F8" s="76"/>
      <c r="G8" s="77"/>
      <c r="H8" s="67">
        <v>0.84599999999999997</v>
      </c>
      <c r="I8" s="67">
        <f>AVERAGE(H6:H8)</f>
        <v>0.84299999999999997</v>
      </c>
      <c r="J8" s="67">
        <f>STDEV(H6:H8)</f>
        <v>2.7622454633866294E-2</v>
      </c>
      <c r="K8" s="67">
        <v>0.20899999999999999</v>
      </c>
      <c r="L8" s="67">
        <f>AVERAGE(K6:K8)</f>
        <v>0.20233333333333334</v>
      </c>
      <c r="M8" s="67">
        <f>STDEV(K6:K8)</f>
        <v>6.1101009266077769E-3</v>
      </c>
      <c r="N8" s="67">
        <v>1.925E-2</v>
      </c>
      <c r="O8" s="67">
        <f>AVERAGE(N6:N8)</f>
        <v>1.9186666666666668E-2</v>
      </c>
      <c r="P8" s="67">
        <f>STDEV(N6:N8)</f>
        <v>7.0713035101976202E-4</v>
      </c>
      <c r="Q8" s="78">
        <v>8.9969999999999999</v>
      </c>
      <c r="R8" s="86">
        <f>AVERAGE(Q6:Q8)</f>
        <v>9.0180000000000007</v>
      </c>
      <c r="S8" s="67">
        <f>STDEV(Q6:Q8)</f>
        <v>2.4556058315617305E-2</v>
      </c>
      <c r="T8" s="67">
        <v>954.8</v>
      </c>
      <c r="U8" s="67">
        <f>AVERAGE(T6:T8)</f>
        <v>955.79999999999984</v>
      </c>
      <c r="V8" s="67">
        <f>STDEV(T6:T8)</f>
        <v>6.2601916903558079</v>
      </c>
      <c r="W8" s="67">
        <v>1055</v>
      </c>
      <c r="X8" s="67">
        <f>AVERAGE(W6:W8)</f>
        <v>1055.6666666666667</v>
      </c>
      <c r="Y8" s="67">
        <f>STDEV(W6:W8)</f>
        <v>6.0277137733417074</v>
      </c>
      <c r="Z8" s="67">
        <v>405.7</v>
      </c>
      <c r="AA8" s="67">
        <f>AVERAGE(Z6:Z8)</f>
        <v>402.56666666666666</v>
      </c>
      <c r="AB8" s="67">
        <f>STDEV(Z6:Z8)</f>
        <v>10.168742957383353</v>
      </c>
      <c r="AC8" s="67"/>
      <c r="AD8" s="67"/>
      <c r="AE8" s="67"/>
      <c r="AF8" s="67">
        <v>298.5</v>
      </c>
      <c r="AG8" s="67">
        <f>AVERAGE(AF6:AF8)</f>
        <v>302.0333333333333</v>
      </c>
      <c r="AH8" s="68">
        <f>STDEV(AF6:AF8)</f>
        <v>6.206716791777545</v>
      </c>
      <c r="AI8" s="67"/>
      <c r="AJ8" s="67"/>
      <c r="AK8" s="67"/>
      <c r="AL8" s="67">
        <f>U8+AA8</f>
        <v>1358.3666666666666</v>
      </c>
      <c r="AM8" s="67">
        <f>AA8/U8</f>
        <v>0.42118295319801918</v>
      </c>
      <c r="AN8" s="1">
        <v>18</v>
      </c>
      <c r="AO8" s="87"/>
      <c r="AP8" s="87"/>
      <c r="AQ8" s="47">
        <v>161</v>
      </c>
      <c r="AR8" s="47">
        <v>127</v>
      </c>
      <c r="AS8" s="47">
        <v>28</v>
      </c>
      <c r="AT8" s="47">
        <v>19</v>
      </c>
      <c r="AU8" s="47">
        <v>0</v>
      </c>
      <c r="AV8" s="47">
        <v>0</v>
      </c>
      <c r="AW8" s="47">
        <v>0</v>
      </c>
      <c r="AX8" s="48" t="str">
        <f>G18</f>
        <v xml:space="preserve"> 18:00pm</v>
      </c>
      <c r="AY8" s="49">
        <v>0.81266666666666676</v>
      </c>
      <c r="AZ8" s="50">
        <v>6.0277137733416551E-3</v>
      </c>
      <c r="BA8" s="50">
        <f t="shared" si="2"/>
        <v>0.96401739818109944</v>
      </c>
      <c r="BB8" s="50">
        <v>0.1925</v>
      </c>
      <c r="BC8" s="50">
        <v>7.7781745930520299E-3</v>
      </c>
      <c r="BD8" s="50">
        <f t="shared" si="3"/>
        <v>0.95140032948929165</v>
      </c>
      <c r="BE8" s="51">
        <v>2.1166666666666667E-2</v>
      </c>
      <c r="BF8" s="50">
        <v>3.0550504633038904E-4</v>
      </c>
      <c r="BG8" s="50">
        <f t="shared" si="4"/>
        <v>1.1031966643502431</v>
      </c>
      <c r="BH8" s="50">
        <f t="shared" si="0"/>
        <v>1.0263333333333335</v>
      </c>
      <c r="BI8" s="50">
        <f t="shared" si="1"/>
        <v>29.376200000000001</v>
      </c>
      <c r="BJ8" s="50">
        <f t="shared" si="5"/>
        <v>0.47231958422269432</v>
      </c>
      <c r="BK8" s="49">
        <v>9.8303333333333338</v>
      </c>
      <c r="BL8" s="49">
        <v>0.11524900578023843</v>
      </c>
      <c r="BM8" s="49">
        <f t="shared" si="6"/>
        <v>2.2083333333333339</v>
      </c>
      <c r="BN8" s="52">
        <v>1149.0999999999999</v>
      </c>
      <c r="BO8" s="52">
        <v>120.20815280171308</v>
      </c>
      <c r="BP8" s="52">
        <f t="shared" si="7"/>
        <v>1.0885064730028415</v>
      </c>
      <c r="BQ8" s="52">
        <v>502.63333333333338</v>
      </c>
      <c r="BR8" s="52">
        <v>6.6830631699343535</v>
      </c>
      <c r="BS8" s="52">
        <v>348.2</v>
      </c>
      <c r="BT8" s="52">
        <v>15.613775968675863</v>
      </c>
      <c r="BU8" s="1">
        <f t="shared" si="8"/>
        <v>1.1528528859949234</v>
      </c>
      <c r="CD8" s="1">
        <v>35.47388248</v>
      </c>
      <c r="CE8" s="1">
        <v>132.94979613999999</v>
      </c>
      <c r="CF8" s="1" t="s">
        <v>67</v>
      </c>
      <c r="CG8" s="1">
        <v>2.2999999999999998</v>
      </c>
      <c r="CH8" s="1">
        <v>35.9</v>
      </c>
      <c r="CI8" s="1">
        <v>27.8</v>
      </c>
      <c r="CJ8" s="1">
        <v>143.6</v>
      </c>
      <c r="CK8" s="1">
        <v>111.2</v>
      </c>
      <c r="CL8" s="1">
        <f t="shared" si="9"/>
        <v>254.8</v>
      </c>
      <c r="CM8" s="1">
        <v>0</v>
      </c>
      <c r="CN8" s="1">
        <f t="shared" si="10"/>
        <v>1.5116781435727671</v>
      </c>
      <c r="CO8" s="1">
        <v>0.6</v>
      </c>
      <c r="CP8" s="1">
        <v>530</v>
      </c>
      <c r="CR8" s="53"/>
      <c r="CS8" s="24"/>
      <c r="CT8" s="83">
        <v>1201.4000000000001</v>
      </c>
      <c r="CU8" s="83"/>
      <c r="CV8" s="83"/>
      <c r="CW8" s="83">
        <v>543.20000000000005</v>
      </c>
      <c r="CX8" s="83"/>
      <c r="CY8" s="83"/>
      <c r="CZ8" s="83">
        <v>291</v>
      </c>
      <c r="DA8" s="83"/>
      <c r="DB8" s="83"/>
      <c r="DC8" s="83">
        <v>32.89</v>
      </c>
      <c r="DD8" s="83"/>
      <c r="DE8" s="83"/>
      <c r="DF8" s="84">
        <v>0.36</v>
      </c>
      <c r="DG8" s="83"/>
      <c r="DH8" s="83"/>
      <c r="DI8" s="83">
        <v>0.51100000000000001</v>
      </c>
      <c r="DJ8" s="83"/>
      <c r="DK8" s="83"/>
      <c r="DL8" s="85">
        <v>2.3039999999999998</v>
      </c>
      <c r="DM8" s="85"/>
      <c r="DN8" s="85"/>
      <c r="DO8" s="22">
        <v>8.6999999999999994E-2</v>
      </c>
      <c r="DP8" s="22"/>
      <c r="DQ8" s="22"/>
      <c r="DR8" s="22">
        <v>10</v>
      </c>
      <c r="DS8" s="55"/>
      <c r="DT8" s="79">
        <v>10</v>
      </c>
      <c r="DU8" s="80">
        <v>1125.0666666666666</v>
      </c>
      <c r="DV8" s="81">
        <v>64.0278324897332</v>
      </c>
      <c r="DW8" s="80">
        <v>471.33333333333331</v>
      </c>
      <c r="DX8" s="81">
        <v>26.265059172469691</v>
      </c>
      <c r="DY8" s="80">
        <v>261.50000000000006</v>
      </c>
      <c r="DZ8" s="81">
        <v>20.442113393678262</v>
      </c>
      <c r="EA8" s="80">
        <v>43.589999999999996</v>
      </c>
      <c r="EB8" s="80">
        <f t="shared" si="11"/>
        <v>29.08</v>
      </c>
      <c r="EC8" s="81">
        <v>2.9895317359078155</v>
      </c>
      <c r="ED8" s="81">
        <v>0.34999999999999992</v>
      </c>
      <c r="EE8" s="81">
        <v>2.0000000000000018E-3</v>
      </c>
      <c r="EF8" s="82">
        <v>1.3333333333333334E-2</v>
      </c>
      <c r="EG8" s="82">
        <v>1.8E-3</v>
      </c>
      <c r="EH8" s="80">
        <v>2.4456666666666664</v>
      </c>
      <c r="EI8" s="81">
        <v>0.11250037036976053</v>
      </c>
      <c r="EJ8" s="1">
        <f t="shared" si="12"/>
        <v>79.092066666666653</v>
      </c>
      <c r="EK8" s="1">
        <f t="shared" si="12"/>
        <v>3.0775498518356303</v>
      </c>
      <c r="EL8" s="71"/>
      <c r="EM8" s="72"/>
      <c r="EN8" s="72"/>
      <c r="EO8" s="72"/>
      <c r="EP8" s="72"/>
      <c r="EQ8" s="73"/>
    </row>
    <row r="9" spans="1:147" s="1" customFormat="1" ht="17.25" customHeight="1">
      <c r="A9" s="25"/>
      <c r="B9" s="74"/>
      <c r="C9" s="75"/>
      <c r="D9" s="76">
        <v>925</v>
      </c>
      <c r="E9" s="76">
        <v>102</v>
      </c>
      <c r="F9" s="76"/>
      <c r="G9" s="77" t="s">
        <v>11</v>
      </c>
      <c r="H9" s="67">
        <v>0.92700000000000005</v>
      </c>
      <c r="I9" s="25"/>
      <c r="J9" s="25"/>
      <c r="K9" s="67">
        <v>0.214</v>
      </c>
      <c r="L9" s="25"/>
      <c r="M9" s="25"/>
      <c r="N9" s="67">
        <v>2.18E-2</v>
      </c>
      <c r="O9" s="25"/>
      <c r="P9" s="25"/>
      <c r="Q9" s="78">
        <v>10.102</v>
      </c>
      <c r="R9" s="25"/>
      <c r="S9" s="25"/>
      <c r="T9" s="67">
        <v>1472</v>
      </c>
      <c r="U9" s="67"/>
      <c r="V9" s="67"/>
      <c r="W9" s="67">
        <v>1265.0999999999999</v>
      </c>
      <c r="X9" s="67"/>
      <c r="Y9" s="67"/>
      <c r="Z9" s="67">
        <v>625.1</v>
      </c>
      <c r="AA9" s="25"/>
      <c r="AB9" s="25"/>
      <c r="AC9" s="25">
        <v>598.29999999999995</v>
      </c>
      <c r="AD9" s="25"/>
      <c r="AE9" s="25"/>
      <c r="AF9" s="67">
        <v>408.1</v>
      </c>
      <c r="AG9" s="25"/>
      <c r="AH9" s="88"/>
      <c r="AI9" s="25">
        <v>387.6</v>
      </c>
      <c r="AJ9" s="25"/>
      <c r="AK9" s="25"/>
      <c r="AL9" s="67">
        <f t="shared" ref="AL9:AL72" si="13">U9+AA9</f>
        <v>0</v>
      </c>
      <c r="AM9" s="67"/>
      <c r="AO9" s="89" t="str">
        <f>B21</f>
        <v>1PA Dark</v>
      </c>
      <c r="AP9" s="89" t="str">
        <f>C21</f>
        <v>P.anguillanuce</v>
      </c>
      <c r="AQ9" s="47"/>
      <c r="AR9" s="47"/>
      <c r="AS9" s="47"/>
      <c r="AT9" s="47"/>
      <c r="AU9" s="47"/>
      <c r="AV9" s="47"/>
      <c r="AW9" s="47"/>
      <c r="AX9" s="48" t="str">
        <f>G21</f>
        <v xml:space="preserve"> 06:00 am</v>
      </c>
      <c r="AY9" s="49">
        <v>0.76566666666666672</v>
      </c>
      <c r="AZ9" s="50">
        <v>1.3868429375143159E-2</v>
      </c>
      <c r="BA9" s="50">
        <f>AY9/AY$9</f>
        <v>1</v>
      </c>
      <c r="BB9" s="50">
        <v>0.19673333333333334</v>
      </c>
      <c r="BC9" s="50">
        <v>4.1186567389542581E-3</v>
      </c>
      <c r="BD9" s="50">
        <f>BB9/BB$9</f>
        <v>1</v>
      </c>
      <c r="BE9" s="51">
        <v>1.9599999999999999E-2</v>
      </c>
      <c r="BF9" s="50">
        <v>2.8284271247461977E-4</v>
      </c>
      <c r="BG9" s="50">
        <f>BE9/BE$9</f>
        <v>1</v>
      </c>
      <c r="BH9" s="50">
        <f t="shared" si="0"/>
        <v>0.98199999999999998</v>
      </c>
      <c r="BI9" s="50">
        <f t="shared" si="1"/>
        <v>28.29094666666667</v>
      </c>
      <c r="BJ9" s="50">
        <f t="shared" si="5"/>
        <v>0.53443845053190731</v>
      </c>
      <c r="BK9" s="49">
        <v>7.452</v>
      </c>
      <c r="BL9" s="49">
        <v>0.27718585822512626</v>
      </c>
      <c r="BM9" s="49">
        <f>BK9/BK$9</f>
        <v>1</v>
      </c>
      <c r="BN9" s="52">
        <v>1032.7333333333333</v>
      </c>
      <c r="BO9" s="52">
        <v>33.541814699466308</v>
      </c>
      <c r="BP9" s="52">
        <f>BN9/BN$9</f>
        <v>1</v>
      </c>
      <c r="BQ9" s="52">
        <v>402.35</v>
      </c>
      <c r="BR9" s="52">
        <v>5.3033008588991066</v>
      </c>
      <c r="BS9" s="52">
        <v>298.06666666666666</v>
      </c>
      <c r="BT9" s="52">
        <v>15.003444049061967</v>
      </c>
      <c r="BU9" s="1">
        <f>BS9/BS$9</f>
        <v>1</v>
      </c>
      <c r="CD9" s="1">
        <v>35.473061889999997</v>
      </c>
      <c r="CE9" s="1">
        <v>132.95078871999999</v>
      </c>
      <c r="CF9" s="1" t="s">
        <v>68</v>
      </c>
      <c r="CG9" s="1">
        <v>2.52</v>
      </c>
      <c r="CH9" s="1">
        <v>34.4</v>
      </c>
      <c r="CI9" s="1">
        <v>34</v>
      </c>
      <c r="CJ9" s="1">
        <v>137.6</v>
      </c>
      <c r="CK9" s="1">
        <v>136</v>
      </c>
      <c r="CL9" s="1">
        <f t="shared" si="9"/>
        <v>273.60000000000002</v>
      </c>
      <c r="CM9" s="1">
        <v>0</v>
      </c>
      <c r="CN9" s="1">
        <f t="shared" si="10"/>
        <v>0.78131286582751824</v>
      </c>
      <c r="CO9" s="1">
        <v>0.8</v>
      </c>
      <c r="CP9" s="1">
        <v>360</v>
      </c>
      <c r="CR9" s="53"/>
      <c r="CS9" s="24"/>
      <c r="CT9" s="83">
        <v>1226.8699999999999</v>
      </c>
      <c r="CU9" s="90">
        <f>AVERAGE(CT7:CT9)</f>
        <v>1227.3233333333335</v>
      </c>
      <c r="CV9" s="90">
        <f>STDEV(CT7:CT9)</f>
        <v>26.152946934013617</v>
      </c>
      <c r="CW9" s="83">
        <v>515.6</v>
      </c>
      <c r="CX9" s="90">
        <f>AVERAGE(CW7:CW9)</f>
        <v>527.86666666666667</v>
      </c>
      <c r="CY9" s="90">
        <f>STDEV(CW7:CW9)</f>
        <v>14.05323213119793</v>
      </c>
      <c r="CZ9" s="83">
        <v>301.60000000000002</v>
      </c>
      <c r="DA9" s="90">
        <f>AVERAGE(CZ7:CZ9)</f>
        <v>304.26666666666671</v>
      </c>
      <c r="DB9" s="90">
        <f>STDEV(CZ7:CZ9)</f>
        <v>14.78151999401053</v>
      </c>
      <c r="DC9" s="83">
        <v>30.51</v>
      </c>
      <c r="DD9" s="83">
        <f>AVERAGE(DC7:DC9)</f>
        <v>31.69</v>
      </c>
      <c r="DE9" s="91">
        <f>STDEV(DC7:DC9)</f>
        <v>1.1901260437449468</v>
      </c>
      <c r="DF9" s="84">
        <v>0.4</v>
      </c>
      <c r="DG9" s="92">
        <f>AVERAGE(DF7:DF9)</f>
        <v>0.38000000000000006</v>
      </c>
      <c r="DH9" s="83">
        <f>STDEV(DF7:DF9)</f>
        <v>2.0000000000000018E-2</v>
      </c>
      <c r="DI9" s="83">
        <v>0.45600000000000002</v>
      </c>
      <c r="DJ9" s="85">
        <f>AVERAGE(DI7:DI9)</f>
        <v>0.45633333333333331</v>
      </c>
      <c r="DK9" s="85">
        <f>STDEV(DI7:DI9)</f>
        <v>5.4500764520631566E-2</v>
      </c>
      <c r="DL9" s="85">
        <v>2.5099999999999998</v>
      </c>
      <c r="DM9" s="91">
        <f>AVERAGE(DL7:DL9)</f>
        <v>2.5103333333333331</v>
      </c>
      <c r="DN9" s="85">
        <f>STDEV(DL7:DL9)</f>
        <v>0.20650020177552708</v>
      </c>
      <c r="DO9" s="22">
        <v>9.5000000000000001E-2</v>
      </c>
      <c r="DP9" s="93">
        <f>AVERAGE(DO7:DO9)</f>
        <v>9.4333333333333338E-2</v>
      </c>
      <c r="DQ9" s="94">
        <f>STDEV(DO7:DO9)</f>
        <v>7.0237691685684986E-3</v>
      </c>
      <c r="DR9" s="22">
        <v>15</v>
      </c>
      <c r="DS9" s="87"/>
      <c r="DT9" s="79">
        <v>15</v>
      </c>
      <c r="DU9" s="80">
        <v>756.23333333333323</v>
      </c>
      <c r="DV9" s="81">
        <v>22.322708915661064</v>
      </c>
      <c r="DW9" s="80">
        <v>424.85</v>
      </c>
      <c r="DX9" s="81">
        <v>27.647875144393982</v>
      </c>
      <c r="DY9" s="80">
        <v>124.85</v>
      </c>
      <c r="DZ9" s="81">
        <v>25.526554800834429</v>
      </c>
      <c r="EA9" s="80">
        <v>12.866666666666667</v>
      </c>
      <c r="EB9" s="80">
        <f>MAX(0,EA9-EA$15)</f>
        <v>0</v>
      </c>
      <c r="EC9" s="81">
        <v>6.0277137733416725E-2</v>
      </c>
      <c r="ED9" s="81">
        <v>0.23633333333333331</v>
      </c>
      <c r="EE9" s="81">
        <v>2.1126602503321105E-2</v>
      </c>
      <c r="EF9" s="82">
        <v>7.3333333333333332E-3</v>
      </c>
      <c r="EG9" s="82">
        <v>2.0999999999999999E-3</v>
      </c>
      <c r="EH9" s="80">
        <v>1.8239999999999998</v>
      </c>
      <c r="EI9" s="81">
        <v>0.1725340546095176</v>
      </c>
      <c r="EJ9" s="1">
        <f t="shared" si="12"/>
        <v>57.992266666666666</v>
      </c>
      <c r="EK9" s="1">
        <f t="shared" si="12"/>
        <v>5.4403499527460131</v>
      </c>
      <c r="EL9" s="95"/>
      <c r="EM9" s="96"/>
      <c r="EN9" s="96"/>
      <c r="EO9" s="96"/>
      <c r="EP9" s="96"/>
      <c r="EQ9" s="97"/>
    </row>
    <row r="10" spans="1:147" s="1" customFormat="1" ht="18.75" customHeight="1">
      <c r="A10" s="25"/>
      <c r="B10" s="74"/>
      <c r="C10" s="75"/>
      <c r="D10" s="76"/>
      <c r="E10" s="76">
        <v>102</v>
      </c>
      <c r="F10" s="76"/>
      <c r="G10" s="77"/>
      <c r="H10" s="67">
        <v>0.91200000000000003</v>
      </c>
      <c r="I10" s="25"/>
      <c r="J10" s="25"/>
      <c r="K10" s="67">
        <v>0.20499999999999999</v>
      </c>
      <c r="L10" s="25"/>
      <c r="M10" s="25"/>
      <c r="N10" s="67">
        <v>2.1499999999999998E-2</v>
      </c>
      <c r="O10" s="25"/>
      <c r="P10" s="25"/>
      <c r="Q10" s="78">
        <v>10.202999999999999</v>
      </c>
      <c r="R10" s="25"/>
      <c r="S10" s="25"/>
      <c r="T10" s="67">
        <v>1502.6</v>
      </c>
      <c r="U10" s="67"/>
      <c r="V10" s="67"/>
      <c r="W10" s="67">
        <v>1302.4000000000001</v>
      </c>
      <c r="X10" s="67"/>
      <c r="Y10" s="67"/>
      <c r="Z10" s="67">
        <v>665.3</v>
      </c>
      <c r="AA10" s="25"/>
      <c r="AB10" s="25"/>
      <c r="AC10" s="25">
        <v>572.4</v>
      </c>
      <c r="AD10" s="25"/>
      <c r="AE10" s="25"/>
      <c r="AF10" s="67">
        <v>441.9</v>
      </c>
      <c r="AG10" s="25"/>
      <c r="AH10" s="88"/>
      <c r="AI10" s="25">
        <v>349.2</v>
      </c>
      <c r="AJ10" s="25"/>
      <c r="AK10" s="25"/>
      <c r="AL10" s="67">
        <f t="shared" si="13"/>
        <v>0</v>
      </c>
      <c r="AM10" s="67"/>
      <c r="AO10" s="89"/>
      <c r="AP10" s="89"/>
      <c r="AQ10" s="47"/>
      <c r="AR10" s="47"/>
      <c r="AS10" s="47"/>
      <c r="AT10" s="47"/>
      <c r="AU10" s="47"/>
      <c r="AV10" s="47"/>
      <c r="AW10" s="47"/>
      <c r="AX10" s="48" t="str">
        <f>G24</f>
        <v xml:space="preserve"> 09:00 am</v>
      </c>
      <c r="AY10" s="49">
        <v>0.81559999999999999</v>
      </c>
      <c r="AZ10" s="50">
        <v>1.6861494595675666E-2</v>
      </c>
      <c r="BA10" s="50">
        <f t="shared" ref="BA10:BA13" si="14">AY10/AY$9</f>
        <v>1.0652154984762734</v>
      </c>
      <c r="BB10" s="50">
        <v>0.19533333333333336</v>
      </c>
      <c r="BC10" s="50">
        <v>3.0550504633038958E-3</v>
      </c>
      <c r="BD10" s="50">
        <f t="shared" ref="BD10:BD13" si="15">BB10/BB$9</f>
        <v>0.9928837682141648</v>
      </c>
      <c r="BE10" s="51">
        <v>2.0300000000000002E-2</v>
      </c>
      <c r="BF10" s="50">
        <v>2.0000000000000052E-4</v>
      </c>
      <c r="BG10" s="50">
        <f t="shared" ref="BG10:BG13" si="16">BE10/BE$9</f>
        <v>1.0357142857142858</v>
      </c>
      <c r="BH10" s="50">
        <f t="shared" si="0"/>
        <v>1.0312333333333334</v>
      </c>
      <c r="BI10" s="50">
        <f t="shared" si="1"/>
        <v>29.565133333333335</v>
      </c>
      <c r="BJ10" s="50">
        <f t="shared" si="5"/>
        <v>0.5712777747771286</v>
      </c>
      <c r="BK10" s="49">
        <v>8.1396666666666668</v>
      </c>
      <c r="BL10" s="49">
        <v>0.11609191760554759</v>
      </c>
      <c r="BM10" s="49">
        <f t="shared" ref="BM10:BM13" si="17">BK10/BK$9</f>
        <v>1.0922794775451781</v>
      </c>
      <c r="BN10" s="52">
        <v>1056.3</v>
      </c>
      <c r="BO10" s="52">
        <v>14.96429082850239</v>
      </c>
      <c r="BP10" s="52">
        <f t="shared" ref="BP10:BP13" si="18">BN10/BN$9</f>
        <v>1.0228197017623135</v>
      </c>
      <c r="BQ10" s="52">
        <v>502.86666666666673</v>
      </c>
      <c r="BR10" s="52">
        <v>14.828800805639466</v>
      </c>
      <c r="BS10" s="52">
        <v>302.33333333333331</v>
      </c>
      <c r="BT10" s="52">
        <v>14.992109035533767</v>
      </c>
      <c r="BU10" s="1">
        <f t="shared" ref="BU10:BU13" si="19">BS10/BS$9</f>
        <v>1.0143144710355625</v>
      </c>
      <c r="CD10" s="1" t="s">
        <v>69</v>
      </c>
      <c r="CE10" s="1" t="s">
        <v>70</v>
      </c>
      <c r="CF10" s="1" t="s">
        <v>71</v>
      </c>
      <c r="CG10" s="1">
        <v>0.4</v>
      </c>
      <c r="CH10" s="1">
        <v>7.8</v>
      </c>
      <c r="CI10" s="1">
        <v>3.5</v>
      </c>
      <c r="CJ10" s="1">
        <v>31.2</v>
      </c>
      <c r="CK10" s="1">
        <v>14</v>
      </c>
      <c r="CL10" s="1">
        <f t="shared" si="9"/>
        <v>45.2</v>
      </c>
      <c r="CM10" s="1">
        <v>0</v>
      </c>
      <c r="CN10" s="1">
        <f t="shared" si="10"/>
        <v>451.79131786830322</v>
      </c>
      <c r="CO10" s="1">
        <v>1</v>
      </c>
      <c r="CP10" s="1">
        <v>260</v>
      </c>
      <c r="CR10" s="53"/>
      <c r="CS10" s="24" t="s">
        <v>93</v>
      </c>
      <c r="CT10" s="83">
        <v>1281.0999999999999</v>
      </c>
      <c r="CU10" s="85"/>
      <c r="CV10" s="85"/>
      <c r="CW10" s="83">
        <v>552.1</v>
      </c>
      <c r="CX10" s="83"/>
      <c r="CY10" s="85"/>
      <c r="CZ10" s="83">
        <v>315.3</v>
      </c>
      <c r="DA10" s="85"/>
      <c r="DB10" s="85"/>
      <c r="DC10" s="83">
        <v>38.22</v>
      </c>
      <c r="DD10" s="83"/>
      <c r="DE10" s="85"/>
      <c r="DF10" s="84">
        <v>0.25</v>
      </c>
      <c r="DG10" s="92"/>
      <c r="DH10" s="83"/>
      <c r="DI10" s="83">
        <v>0.42499999999999999</v>
      </c>
      <c r="DJ10" s="85"/>
      <c r="DK10" s="85"/>
      <c r="DL10" s="85">
        <v>2.6219999999999999</v>
      </c>
      <c r="DM10" s="85"/>
      <c r="DN10" s="85"/>
      <c r="DO10" s="22">
        <v>7.6999999999999999E-2</v>
      </c>
      <c r="DP10" s="22"/>
      <c r="DQ10" s="22"/>
      <c r="DR10" s="22"/>
      <c r="EP10" s="98"/>
    </row>
    <row r="11" spans="1:147" s="1" customFormat="1" ht="18.75" customHeight="1">
      <c r="A11" s="25"/>
      <c r="B11" s="74"/>
      <c r="C11" s="75"/>
      <c r="D11" s="76"/>
      <c r="E11" s="76">
        <v>102</v>
      </c>
      <c r="F11" s="76"/>
      <c r="G11" s="77"/>
      <c r="H11" s="67">
        <v>0.90200000000000002</v>
      </c>
      <c r="I11" s="67">
        <f>AVERAGE(H9:H11)</f>
        <v>0.91366666666666674</v>
      </c>
      <c r="J11" s="67">
        <f>STDEV(H9:H11)</f>
        <v>1.2583057392117928E-2</v>
      </c>
      <c r="K11" s="67">
        <v>0.218</v>
      </c>
      <c r="L11" s="67">
        <f>AVERAGE(K9:K11)</f>
        <v>0.21233333333333335</v>
      </c>
      <c r="M11" s="67">
        <f>STDEV(K9:K11)</f>
        <v>6.6583281184793989E-3</v>
      </c>
      <c r="N11" s="67">
        <v>1.26E-2</v>
      </c>
      <c r="O11" s="67">
        <f>AVERAGE(N9:N10)</f>
        <v>2.1649999999999999E-2</v>
      </c>
      <c r="P11" s="67">
        <f>STDEV(N9:N10)</f>
        <v>2.1213203435596541E-4</v>
      </c>
      <c r="Q11" s="78">
        <v>10.289</v>
      </c>
      <c r="R11" s="86">
        <f>AVERAGE(Q9:Q11)</f>
        <v>10.198</v>
      </c>
      <c r="S11" s="67">
        <f>STDEV(Q9:Q11)</f>
        <v>9.3600213674969457E-2</v>
      </c>
      <c r="T11" s="67">
        <v>1475.7</v>
      </c>
      <c r="U11" s="67">
        <f>AVERAGE(T9:T11)</f>
        <v>1483.4333333333334</v>
      </c>
      <c r="V11" s="67">
        <f>STDEV(T9:T11)</f>
        <v>16.701596730053424</v>
      </c>
      <c r="W11" s="67">
        <v>1322.6</v>
      </c>
      <c r="X11" s="67">
        <f>W9</f>
        <v>1265.0999999999999</v>
      </c>
      <c r="Y11" s="67">
        <v>29.170704482408389</v>
      </c>
      <c r="Z11" s="67">
        <v>745.4</v>
      </c>
      <c r="AA11" s="25">
        <f>AVERAGE(Z9:Z10)</f>
        <v>645.20000000000005</v>
      </c>
      <c r="AB11" s="25">
        <f>STDEV(Z9:Z10)</f>
        <v>28.425692603699162</v>
      </c>
      <c r="AC11" s="25">
        <v>569.79999999999995</v>
      </c>
      <c r="AD11" s="25">
        <v>580.16666666666663</v>
      </c>
      <c r="AE11" s="25">
        <v>15.757643647872392</v>
      </c>
      <c r="AF11" s="67">
        <v>425.3</v>
      </c>
      <c r="AG11" s="67">
        <f>AVERAGE(AF9:AF11)</f>
        <v>425.09999999999997</v>
      </c>
      <c r="AH11" s="68">
        <f>STDEV(AF9:AF11)</f>
        <v>16.900887550658375</v>
      </c>
      <c r="AI11" s="67">
        <v>331.8</v>
      </c>
      <c r="AJ11" s="67">
        <v>356.2</v>
      </c>
      <c r="AK11" s="67">
        <v>28.551006987495214</v>
      </c>
      <c r="AL11" s="67">
        <f t="shared" si="13"/>
        <v>2128.6333333333332</v>
      </c>
      <c r="AM11" s="67">
        <f t="shared" ref="AM11:AM71" si="20">AA11/U11</f>
        <v>0.43493697054131181</v>
      </c>
      <c r="AO11" s="89"/>
      <c r="AP11" s="89"/>
      <c r="AQ11" s="47"/>
      <c r="AR11" s="47"/>
      <c r="AS11" s="47"/>
      <c r="AT11" s="47"/>
      <c r="AU11" s="47"/>
      <c r="AV11" s="47"/>
      <c r="AW11" s="47"/>
      <c r="AX11" s="48" t="str">
        <f>G27</f>
        <v xml:space="preserve">  12:00 am</v>
      </c>
      <c r="AY11" s="49">
        <v>0.84443333333333337</v>
      </c>
      <c r="AZ11" s="50">
        <v>1.5392963760541185E-2</v>
      </c>
      <c r="BA11" s="50">
        <f t="shared" si="14"/>
        <v>1.1028733130169786</v>
      </c>
      <c r="BB11" s="50">
        <v>0.20100000000000001</v>
      </c>
      <c r="BC11" s="50">
        <v>2.8284271247461927E-3</v>
      </c>
      <c r="BD11" s="50">
        <f t="shared" si="15"/>
        <v>1.0216875635377838</v>
      </c>
      <c r="BE11" s="51">
        <v>2.0133333333333333E-2</v>
      </c>
      <c r="BF11" s="50">
        <v>2.5166114784235861E-4</v>
      </c>
      <c r="BG11" s="50">
        <f t="shared" si="16"/>
        <v>1.0272108843537415</v>
      </c>
      <c r="BH11" s="50">
        <f t="shared" si="0"/>
        <v>1.0655666666666668</v>
      </c>
      <c r="BI11" s="50">
        <f t="shared" si="1"/>
        <v>30.558300000000003</v>
      </c>
      <c r="BJ11" s="50">
        <f t="shared" si="5"/>
        <v>0.52329457223420184</v>
      </c>
      <c r="BK11" s="49">
        <v>8.1876666666666669</v>
      </c>
      <c r="BL11" s="49">
        <v>6.3105731382603447E-2</v>
      </c>
      <c r="BM11" s="49">
        <f t="shared" si="17"/>
        <v>1.0987207013777063</v>
      </c>
      <c r="BN11" s="52">
        <v>1156.6666666666667</v>
      </c>
      <c r="BO11" s="52">
        <v>11.09519415482823</v>
      </c>
      <c r="BP11" s="52">
        <f t="shared" si="18"/>
        <v>1.1200051642889419</v>
      </c>
      <c r="BQ11" s="52">
        <v>501.8</v>
      </c>
      <c r="BR11" s="52">
        <v>6.5779936150774549</v>
      </c>
      <c r="BS11" s="52">
        <v>278.64999999999998</v>
      </c>
      <c r="BT11" s="52">
        <v>13.788582233137676</v>
      </c>
      <c r="BU11" s="1">
        <f t="shared" si="19"/>
        <v>0.93485797360769396</v>
      </c>
      <c r="CD11" s="1" t="s">
        <v>72</v>
      </c>
      <c r="CE11" s="1" t="s">
        <v>73</v>
      </c>
      <c r="CF11" s="1" t="s">
        <v>74</v>
      </c>
      <c r="CG11" s="1">
        <v>0.5</v>
      </c>
      <c r="CH11" s="1">
        <v>15.103999999999999</v>
      </c>
      <c r="CI11" s="1">
        <v>10.496000000000002</v>
      </c>
      <c r="CJ11" s="1">
        <v>60.415999999999997</v>
      </c>
      <c r="CK11" s="1">
        <v>41.984000000000009</v>
      </c>
      <c r="CL11" s="1">
        <f t="shared" si="9"/>
        <v>102.4</v>
      </c>
      <c r="CM11" s="1">
        <v>0</v>
      </c>
      <c r="CN11" s="1">
        <f t="shared" si="10"/>
        <v>334.69524022264471</v>
      </c>
      <c r="CO11" s="1">
        <v>1.5</v>
      </c>
      <c r="CP11" s="1">
        <v>96</v>
      </c>
      <c r="CR11" s="53"/>
      <c r="CS11" s="24"/>
      <c r="CT11" s="83">
        <v>1283.2</v>
      </c>
      <c r="CU11" s="85"/>
      <c r="CV11" s="85"/>
      <c r="CW11" s="83">
        <v>539.4</v>
      </c>
      <c r="CX11" s="83"/>
      <c r="CY11" s="85"/>
      <c r="CZ11" s="83">
        <v>306.2</v>
      </c>
      <c r="DA11" s="85"/>
      <c r="DB11" s="85"/>
      <c r="DC11" s="83">
        <v>41.3</v>
      </c>
      <c r="DD11" s="83"/>
      <c r="DE11" s="85"/>
      <c r="DF11" s="84">
        <v>0.25</v>
      </c>
      <c r="DG11" s="92"/>
      <c r="DH11" s="83"/>
      <c r="DI11" s="83">
        <v>0.41799999999999998</v>
      </c>
      <c r="DJ11" s="85"/>
      <c r="DK11" s="85"/>
      <c r="DL11" s="85">
        <v>2.5819999999999999</v>
      </c>
      <c r="DM11" s="85"/>
      <c r="DN11" s="85"/>
      <c r="DO11" s="22">
        <v>0.08</v>
      </c>
      <c r="DP11" s="22"/>
      <c r="DQ11" s="22"/>
      <c r="DR11" s="22"/>
      <c r="DT11" s="99"/>
      <c r="EA11" s="62" t="s">
        <v>178</v>
      </c>
      <c r="EP11" s="100"/>
    </row>
    <row r="12" spans="1:147" s="1" customFormat="1" ht="18.75" customHeight="1">
      <c r="A12" s="25"/>
      <c r="B12" s="74"/>
      <c r="C12" s="75"/>
      <c r="D12" s="76">
        <v>1817</v>
      </c>
      <c r="E12" s="76">
        <v>171</v>
      </c>
      <c r="F12" s="76"/>
      <c r="G12" s="77" t="s">
        <v>12</v>
      </c>
      <c r="H12" s="67">
        <v>1.1479999999999999</v>
      </c>
      <c r="I12" s="25"/>
      <c r="J12" s="25"/>
      <c r="K12" s="67">
        <v>0.215</v>
      </c>
      <c r="L12" s="25"/>
      <c r="M12" s="25"/>
      <c r="N12" s="67">
        <v>2.29E-2</v>
      </c>
      <c r="O12" s="25"/>
      <c r="P12" s="25"/>
      <c r="Q12" s="78">
        <v>13.36</v>
      </c>
      <c r="R12" s="25"/>
      <c r="S12" s="25"/>
      <c r="T12" s="67">
        <v>1361.2</v>
      </c>
      <c r="U12" s="67"/>
      <c r="V12" s="67"/>
      <c r="W12" s="67">
        <v>1372.8</v>
      </c>
      <c r="X12" s="67"/>
      <c r="Y12" s="67"/>
      <c r="Z12" s="67">
        <v>666.1</v>
      </c>
      <c r="AA12" s="25"/>
      <c r="AB12" s="25"/>
      <c r="AC12" s="25">
        <v>622.5</v>
      </c>
      <c r="AD12" s="25"/>
      <c r="AE12" s="25"/>
      <c r="AF12" s="67">
        <v>412.8</v>
      </c>
      <c r="AG12" s="25"/>
      <c r="AH12" s="88"/>
      <c r="AI12" s="25">
        <v>402.6</v>
      </c>
      <c r="AJ12" s="25"/>
      <c r="AK12" s="25"/>
      <c r="AL12" s="67">
        <f t="shared" si="13"/>
        <v>0</v>
      </c>
      <c r="AM12" s="67"/>
      <c r="AO12" s="89"/>
      <c r="AP12" s="89"/>
      <c r="AQ12" s="47"/>
      <c r="AR12" s="47"/>
      <c r="AS12" s="47"/>
      <c r="AT12" s="47"/>
      <c r="AU12" s="47"/>
      <c r="AV12" s="47"/>
      <c r="AW12" s="47"/>
      <c r="AX12" s="48" t="str">
        <f>G30</f>
        <v xml:space="preserve"> 15:00pm</v>
      </c>
      <c r="AY12" s="49">
        <v>0.84430000000000005</v>
      </c>
      <c r="AZ12" s="50">
        <v>3.4769526887779165E-2</v>
      </c>
      <c r="BA12" s="50">
        <f t="shared" si="14"/>
        <v>1.1026991728341315</v>
      </c>
      <c r="BB12" s="50">
        <v>0.21066666666666667</v>
      </c>
      <c r="BC12" s="50">
        <v>5.5075705472861069E-3</v>
      </c>
      <c r="BD12" s="50">
        <f t="shared" si="15"/>
        <v>1.0708234496780751</v>
      </c>
      <c r="BE12" s="51">
        <v>2.1366666666666669E-2</v>
      </c>
      <c r="BF12" s="50">
        <v>4.5092497528229016E-4</v>
      </c>
      <c r="BG12" s="50">
        <f t="shared" si="16"/>
        <v>1.0901360544217689</v>
      </c>
      <c r="BH12" s="50">
        <f t="shared" si="0"/>
        <v>1.0763333333333334</v>
      </c>
      <c r="BI12" s="50">
        <f t="shared" si="1"/>
        <v>30.944873333333334</v>
      </c>
      <c r="BJ12" s="50">
        <f t="shared" si="5"/>
        <v>1.1464348270371605</v>
      </c>
      <c r="BK12" s="49">
        <v>7.6079999999999997</v>
      </c>
      <c r="BL12" s="49">
        <v>0.39494683186474649</v>
      </c>
      <c r="BM12" s="49">
        <f t="shared" si="17"/>
        <v>1.0209339774557165</v>
      </c>
      <c r="BN12" s="52">
        <v>1081.8</v>
      </c>
      <c r="BO12" s="52">
        <v>38.697674348725343</v>
      </c>
      <c r="BP12" s="52">
        <f t="shared" si="18"/>
        <v>1.0475114582660898</v>
      </c>
      <c r="BQ12" s="52">
        <v>456.36666666666662</v>
      </c>
      <c r="BR12" s="52">
        <v>28.164930912987067</v>
      </c>
      <c r="BS12" s="52">
        <v>255.73333333333335</v>
      </c>
      <c r="BT12" s="52">
        <v>14.80213948499788</v>
      </c>
      <c r="BU12" s="1">
        <f t="shared" si="19"/>
        <v>0.8579736076940282</v>
      </c>
      <c r="CD12" s="1" t="s">
        <v>75</v>
      </c>
      <c r="CE12" s="1" t="s">
        <v>76</v>
      </c>
      <c r="CF12" s="1" t="s">
        <v>77</v>
      </c>
      <c r="CG12" s="1">
        <v>0.8</v>
      </c>
      <c r="CH12" s="1">
        <v>17.98</v>
      </c>
      <c r="CI12" s="1">
        <v>11.32</v>
      </c>
      <c r="CJ12" s="1">
        <v>71.92</v>
      </c>
      <c r="CK12" s="1">
        <v>45.28</v>
      </c>
      <c r="CL12" s="1">
        <f t="shared" si="9"/>
        <v>117.2</v>
      </c>
      <c r="CM12" s="1">
        <v>0</v>
      </c>
      <c r="CN12" s="1">
        <f t="shared" si="10"/>
        <v>136.07692993411877</v>
      </c>
      <c r="CO12" s="1">
        <v>2</v>
      </c>
      <c r="CP12" s="1">
        <v>39</v>
      </c>
      <c r="CR12" s="53"/>
      <c r="CS12" s="24"/>
      <c r="CT12" s="83">
        <v>999.2</v>
      </c>
      <c r="CU12" s="90">
        <f>AVERAGE(CT10:CT11)</f>
        <v>1282.1500000000001</v>
      </c>
      <c r="CV12" s="90">
        <f>STDEV(CT10:CT11)</f>
        <v>1.4849242404918463</v>
      </c>
      <c r="CW12" s="83">
        <v>540.9</v>
      </c>
      <c r="CX12" s="90">
        <f>AVERAGE(CW10:CW12)</f>
        <v>544.13333333333333</v>
      </c>
      <c r="CY12" s="90">
        <f>STDEV(CW10:CW12)</f>
        <v>6.9399807876775634</v>
      </c>
      <c r="CZ12" s="83">
        <v>309.2</v>
      </c>
      <c r="DA12" s="90">
        <f>AVERAGE(CZ10:CZ12)</f>
        <v>310.23333333333335</v>
      </c>
      <c r="DB12" s="90">
        <f>STDEV(CZ10:CZ12)</f>
        <v>4.6371686763944062</v>
      </c>
      <c r="DC12" s="83">
        <v>51.23</v>
      </c>
      <c r="DD12" s="85">
        <f>AVERAGE(DC10:DC11)</f>
        <v>39.76</v>
      </c>
      <c r="DE12" s="91">
        <f>STDEV(DC10:DC11)</f>
        <v>2.1778888860545651</v>
      </c>
      <c r="DF12" s="84">
        <v>0.25</v>
      </c>
      <c r="DG12" s="92">
        <f>AVERAGE(DF10:DF12)</f>
        <v>0.25</v>
      </c>
      <c r="DH12" s="83">
        <f>STDEV(DF10:DF12)</f>
        <v>0</v>
      </c>
      <c r="DI12" s="83">
        <v>0.41799999999999998</v>
      </c>
      <c r="DJ12" s="85">
        <f>AVERAGE(DI10:DI12)</f>
        <v>0.42033333333333328</v>
      </c>
      <c r="DK12" s="85">
        <f>STDEV(DI10:DI12)</f>
        <v>4.0414518843273836E-3</v>
      </c>
      <c r="DL12" s="85">
        <v>2.4289999999999998</v>
      </c>
      <c r="DM12" s="91">
        <f>AVERAGE(DL10:DL12)</f>
        <v>2.5443333333333329</v>
      </c>
      <c r="DN12" s="85">
        <f>STDEV(DL10:DL12)</f>
        <v>0.10186428880296243</v>
      </c>
      <c r="DO12" s="22">
        <v>7.8E-2</v>
      </c>
      <c r="DP12" s="93">
        <f>AVERAGE(DO10:DO12)</f>
        <v>7.8333333333333324E-2</v>
      </c>
      <c r="DQ12" s="94">
        <f>STDEV(DO10:DO12)</f>
        <v>1.5275252316519479E-3</v>
      </c>
      <c r="DR12" s="22"/>
      <c r="DS12" s="101"/>
      <c r="DT12" s="101"/>
      <c r="DU12" s="102" t="s">
        <v>228</v>
      </c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3"/>
      <c r="EJ12" s="103"/>
      <c r="EK12" s="103"/>
      <c r="EL12" s="103"/>
      <c r="EM12" s="103"/>
      <c r="EN12" s="103"/>
      <c r="EO12" s="104"/>
    </row>
    <row r="13" spans="1:147" s="1" customFormat="1" ht="18.75" customHeight="1">
      <c r="A13" s="25"/>
      <c r="B13" s="74"/>
      <c r="C13" s="75"/>
      <c r="D13" s="76"/>
      <c r="E13" s="76">
        <v>171</v>
      </c>
      <c r="F13" s="76"/>
      <c r="G13" s="77"/>
      <c r="H13" s="67">
        <v>1.1319999999999999</v>
      </c>
      <c r="I13" s="25"/>
      <c r="J13" s="25"/>
      <c r="K13" s="67">
        <v>0.21</v>
      </c>
      <c r="L13" s="25"/>
      <c r="M13" s="25"/>
      <c r="N13" s="67">
        <v>2.2100000000000002E-2</v>
      </c>
      <c r="O13" s="25"/>
      <c r="P13" s="25"/>
      <c r="Q13" s="78">
        <v>12.47</v>
      </c>
      <c r="R13" s="25"/>
      <c r="S13" s="25"/>
      <c r="T13" s="67">
        <v>1442.1</v>
      </c>
      <c r="U13" s="67"/>
      <c r="V13" s="67"/>
      <c r="W13" s="67">
        <v>1402.6</v>
      </c>
      <c r="X13" s="67"/>
      <c r="Y13" s="67"/>
      <c r="Z13" s="67">
        <v>697.9</v>
      </c>
      <c r="AA13" s="25"/>
      <c r="AB13" s="25"/>
      <c r="AC13" s="25">
        <v>639.4</v>
      </c>
      <c r="AD13" s="25"/>
      <c r="AE13" s="25"/>
      <c r="AF13" s="67">
        <v>392.8</v>
      </c>
      <c r="AG13" s="25"/>
      <c r="AH13" s="88"/>
      <c r="AI13" s="25">
        <v>411.9</v>
      </c>
      <c r="AJ13" s="25"/>
      <c r="AK13" s="25"/>
      <c r="AL13" s="67">
        <f t="shared" si="13"/>
        <v>0</v>
      </c>
      <c r="AM13" s="67"/>
      <c r="AO13" s="89"/>
      <c r="AP13" s="89"/>
      <c r="AQ13" s="47"/>
      <c r="AR13" s="47"/>
      <c r="AS13" s="47"/>
      <c r="AT13" s="47"/>
      <c r="AU13" s="47"/>
      <c r="AV13" s="47"/>
      <c r="AW13" s="47"/>
      <c r="AX13" s="48" t="str">
        <f>G33</f>
        <v xml:space="preserve"> 18:00pm</v>
      </c>
      <c r="AY13" s="49">
        <v>0.90706666666666669</v>
      </c>
      <c r="AZ13" s="50">
        <v>1.251292664940277E-2</v>
      </c>
      <c r="BA13" s="50">
        <f t="shared" si="14"/>
        <v>1.1846756639094471</v>
      </c>
      <c r="BB13" s="50">
        <v>0.20550000000000002</v>
      </c>
      <c r="BC13" s="50">
        <v>3.5355339059327212E-3</v>
      </c>
      <c r="BD13" s="50">
        <f t="shared" si="15"/>
        <v>1.0445611657065401</v>
      </c>
      <c r="BE13" s="51">
        <v>2.003333333333333E-2</v>
      </c>
      <c r="BF13" s="50">
        <v>3.0550504633038936E-4</v>
      </c>
      <c r="BG13" s="50">
        <f t="shared" si="16"/>
        <v>1.0221088435374148</v>
      </c>
      <c r="BH13" s="50">
        <f t="shared" si="0"/>
        <v>1.1326000000000001</v>
      </c>
      <c r="BI13" s="50">
        <f t="shared" si="1"/>
        <v>32.404066666666672</v>
      </c>
      <c r="BJ13" s="50">
        <f t="shared" si="5"/>
        <v>0.47512061924114762</v>
      </c>
      <c r="BK13" s="49">
        <v>7.6219999999999999</v>
      </c>
      <c r="BL13" s="49">
        <v>0.16970562748477155</v>
      </c>
      <c r="BM13" s="49">
        <f t="shared" si="17"/>
        <v>1.0228126677402041</v>
      </c>
      <c r="BN13" s="52">
        <v>1161.5666666666668</v>
      </c>
      <c r="BO13" s="52">
        <v>24.903279569834421</v>
      </c>
      <c r="BP13" s="52">
        <f t="shared" si="18"/>
        <v>1.1247498547543737</v>
      </c>
      <c r="BQ13" s="52">
        <v>602.23333333333335</v>
      </c>
      <c r="BR13" s="52">
        <v>14.015824390071851</v>
      </c>
      <c r="BS13" s="52">
        <v>325.2</v>
      </c>
      <c r="BT13" s="52">
        <v>7.8542981863435708</v>
      </c>
      <c r="BU13" s="1">
        <f t="shared" si="19"/>
        <v>1.0910310892417803</v>
      </c>
      <c r="CG13" s="1">
        <v>0.3</v>
      </c>
      <c r="CH13" s="1">
        <v>0</v>
      </c>
      <c r="CI13" s="1">
        <v>0</v>
      </c>
      <c r="CJ13" s="1">
        <v>0</v>
      </c>
      <c r="CK13" s="1">
        <v>0</v>
      </c>
      <c r="CL13" s="1">
        <f t="shared" si="9"/>
        <v>0</v>
      </c>
      <c r="CM13" s="1">
        <v>0</v>
      </c>
      <c r="CN13" s="1">
        <f t="shared" si="10"/>
        <v>609.85448961089878</v>
      </c>
      <c r="CO13" s="1">
        <v>2.5</v>
      </c>
      <c r="CP13" s="1">
        <v>19</v>
      </c>
      <c r="CR13" s="53"/>
      <c r="CS13" s="24" t="s">
        <v>94</v>
      </c>
      <c r="CT13" s="83">
        <v>1075.3</v>
      </c>
      <c r="CU13" s="85"/>
      <c r="CV13" s="85"/>
      <c r="CW13" s="83">
        <v>446.2</v>
      </c>
      <c r="CX13" s="83"/>
      <c r="CY13" s="85"/>
      <c r="CZ13" s="83">
        <v>244.3</v>
      </c>
      <c r="DA13" s="85"/>
      <c r="DB13" s="90"/>
      <c r="DC13" s="83">
        <v>43.78</v>
      </c>
      <c r="DD13" s="83"/>
      <c r="DE13" s="85"/>
      <c r="DF13" s="84">
        <v>0.25</v>
      </c>
      <c r="DG13" s="92"/>
      <c r="DH13" s="91"/>
      <c r="DI13" s="83">
        <v>0.35</v>
      </c>
      <c r="DJ13" s="85"/>
      <c r="DK13" s="85"/>
      <c r="DL13" s="85">
        <v>2.5579999999999998</v>
      </c>
      <c r="DM13" s="85"/>
      <c r="DN13" s="85"/>
      <c r="DO13" s="22">
        <v>2.1999999999999999E-2</v>
      </c>
      <c r="DP13" s="22"/>
      <c r="DQ13" s="22"/>
      <c r="DR13" s="22"/>
      <c r="DS13" s="105" t="s">
        <v>106</v>
      </c>
      <c r="DT13" s="105"/>
      <c r="DU13" s="106" t="s">
        <v>107</v>
      </c>
      <c r="DV13" s="106"/>
      <c r="DW13" s="106" t="s">
        <v>108</v>
      </c>
      <c r="DX13" s="106"/>
      <c r="DY13" s="106" t="s">
        <v>100</v>
      </c>
      <c r="DZ13" s="106"/>
      <c r="EA13" s="106" t="s">
        <v>101</v>
      </c>
      <c r="EB13" s="106"/>
      <c r="EC13" s="106" t="s">
        <v>109</v>
      </c>
      <c r="ED13" s="106"/>
      <c r="EE13" s="106" t="s">
        <v>110</v>
      </c>
      <c r="EF13" s="106"/>
      <c r="EG13" s="106" t="s">
        <v>111</v>
      </c>
      <c r="EH13" s="106"/>
      <c r="EI13" s="99"/>
      <c r="EJ13" s="99"/>
      <c r="EK13" s="99"/>
      <c r="EL13" s="99"/>
      <c r="EM13" s="99"/>
      <c r="EN13" s="99"/>
      <c r="EO13" s="104"/>
    </row>
    <row r="14" spans="1:147" s="1" customFormat="1" ht="18.75" customHeight="1">
      <c r="A14" s="25"/>
      <c r="B14" s="74"/>
      <c r="C14" s="75"/>
      <c r="D14" s="76"/>
      <c r="E14" s="76">
        <v>171</v>
      </c>
      <c r="F14" s="76"/>
      <c r="G14" s="77"/>
      <c r="H14" s="67">
        <v>1.141</v>
      </c>
      <c r="I14" s="67">
        <f>AVERAGE(H12:H14)</f>
        <v>1.1403333333333332</v>
      </c>
      <c r="J14" s="67">
        <f>STDEV(H12:H14)</f>
        <v>8.0208062770106558E-3</v>
      </c>
      <c r="K14" s="67">
        <v>0.218</v>
      </c>
      <c r="L14" s="67">
        <f>AVERAGE(K12:K14)</f>
        <v>0.21433333333333335</v>
      </c>
      <c r="M14" s="67">
        <f>STDEV(K12:K14)</f>
        <v>4.0414518843273836E-3</v>
      </c>
      <c r="N14" s="67">
        <v>2.2499999999999999E-2</v>
      </c>
      <c r="O14" s="67">
        <f>AVERAGE(N12:N14)</f>
        <v>2.2500000000000003E-2</v>
      </c>
      <c r="P14" s="67">
        <f>STDEV(N12:N14)</f>
        <v>3.9999999999999937E-4</v>
      </c>
      <c r="Q14" s="78">
        <v>14.56</v>
      </c>
      <c r="R14" s="86">
        <f>AVERAGE(Q12:Q14)</f>
        <v>13.463333333333333</v>
      </c>
      <c r="S14" s="67">
        <f>STDEV(Q12:Q14)</f>
        <v>1.0488247390929206</v>
      </c>
      <c r="T14" s="67">
        <v>1472.3</v>
      </c>
      <c r="U14" s="67">
        <f>AVERAGE(T12:T14)</f>
        <v>1425.2</v>
      </c>
      <c r="V14" s="67">
        <f>STDEV(T12:T14)</f>
        <v>57.445713504142262</v>
      </c>
      <c r="W14" s="67">
        <v>1422.9</v>
      </c>
      <c r="X14" s="67">
        <f>T12</f>
        <v>1361.2</v>
      </c>
      <c r="Y14" s="67">
        <v>25.199669309999614</v>
      </c>
      <c r="Z14" s="67">
        <v>641.5</v>
      </c>
      <c r="AA14" s="67">
        <f>AVERAGE(Z12:Z14)</f>
        <v>668.5</v>
      </c>
      <c r="AB14" s="67">
        <f>STDEV(Z12:Z14)</f>
        <v>28.276492003075617</v>
      </c>
      <c r="AC14" s="67">
        <v>648.70000000000005</v>
      </c>
      <c r="AD14" s="67">
        <v>636.86666666666667</v>
      </c>
      <c r="AE14" s="67">
        <v>13.282444554122325</v>
      </c>
      <c r="AF14" s="67">
        <v>389.6</v>
      </c>
      <c r="AG14" s="67">
        <f>AVERAGE(AF12:AF14)</f>
        <v>398.40000000000003</v>
      </c>
      <c r="AH14" s="68">
        <f>STDEV(AF12:AF14)</f>
        <v>12.572986916401364</v>
      </c>
      <c r="AI14" s="67">
        <v>421.2</v>
      </c>
      <c r="AJ14" s="67">
        <v>411.90000000000003</v>
      </c>
      <c r="AK14" s="67">
        <v>9.2999999999999829</v>
      </c>
      <c r="AL14" s="67">
        <f t="shared" si="13"/>
        <v>2093.6999999999998</v>
      </c>
      <c r="AM14" s="67">
        <f t="shared" si="20"/>
        <v>0.46905697445972494</v>
      </c>
      <c r="AN14" s="1" t="s">
        <v>229</v>
      </c>
      <c r="AO14" s="89" t="str">
        <f>B36</f>
        <v>2PA Ligt</v>
      </c>
      <c r="AP14" s="89" t="str">
        <f>C36</f>
        <v>P.anguillanuce</v>
      </c>
      <c r="AQ14" s="47">
        <v>670</v>
      </c>
      <c r="AR14" s="47">
        <v>356</v>
      </c>
      <c r="AS14" s="47">
        <v>126</v>
      </c>
      <c r="AT14" s="47">
        <v>64</v>
      </c>
      <c r="AU14" s="47">
        <v>35</v>
      </c>
      <c r="AV14" s="47">
        <v>22</v>
      </c>
      <c r="AW14" s="47">
        <v>15</v>
      </c>
      <c r="AX14" s="48" t="str">
        <f>G36</f>
        <v xml:space="preserve"> 06:00 am</v>
      </c>
      <c r="AY14" s="49">
        <v>0.85850000000000004</v>
      </c>
      <c r="AZ14" s="50">
        <v>4.9497474683058368E-3</v>
      </c>
      <c r="BA14" s="50">
        <f>AY14/AY$14</f>
        <v>1</v>
      </c>
      <c r="BB14" s="50">
        <v>0.20366666666666666</v>
      </c>
      <c r="BC14" s="50">
        <v>4.9328828623162362E-3</v>
      </c>
      <c r="BD14" s="50">
        <f>BB14/BB$14</f>
        <v>1</v>
      </c>
      <c r="BE14" s="51">
        <v>1.9749999999999997E-2</v>
      </c>
      <c r="BF14" s="50">
        <v>7.7781745930520247E-4</v>
      </c>
      <c r="BG14" s="50">
        <f>BE14/BE$14</f>
        <v>1</v>
      </c>
      <c r="BH14" s="50">
        <f t="shared" si="0"/>
        <v>1.0819166666666666</v>
      </c>
      <c r="BI14" s="50">
        <f t="shared" si="1"/>
        <v>31.038066666666669</v>
      </c>
      <c r="BJ14" s="50">
        <f t="shared" si="5"/>
        <v>0.3311564860356393</v>
      </c>
      <c r="BK14" s="49">
        <v>8.240333333333334</v>
      </c>
      <c r="BL14" s="49">
        <v>9.9961659316626678E-2</v>
      </c>
      <c r="BM14" s="49">
        <f>BK14-BK19</f>
        <v>0.25533333333333452</v>
      </c>
      <c r="BN14" s="52">
        <v>902.25</v>
      </c>
      <c r="BO14" s="52">
        <v>18.314065632731644</v>
      </c>
      <c r="BP14" s="52">
        <f>BN14/BN$14</f>
        <v>1</v>
      </c>
      <c r="BQ14" s="52">
        <v>402.83333333333331</v>
      </c>
      <c r="BR14" s="52">
        <v>23.725373196924277</v>
      </c>
      <c r="BS14" s="52">
        <v>287.20000000000005</v>
      </c>
      <c r="BT14" s="52">
        <v>9.7580735803743632</v>
      </c>
      <c r="BU14" s="1">
        <f>BS14/BS$14</f>
        <v>1</v>
      </c>
      <c r="CD14" s="1" t="s">
        <v>80</v>
      </c>
      <c r="CE14" s="1" t="s">
        <v>81</v>
      </c>
      <c r="CF14" s="1" t="s">
        <v>82</v>
      </c>
      <c r="CG14" s="1">
        <v>0.8</v>
      </c>
      <c r="CH14" s="1">
        <v>24.552</v>
      </c>
      <c r="CI14" s="1">
        <v>15.048</v>
      </c>
      <c r="CJ14" s="1">
        <v>98.207999999999998</v>
      </c>
      <c r="CK14" s="1">
        <v>60.192</v>
      </c>
      <c r="CL14" s="1">
        <f t="shared" ref="CL14" si="21">CJ14+CK14</f>
        <v>158.4</v>
      </c>
      <c r="CM14" s="1">
        <v>0</v>
      </c>
      <c r="CO14" s="1">
        <v>3</v>
      </c>
      <c r="CP14" s="1">
        <v>6</v>
      </c>
      <c r="CR14" s="53"/>
      <c r="CS14" s="24"/>
      <c r="CT14" s="83">
        <v>1197.3</v>
      </c>
      <c r="CU14" s="85"/>
      <c r="CV14" s="85"/>
      <c r="CW14" s="83">
        <v>498.6</v>
      </c>
      <c r="CX14" s="83"/>
      <c r="CY14" s="85"/>
      <c r="CZ14" s="83">
        <v>284.10000000000002</v>
      </c>
      <c r="DA14" s="85"/>
      <c r="DB14" s="85"/>
      <c r="DC14" s="83">
        <v>46.48</v>
      </c>
      <c r="DD14" s="83"/>
      <c r="DE14" s="85"/>
      <c r="DF14" s="84">
        <v>0.23</v>
      </c>
      <c r="DG14" s="92"/>
      <c r="DH14" s="91"/>
      <c r="DI14" s="83">
        <v>0.35199999999999998</v>
      </c>
      <c r="DJ14" s="85"/>
      <c r="DK14" s="85"/>
      <c r="DL14" s="85">
        <v>2.3330000000000002</v>
      </c>
      <c r="DM14" s="85"/>
      <c r="DN14" s="85"/>
      <c r="DO14" s="22">
        <v>5.1999999999999998E-2</v>
      </c>
      <c r="DP14" s="22"/>
      <c r="DQ14" s="22"/>
      <c r="DR14" s="22"/>
      <c r="DS14" s="105"/>
      <c r="DT14" s="105"/>
      <c r="DU14" s="107" t="s">
        <v>1</v>
      </c>
      <c r="DV14" s="107" t="s">
        <v>2</v>
      </c>
      <c r="DW14" s="107" t="s">
        <v>1</v>
      </c>
      <c r="DX14" s="107" t="s">
        <v>2</v>
      </c>
      <c r="DY14" s="107" t="s">
        <v>1</v>
      </c>
      <c r="DZ14" s="107" t="s">
        <v>2</v>
      </c>
      <c r="EA14" s="107" t="s">
        <v>1</v>
      </c>
      <c r="EB14" s="107" t="s">
        <v>2</v>
      </c>
      <c r="EC14" s="107" t="s">
        <v>1</v>
      </c>
      <c r="ED14" s="107" t="s">
        <v>2</v>
      </c>
      <c r="EE14" s="107" t="s">
        <v>1</v>
      </c>
      <c r="EF14" s="107" t="s">
        <v>2</v>
      </c>
      <c r="EG14" s="107" t="s">
        <v>1</v>
      </c>
      <c r="EH14" s="107" t="s">
        <v>2</v>
      </c>
      <c r="EI14" s="100"/>
      <c r="EJ14" s="100">
        <v>0</v>
      </c>
      <c r="EK14" s="100">
        <v>3</v>
      </c>
      <c r="EL14" s="100"/>
      <c r="EM14" s="100"/>
      <c r="EN14" s="100"/>
      <c r="EO14" s="104"/>
    </row>
    <row r="15" spans="1:147" s="1" customFormat="1" ht="18.75" customHeight="1">
      <c r="A15" s="25"/>
      <c r="B15" s="74"/>
      <c r="C15" s="75"/>
      <c r="D15" s="76">
        <v>1512</v>
      </c>
      <c r="E15" s="76">
        <v>77</v>
      </c>
      <c r="F15" s="76"/>
      <c r="G15" s="77" t="s">
        <v>10</v>
      </c>
      <c r="H15" s="67">
        <v>1.1359999999999999</v>
      </c>
      <c r="I15" s="25"/>
      <c r="J15" s="25"/>
      <c r="K15" s="67">
        <v>0.21199999999999999</v>
      </c>
      <c r="L15" s="25"/>
      <c r="M15" s="25"/>
      <c r="N15" s="67">
        <v>2.3400000000000001E-2</v>
      </c>
      <c r="O15" s="25"/>
      <c r="P15" s="25"/>
      <c r="Q15" s="78">
        <v>11.401999999999999</v>
      </c>
      <c r="R15" s="25"/>
      <c r="S15" s="25"/>
      <c r="T15" s="67">
        <v>1258.5999999999999</v>
      </c>
      <c r="U15" s="67"/>
      <c r="V15" s="67"/>
      <c r="W15" s="67"/>
      <c r="X15" s="67"/>
      <c r="Y15" s="67"/>
      <c r="Z15" s="67">
        <v>647.79999999999995</v>
      </c>
      <c r="AA15" s="25"/>
      <c r="AB15" s="25"/>
      <c r="AC15" s="25"/>
      <c r="AD15" s="25"/>
      <c r="AE15" s="25"/>
      <c r="AF15" s="67">
        <v>392.1</v>
      </c>
      <c r="AG15" s="25"/>
      <c r="AH15" s="88"/>
      <c r="AI15" s="25"/>
      <c r="AJ15" s="25"/>
      <c r="AK15" s="25"/>
      <c r="AL15" s="67">
        <f t="shared" si="13"/>
        <v>0</v>
      </c>
      <c r="AM15" s="67"/>
      <c r="AO15" s="89"/>
      <c r="AP15" s="89"/>
      <c r="AQ15" s="47">
        <v>933</v>
      </c>
      <c r="AR15" s="47">
        <v>645</v>
      </c>
      <c r="AS15" s="47">
        <v>330</v>
      </c>
      <c r="AT15" s="47">
        <v>198</v>
      </c>
      <c r="AU15" s="47">
        <v>100</v>
      </c>
      <c r="AV15" s="47">
        <v>45</v>
      </c>
      <c r="AW15" s="47">
        <v>25</v>
      </c>
      <c r="AX15" s="48" t="str">
        <f>G39</f>
        <v xml:space="preserve"> 09:00 am</v>
      </c>
      <c r="AY15" s="49">
        <v>0.88233333333333341</v>
      </c>
      <c r="AZ15" s="50">
        <v>1.0263202878893778E-2</v>
      </c>
      <c r="BA15" s="50">
        <f t="shared" ref="BA15:BA18" si="22">AY15/AY$14</f>
        <v>1.0277615996893807</v>
      </c>
      <c r="BB15" s="50">
        <v>0.21333333333333335</v>
      </c>
      <c r="BC15" s="50">
        <v>1.0785793124908951E-2</v>
      </c>
      <c r="BD15" s="50">
        <f t="shared" ref="BD15:BD18" si="23">BB15/BB$14</f>
        <v>1.0474631751227497</v>
      </c>
      <c r="BE15" s="51">
        <v>2.0099999999999996E-2</v>
      </c>
      <c r="BF15" s="50">
        <v>4.0000000000000105E-4</v>
      </c>
      <c r="BG15" s="50">
        <f t="shared" ref="BG15:BG18" si="24">BE15/BE$14</f>
        <v>1.0177215189873419</v>
      </c>
      <c r="BH15" s="50">
        <f t="shared" si="0"/>
        <v>1.1157666666666668</v>
      </c>
      <c r="BI15" s="50">
        <f t="shared" si="1"/>
        <v>32.059680000000007</v>
      </c>
      <c r="BJ15" s="50">
        <f t="shared" si="5"/>
        <v>0.70555292157493255</v>
      </c>
      <c r="BK15" s="49">
        <v>10.312333333333333</v>
      </c>
      <c r="BL15" s="49">
        <v>0.11350917730885626</v>
      </c>
      <c r="BM15" s="49">
        <f t="shared" ref="BM15:BM18" si="25">BK15-BK20</f>
        <v>2.0859999999999985</v>
      </c>
      <c r="BN15" s="52">
        <v>1021.6666666666666</v>
      </c>
      <c r="BO15" s="52">
        <v>21.259429280517661</v>
      </c>
      <c r="BP15" s="52">
        <f t="shared" ref="BP15:BP18" si="26">BN15/BN$14</f>
        <v>1.1323542994365936</v>
      </c>
      <c r="BQ15" s="52">
        <v>365.40000000000003</v>
      </c>
      <c r="BR15" s="52">
        <v>38.177087369258565</v>
      </c>
      <c r="BS15" s="52">
        <v>221.36666666666665</v>
      </c>
      <c r="BT15" s="52">
        <v>8.458329228242027</v>
      </c>
      <c r="BU15" s="1">
        <f t="shared" ref="BU15:BU18" si="27">BS15/BS$14</f>
        <v>0.77077530176415954</v>
      </c>
      <c r="CH15" s="1" t="s">
        <v>78</v>
      </c>
      <c r="CI15" s="1" t="s">
        <v>48</v>
      </c>
      <c r="CJ15" s="1" t="s">
        <v>79</v>
      </c>
      <c r="CK15" s="1" t="s">
        <v>48</v>
      </c>
      <c r="CO15" s="1">
        <v>3.5</v>
      </c>
      <c r="CP15" s="1">
        <v>2.8</v>
      </c>
      <c r="CR15" s="53"/>
      <c r="CS15" s="24"/>
      <c r="CT15" s="83">
        <v>1102.5999999999999</v>
      </c>
      <c r="CU15" s="90">
        <f>AVERAGE(CT13:CT15)</f>
        <v>1125.0666666666666</v>
      </c>
      <c r="CV15" s="90">
        <f>STDEV(CT13:CT15)</f>
        <v>64.0278324897332</v>
      </c>
      <c r="CW15" s="83">
        <v>469.2</v>
      </c>
      <c r="CX15" s="90">
        <f>AVERAGE(CW13:CW15)</f>
        <v>471.33333333333331</v>
      </c>
      <c r="CY15" s="90">
        <f>STDEV(CW13:CW15)</f>
        <v>26.265059172469691</v>
      </c>
      <c r="CZ15" s="83">
        <v>256.10000000000002</v>
      </c>
      <c r="DA15" s="90">
        <f>AVERAGE(CZ13:CZ15)</f>
        <v>261.50000000000006</v>
      </c>
      <c r="DB15" s="90">
        <f>STDEV(CZ13:CZ15)</f>
        <v>20.442113393678262</v>
      </c>
      <c r="DC15" s="83">
        <v>40.51</v>
      </c>
      <c r="DD15" s="83">
        <f>AVERAGE(DC13:DC15)</f>
        <v>43.589999999999996</v>
      </c>
      <c r="DE15" s="91">
        <f>STDEV(DC13:DC15)</f>
        <v>2.9895317359078155</v>
      </c>
      <c r="DF15" s="84">
        <v>0.27</v>
      </c>
      <c r="DG15" s="92">
        <f>AVERAGE(DF13:DF15)</f>
        <v>0.25</v>
      </c>
      <c r="DH15" s="83">
        <f>STDEV(DF13:DF15)</f>
        <v>2.0000000000000004E-2</v>
      </c>
      <c r="DI15" s="83">
        <v>0.34799999999999998</v>
      </c>
      <c r="DJ15" s="85">
        <f>AVERAGE(DI13:DI15)</f>
        <v>0.34999999999999992</v>
      </c>
      <c r="DK15" s="85">
        <f>STDEV(DI13:DI15)</f>
        <v>2.0000000000000018E-3</v>
      </c>
      <c r="DL15" s="85">
        <v>2.4460000000000002</v>
      </c>
      <c r="DM15" s="91">
        <f>AVERAGE(DL13:DL15)</f>
        <v>2.4456666666666664</v>
      </c>
      <c r="DN15" s="85">
        <f>STDEV(DL13:DL15)</f>
        <v>0.11250037036976053</v>
      </c>
      <c r="DO15" s="22">
        <v>3.4000000000000002E-2</v>
      </c>
      <c r="DP15" s="93">
        <f>AVERAGE(DO13:DO15)</f>
        <v>3.5999999999999997E-2</v>
      </c>
      <c r="DQ15" s="94">
        <f>STDEV(DO13:DO15)</f>
        <v>1.5099668870541504E-2</v>
      </c>
      <c r="DR15" s="22"/>
      <c r="DS15" s="105"/>
      <c r="DT15" s="105"/>
      <c r="DU15" s="107">
        <v>1202.3</v>
      </c>
      <c r="DV15" s="107">
        <v>58.2</v>
      </c>
      <c r="DW15" s="107">
        <v>481.2</v>
      </c>
      <c r="DX15" s="107">
        <v>21.4</v>
      </c>
      <c r="DY15" s="107">
        <v>374.3</v>
      </c>
      <c r="DZ15" s="107">
        <v>15.6</v>
      </c>
      <c r="EA15" s="107">
        <v>14.51</v>
      </c>
      <c r="EB15" s="107">
        <v>2.14</v>
      </c>
      <c r="EC15" s="107">
        <v>1.43</v>
      </c>
      <c r="ED15" s="107">
        <v>0.14000000000000001</v>
      </c>
      <c r="EE15" s="107">
        <v>0.31</v>
      </c>
      <c r="EF15" s="107">
        <v>8.0000000000000002E-3</v>
      </c>
      <c r="EG15" s="107">
        <v>1.7999999999999999E-2</v>
      </c>
      <c r="EH15" s="107">
        <v>2.9999999999999997E-4</v>
      </c>
      <c r="EI15" s="108"/>
      <c r="EJ15" s="108">
        <v>14.51</v>
      </c>
      <c r="EK15" s="108">
        <v>14.51</v>
      </c>
      <c r="EL15" s="108"/>
      <c r="EM15" s="108"/>
      <c r="EN15" s="108"/>
      <c r="EO15" s="104"/>
    </row>
    <row r="16" spans="1:147" s="1" customFormat="1" ht="18.75" customHeight="1">
      <c r="A16" s="25"/>
      <c r="B16" s="74"/>
      <c r="C16" s="75"/>
      <c r="D16" s="76"/>
      <c r="E16" s="76">
        <v>77</v>
      </c>
      <c r="F16" s="76"/>
      <c r="G16" s="77"/>
      <c r="H16" s="67">
        <v>2.012</v>
      </c>
      <c r="I16" s="25"/>
      <c r="J16" s="25"/>
      <c r="K16" s="67">
        <v>0.221</v>
      </c>
      <c r="L16" s="25"/>
      <c r="M16" s="25"/>
      <c r="N16" s="67">
        <v>2.3900000000000001E-2</v>
      </c>
      <c r="O16" s="25"/>
      <c r="P16" s="25"/>
      <c r="Q16" s="78">
        <v>11.244999999999999</v>
      </c>
      <c r="R16" s="25"/>
      <c r="S16" s="25"/>
      <c r="T16" s="67">
        <v>1204.0999999999999</v>
      </c>
      <c r="U16" s="67"/>
      <c r="V16" s="67"/>
      <c r="W16" s="67"/>
      <c r="X16" s="67"/>
      <c r="Y16" s="67"/>
      <c r="Z16" s="67">
        <v>602.70000000000005</v>
      </c>
      <c r="AA16" s="25"/>
      <c r="AB16" s="25"/>
      <c r="AC16" s="25"/>
      <c r="AD16" s="25"/>
      <c r="AE16" s="25"/>
      <c r="AF16" s="67">
        <v>386.5</v>
      </c>
      <c r="AG16" s="25"/>
      <c r="AH16" s="88"/>
      <c r="AI16" s="25"/>
      <c r="AJ16" s="25"/>
      <c r="AK16" s="25"/>
      <c r="AL16" s="67">
        <f t="shared" si="13"/>
        <v>0</v>
      </c>
      <c r="AM16" s="67"/>
      <c r="AO16" s="89"/>
      <c r="AP16" s="89"/>
      <c r="AQ16" s="47">
        <v>1728</v>
      </c>
      <c r="AR16" s="47">
        <v>1647</v>
      </c>
      <c r="AS16" s="47">
        <v>495</v>
      </c>
      <c r="AT16" s="47">
        <v>213</v>
      </c>
      <c r="AU16" s="47">
        <v>159</v>
      </c>
      <c r="AV16" s="47">
        <v>45</v>
      </c>
      <c r="AW16" s="47">
        <v>20</v>
      </c>
      <c r="AX16" s="48" t="str">
        <f>G42</f>
        <v xml:space="preserve">  12:00 am</v>
      </c>
      <c r="AY16" s="49">
        <v>0.98266666666666669</v>
      </c>
      <c r="AZ16" s="50">
        <v>8.0208062770106506E-3</v>
      </c>
      <c r="BA16" s="50">
        <f t="shared" si="22"/>
        <v>1.1446321102698505</v>
      </c>
      <c r="BB16" s="50">
        <v>0.2203333333333333</v>
      </c>
      <c r="BC16" s="50">
        <v>1.4742229591663984E-2</v>
      </c>
      <c r="BD16" s="50">
        <f t="shared" si="23"/>
        <v>1.0818330605564646</v>
      </c>
      <c r="BE16" s="51">
        <v>2.179E-2</v>
      </c>
      <c r="BF16" s="50">
        <v>3.0512292604784784E-4</v>
      </c>
      <c r="BG16" s="50">
        <f t="shared" si="24"/>
        <v>1.1032911392405065</v>
      </c>
      <c r="BH16" s="50">
        <f t="shared" si="0"/>
        <v>1.22479</v>
      </c>
      <c r="BI16" s="50">
        <f t="shared" si="1"/>
        <v>35.013278666666665</v>
      </c>
      <c r="BJ16" s="50">
        <f t="shared" si="5"/>
        <v>0.80389697482797673</v>
      </c>
      <c r="BK16" s="49">
        <v>13.074666666666667</v>
      </c>
      <c r="BL16" s="49">
        <v>0.12215290963924427</v>
      </c>
      <c r="BM16" s="49">
        <f t="shared" si="25"/>
        <v>4.9139999999999997</v>
      </c>
      <c r="BN16" s="52">
        <v>1132.4666666666667</v>
      </c>
      <c r="BO16" s="52">
        <v>34.439850948186908</v>
      </c>
      <c r="BP16" s="52">
        <f t="shared" si="26"/>
        <v>1.2551584002955574</v>
      </c>
      <c r="BQ16" s="52">
        <v>588.65</v>
      </c>
      <c r="BR16" s="52">
        <v>19.586857838867399</v>
      </c>
      <c r="BS16" s="52">
        <v>356</v>
      </c>
      <c r="BT16" s="52">
        <v>11.580587204455551</v>
      </c>
      <c r="BU16" s="1">
        <f t="shared" si="27"/>
        <v>1.2395543175487462</v>
      </c>
      <c r="CD16" s="1" t="s">
        <v>80</v>
      </c>
      <c r="CE16" s="1" t="s">
        <v>81</v>
      </c>
      <c r="CF16" s="1" t="s">
        <v>82</v>
      </c>
      <c r="CG16" s="1">
        <v>0.6</v>
      </c>
      <c r="CH16" s="1">
        <v>24.552</v>
      </c>
      <c r="CI16" s="1">
        <v>15.048</v>
      </c>
      <c r="CJ16" s="1">
        <v>98.207999999999998</v>
      </c>
      <c r="CK16" s="1">
        <v>60.192</v>
      </c>
      <c r="CL16" s="1">
        <f t="shared" si="9"/>
        <v>158.4</v>
      </c>
      <c r="CO16" s="1">
        <v>4</v>
      </c>
      <c r="CP16" s="1">
        <v>0.9</v>
      </c>
      <c r="CR16" s="53"/>
      <c r="CS16" s="24" t="s">
        <v>95</v>
      </c>
      <c r="CT16" s="83">
        <v>738.2</v>
      </c>
      <c r="CU16" s="85"/>
      <c r="CV16" s="85"/>
      <c r="CW16" s="83">
        <v>444.4</v>
      </c>
      <c r="CX16" s="83"/>
      <c r="CY16" s="85"/>
      <c r="CZ16" s="83">
        <v>142.9</v>
      </c>
      <c r="DA16" s="85"/>
      <c r="DB16" s="85"/>
      <c r="DC16" s="83">
        <v>12.81</v>
      </c>
      <c r="DD16" s="83"/>
      <c r="DE16" s="85"/>
      <c r="DF16" s="84">
        <v>0.13</v>
      </c>
      <c r="DG16" s="92"/>
      <c r="DH16" s="91"/>
      <c r="DI16" s="83">
        <v>0.23899999999999999</v>
      </c>
      <c r="DJ16" s="85"/>
      <c r="DK16" s="85"/>
      <c r="DL16" s="85">
        <v>1.702</v>
      </c>
      <c r="DM16" s="85"/>
      <c r="DN16" s="85"/>
      <c r="DO16" s="22">
        <v>2.5999999999999999E-2</v>
      </c>
      <c r="DP16" s="22"/>
      <c r="DQ16" s="22"/>
      <c r="DR16" s="22"/>
      <c r="DS16" s="109"/>
      <c r="DT16" s="110"/>
      <c r="DU16" s="111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1"/>
      <c r="EG16" s="108"/>
      <c r="EH16" s="113"/>
      <c r="EI16" s="108"/>
      <c r="EJ16" s="108"/>
      <c r="EK16" s="108"/>
      <c r="EL16" s="108"/>
      <c r="EM16" s="108"/>
      <c r="EN16" s="108"/>
      <c r="EO16" s="3"/>
    </row>
    <row r="17" spans="1:145" s="1" customFormat="1" ht="18.75" customHeight="1">
      <c r="A17" s="25"/>
      <c r="B17" s="74"/>
      <c r="C17" s="75"/>
      <c r="D17" s="76"/>
      <c r="E17" s="76">
        <v>77</v>
      </c>
      <c r="F17" s="76"/>
      <c r="G17" s="77"/>
      <c r="H17" s="67">
        <v>1.1234</v>
      </c>
      <c r="I17" s="114">
        <f>AVERAGE(H15,H17)</f>
        <v>1.1296999999999999</v>
      </c>
      <c r="J17" s="67">
        <f>STDEV(H15,H17)</f>
        <v>8.9095454429504589E-3</v>
      </c>
      <c r="K17" s="67">
        <v>0.23100000000000001</v>
      </c>
      <c r="L17" s="67">
        <f>AVERAGE(K15:K17)</f>
        <v>0.22133333333333335</v>
      </c>
      <c r="M17" s="67">
        <f>STDEV(K15:K17)</f>
        <v>9.5043849529221781E-3</v>
      </c>
      <c r="N17" s="67">
        <v>2.3300000000000001E-2</v>
      </c>
      <c r="O17" s="67">
        <f>AVERAGE(N15:N16)</f>
        <v>2.3650000000000001E-2</v>
      </c>
      <c r="P17" s="67">
        <f>STDEV(N15:N16)</f>
        <v>3.5355339059327408E-4</v>
      </c>
      <c r="Q17" s="78">
        <v>11.302</v>
      </c>
      <c r="R17" s="86">
        <f>AVERAGE(Q15:Q17)</f>
        <v>11.316333333333333</v>
      </c>
      <c r="S17" s="67">
        <f>STDEV(Q15:Q17)</f>
        <v>7.9475363058833084E-2</v>
      </c>
      <c r="T17" s="67">
        <v>1181.9000000000001</v>
      </c>
      <c r="U17" s="67">
        <f>AVERAGE(T15:T17)</f>
        <v>1214.8666666666666</v>
      </c>
      <c r="V17" s="67">
        <f>STDEV(T15:T17)</f>
        <v>39.467243802086401</v>
      </c>
      <c r="W17" s="67"/>
      <c r="X17" s="67"/>
      <c r="Y17" s="67"/>
      <c r="Z17" s="67">
        <v>626.29999999999995</v>
      </c>
      <c r="AA17" s="67">
        <f>AVERAGE(Z15:Z17)</f>
        <v>625.6</v>
      </c>
      <c r="AB17" s="67">
        <f>STDEV(Z15:Z17)</f>
        <v>22.558147087028178</v>
      </c>
      <c r="AC17" s="67"/>
      <c r="AD17" s="67"/>
      <c r="AE17" s="67"/>
      <c r="AF17" s="67">
        <v>256.3</v>
      </c>
      <c r="AG17" s="25">
        <f>AVERAGE(AF15:AF16)</f>
        <v>389.3</v>
      </c>
      <c r="AH17" s="88">
        <f>STDEV(AF15:AF16)</f>
        <v>3.9597979746446823</v>
      </c>
      <c r="AI17" s="25"/>
      <c r="AJ17" s="25"/>
      <c r="AK17" s="25"/>
      <c r="AL17" s="67">
        <f t="shared" si="13"/>
        <v>1840.4666666666667</v>
      </c>
      <c r="AM17" s="67">
        <f t="shared" si="20"/>
        <v>0.51495363002798666</v>
      </c>
      <c r="AO17" s="89"/>
      <c r="AP17" s="89"/>
      <c r="AQ17" s="47">
        <v>1594</v>
      </c>
      <c r="AR17" s="47">
        <v>1065</v>
      </c>
      <c r="AS17" s="47">
        <v>85</v>
      </c>
      <c r="AT17" s="47">
        <v>43</v>
      </c>
      <c r="AU17" s="47">
        <v>30</v>
      </c>
      <c r="AV17" s="47">
        <v>10</v>
      </c>
      <c r="AW17" s="47">
        <v>2</v>
      </c>
      <c r="AX17" s="48" t="str">
        <f>G45</f>
        <v xml:space="preserve"> 15:00pm</v>
      </c>
      <c r="AY17" s="49">
        <v>1.042</v>
      </c>
      <c r="AZ17" s="50">
        <v>6.0000000000000053E-3</v>
      </c>
      <c r="BA17" s="50">
        <f t="shared" si="22"/>
        <v>1.2137449039021548</v>
      </c>
      <c r="BB17" s="50">
        <v>0.23649999999999999</v>
      </c>
      <c r="BC17" s="50">
        <v>3.5355339059327212E-3</v>
      </c>
      <c r="BD17" s="50">
        <f t="shared" si="23"/>
        <v>1.1612111292962357</v>
      </c>
      <c r="BE17" s="51">
        <v>2.2823333333333334E-2</v>
      </c>
      <c r="BF17" s="50">
        <v>2.1385353243127291E-4</v>
      </c>
      <c r="BG17" s="50">
        <f t="shared" si="24"/>
        <v>1.1556118143459917</v>
      </c>
      <c r="BH17" s="50">
        <f t="shared" si="0"/>
        <v>1.3013233333333334</v>
      </c>
      <c r="BI17" s="50">
        <f t="shared" si="1"/>
        <v>37.24110533333333</v>
      </c>
      <c r="BJ17" s="50">
        <f t="shared" si="5"/>
        <v>0.30162014612811655</v>
      </c>
      <c r="BK17" s="49">
        <v>10.134</v>
      </c>
      <c r="BL17" s="49">
        <v>0.11333137253205755</v>
      </c>
      <c r="BM17" s="49">
        <f t="shared" si="25"/>
        <v>2.734</v>
      </c>
      <c r="BN17" s="52">
        <v>1140.9999999999998</v>
      </c>
      <c r="BO17" s="52">
        <v>27.626617599699049</v>
      </c>
      <c r="BP17" s="52">
        <f t="shared" si="26"/>
        <v>1.2646162371848155</v>
      </c>
      <c r="BQ17" s="52">
        <v>624.36666666666667</v>
      </c>
      <c r="BR17" s="52">
        <v>12.312730539296849</v>
      </c>
      <c r="BS17" s="52">
        <v>336.70000000000005</v>
      </c>
      <c r="BT17" s="52">
        <v>15.414927829866743</v>
      </c>
      <c r="BU17" s="1">
        <f t="shared" si="27"/>
        <v>1.1723537604456824</v>
      </c>
      <c r="CD17" s="1" t="s">
        <v>83</v>
      </c>
      <c r="CE17" s="1" t="s">
        <v>84</v>
      </c>
      <c r="CF17" s="1" t="s">
        <v>85</v>
      </c>
      <c r="CG17" s="1">
        <v>1.2</v>
      </c>
      <c r="CH17" s="1">
        <v>23.373000000000001</v>
      </c>
      <c r="CI17" s="1">
        <v>13.727</v>
      </c>
      <c r="CJ17" s="1">
        <v>93.492000000000004</v>
      </c>
      <c r="CK17" s="1">
        <v>54.908000000000001</v>
      </c>
      <c r="CL17" s="1">
        <f t="shared" si="9"/>
        <v>148.4</v>
      </c>
      <c r="CO17" s="1">
        <v>4.5</v>
      </c>
      <c r="CP17" s="1">
        <v>0.4</v>
      </c>
      <c r="CR17" s="53"/>
      <c r="CS17" s="24"/>
      <c r="CT17" s="90">
        <v>781.2</v>
      </c>
      <c r="CU17" s="85"/>
      <c r="CV17" s="85"/>
      <c r="CW17" s="83">
        <v>405.3</v>
      </c>
      <c r="CX17" s="83"/>
      <c r="CY17" s="85"/>
      <c r="CZ17" s="83">
        <v>106.8</v>
      </c>
      <c r="DA17" s="85"/>
      <c r="DB17" s="85"/>
      <c r="DC17" s="83">
        <v>12.93</v>
      </c>
      <c r="DD17" s="83"/>
      <c r="DE17" s="85"/>
      <c r="DF17" s="84">
        <v>0.12</v>
      </c>
      <c r="DG17" s="92"/>
      <c r="DH17" s="91"/>
      <c r="DI17" s="83">
        <v>0.214</v>
      </c>
      <c r="DJ17" s="85"/>
      <c r="DK17" s="85"/>
      <c r="DL17" s="85">
        <v>1.946</v>
      </c>
      <c r="DM17" s="85"/>
      <c r="DN17" s="85"/>
      <c r="DO17" s="22">
        <v>2.5000000000000001E-2</v>
      </c>
      <c r="DP17" s="22"/>
      <c r="DQ17" s="22"/>
      <c r="DR17" s="22"/>
      <c r="DS17" s="89" t="s">
        <v>107</v>
      </c>
      <c r="DT17" s="89"/>
      <c r="DU17" s="13" t="s">
        <v>112</v>
      </c>
      <c r="DV17" s="115" t="s">
        <v>113</v>
      </c>
      <c r="DW17" s="116"/>
      <c r="DX17" s="115" t="s">
        <v>114</v>
      </c>
      <c r="DY17" s="116"/>
      <c r="DZ17" s="115" t="s">
        <v>115</v>
      </c>
      <c r="EA17" s="116"/>
      <c r="EB17" s="115" t="s">
        <v>116</v>
      </c>
      <c r="EC17" s="116"/>
      <c r="ED17" s="115" t="s">
        <v>117</v>
      </c>
      <c r="EE17" s="116"/>
      <c r="EF17" s="117" t="s">
        <v>118</v>
      </c>
      <c r="EG17" s="117"/>
      <c r="EH17" s="118" t="s">
        <v>119</v>
      </c>
      <c r="EI17" s="119"/>
      <c r="EJ17" s="119"/>
      <c r="EK17" s="120"/>
      <c r="EL17" s="98"/>
      <c r="EM17" s="98"/>
      <c r="EN17" s="98"/>
      <c r="EO17" s="104"/>
    </row>
    <row r="18" spans="1:145" s="1" customFormat="1" ht="18.75" customHeight="1">
      <c r="A18" s="25"/>
      <c r="B18" s="74"/>
      <c r="C18" s="75"/>
      <c r="D18" s="76">
        <v>161</v>
      </c>
      <c r="E18" s="76">
        <v>0</v>
      </c>
      <c r="F18" s="76"/>
      <c r="G18" s="77" t="s">
        <v>13</v>
      </c>
      <c r="H18" s="67">
        <v>0.81200000000000006</v>
      </c>
      <c r="I18" s="25"/>
      <c r="J18" s="25"/>
      <c r="K18" s="67">
        <v>0.19800000000000001</v>
      </c>
      <c r="L18" s="25"/>
      <c r="M18" s="25"/>
      <c r="N18" s="67">
        <v>2.1100000000000001E-2</v>
      </c>
      <c r="O18" s="25"/>
      <c r="P18" s="25"/>
      <c r="Q18" s="78">
        <v>9.8640000000000008</v>
      </c>
      <c r="R18" s="25"/>
      <c r="S18" s="25"/>
      <c r="T18" s="67">
        <v>1234.0999999999999</v>
      </c>
      <c r="U18" s="67"/>
      <c r="V18" s="67"/>
      <c r="W18" s="67"/>
      <c r="X18" s="67"/>
      <c r="Y18" s="67"/>
      <c r="Z18" s="67">
        <v>508.9</v>
      </c>
      <c r="AA18" s="25"/>
      <c r="AB18" s="25"/>
      <c r="AC18" s="25"/>
      <c r="AD18" s="25"/>
      <c r="AE18" s="25"/>
      <c r="AF18" s="67">
        <v>365.2</v>
      </c>
      <c r="AG18" s="25"/>
      <c r="AH18" s="88"/>
      <c r="AI18" s="25"/>
      <c r="AJ18" s="25"/>
      <c r="AK18" s="25"/>
      <c r="AL18" s="67">
        <f t="shared" si="13"/>
        <v>0</v>
      </c>
      <c r="AM18" s="67"/>
      <c r="AO18" s="89"/>
      <c r="AP18" s="89"/>
      <c r="AQ18" s="47">
        <v>155</v>
      </c>
      <c r="AR18" s="47">
        <v>120</v>
      </c>
      <c r="AS18" s="47">
        <v>19</v>
      </c>
      <c r="AT18" s="47">
        <v>11</v>
      </c>
      <c r="AU18" s="47">
        <v>0</v>
      </c>
      <c r="AV18" s="47">
        <v>0</v>
      </c>
      <c r="AW18" s="47">
        <v>0</v>
      </c>
      <c r="AX18" s="48" t="str">
        <f>G48</f>
        <v xml:space="preserve"> 18:00pm</v>
      </c>
      <c r="AY18" s="49">
        <v>0.65600000000000003</v>
      </c>
      <c r="AZ18" s="50">
        <v>8.1853527718724565E-3</v>
      </c>
      <c r="BA18" s="50">
        <f t="shared" si="22"/>
        <v>0.7641234711706465</v>
      </c>
      <c r="BB18" s="50">
        <v>0.20699999999999999</v>
      </c>
      <c r="BC18" s="50">
        <v>6.5574385243019938E-3</v>
      </c>
      <c r="BD18" s="50">
        <f t="shared" si="23"/>
        <v>1.0163666121112929</v>
      </c>
      <c r="BE18" s="51">
        <v>2.1966666666666662E-2</v>
      </c>
      <c r="BF18" s="50">
        <v>5.0332229568471711E-4</v>
      </c>
      <c r="BG18" s="50">
        <f t="shared" si="24"/>
        <v>1.1122362869198312</v>
      </c>
      <c r="BH18" s="50">
        <f t="shared" si="0"/>
        <v>0.88496666666666668</v>
      </c>
      <c r="BI18" s="50">
        <f t="shared" si="1"/>
        <v>25.791106666666664</v>
      </c>
      <c r="BJ18" s="50">
        <f t="shared" si="5"/>
        <v>0.48143722713180431</v>
      </c>
      <c r="BK18" s="49">
        <v>8.3670000000000009</v>
      </c>
      <c r="BL18" s="49">
        <v>0.13859292911256313</v>
      </c>
      <c r="BM18" s="49">
        <f t="shared" si="25"/>
        <v>0.78700000000000081</v>
      </c>
      <c r="BN18" s="52">
        <v>931.75</v>
      </c>
      <c r="BO18" s="52">
        <v>37.54737008100561</v>
      </c>
      <c r="BP18" s="52">
        <f t="shared" si="26"/>
        <v>1.0326960376835688</v>
      </c>
      <c r="BQ18" s="52">
        <v>315.39999999999998</v>
      </c>
      <c r="BR18" s="52">
        <v>14.892615619829842</v>
      </c>
      <c r="BS18" s="52">
        <v>214.43333333333337</v>
      </c>
      <c r="BT18" s="52">
        <v>11.703560711737834</v>
      </c>
      <c r="BU18" s="1">
        <f t="shared" si="27"/>
        <v>0.74663416898792945</v>
      </c>
      <c r="CO18" s="1">
        <v>5</v>
      </c>
      <c r="CP18" s="1">
        <v>0.2</v>
      </c>
      <c r="CR18" s="53"/>
      <c r="CS18" s="24"/>
      <c r="CT18" s="83">
        <v>749.3</v>
      </c>
      <c r="CU18" s="90">
        <f>AVERAGE(CT16:CT18)</f>
        <v>756.23333333333323</v>
      </c>
      <c r="CV18" s="90">
        <f>STDEV(CT16:CT18)</f>
        <v>22.322708915661064</v>
      </c>
      <c r="CW18" s="83">
        <v>830.6</v>
      </c>
      <c r="CX18" s="90">
        <f>AVERAGE(CW16:CW17)</f>
        <v>424.85</v>
      </c>
      <c r="CY18" s="90">
        <f>STDEV(CW16:CW17)</f>
        <v>27.647875144393982</v>
      </c>
      <c r="CZ18" s="83">
        <v>284.2</v>
      </c>
      <c r="DA18" s="90">
        <f>AVERAGE(CZ16:CZ17)</f>
        <v>124.85</v>
      </c>
      <c r="DB18" s="90">
        <f>STDEV(CZ16:CZ17)</f>
        <v>25.526554800834429</v>
      </c>
      <c r="DC18" s="83">
        <v>12.86</v>
      </c>
      <c r="DD18" s="91">
        <f>AVERAGE(DC16:DC18)</f>
        <v>12.866666666666667</v>
      </c>
      <c r="DE18" s="91">
        <f>STDEV(DC16:DC18)</f>
        <v>6.0277137733416725E-2</v>
      </c>
      <c r="DF18" s="84">
        <v>0.14000000000000001</v>
      </c>
      <c r="DG18" s="92">
        <f>AVERAGE(DF16:DF18)</f>
        <v>0.13</v>
      </c>
      <c r="DH18" s="83">
        <f>STDEV(DF16:DF18)</f>
        <v>1.0000000000000009E-2</v>
      </c>
      <c r="DI18" s="83">
        <v>0.25600000000000001</v>
      </c>
      <c r="DJ18" s="85">
        <f>AVERAGE(DI16:DI18)</f>
        <v>0.23633333333333331</v>
      </c>
      <c r="DK18" s="85">
        <f>STDEV(DI16:DI18)</f>
        <v>2.1126602503321105E-2</v>
      </c>
      <c r="DL18" s="85">
        <v>3.6019999999999999</v>
      </c>
      <c r="DM18" s="91">
        <f>AVERAGE(DL16:DL17)</f>
        <v>1.8239999999999998</v>
      </c>
      <c r="DN18" s="85">
        <f>STDEV(DL16:DL17)</f>
        <v>0.1725340546095176</v>
      </c>
      <c r="DO18" s="22">
        <v>3.2000000000000001E-2</v>
      </c>
      <c r="DP18" s="93">
        <f>AVERAGE(DO16:DO17)</f>
        <v>2.5500000000000002E-2</v>
      </c>
      <c r="DQ18" s="94">
        <f>STDEV(DO16:DO17)</f>
        <v>7.0710678118654567E-4</v>
      </c>
      <c r="DR18" s="22"/>
      <c r="DS18" s="121" t="s">
        <v>120</v>
      </c>
      <c r="DT18" s="122"/>
      <c r="DU18" s="30"/>
      <c r="DV18" s="123" t="s">
        <v>91</v>
      </c>
      <c r="DW18" s="123" t="s">
        <v>2</v>
      </c>
      <c r="DX18" s="123" t="s">
        <v>91</v>
      </c>
      <c r="DY18" s="123" t="s">
        <v>2</v>
      </c>
      <c r="DZ18" s="123" t="s">
        <v>91</v>
      </c>
      <c r="EA18" s="123" t="s">
        <v>2</v>
      </c>
      <c r="EB18" s="123" t="s">
        <v>91</v>
      </c>
      <c r="EC18" s="123" t="s">
        <v>2</v>
      </c>
      <c r="ED18" s="123" t="s">
        <v>91</v>
      </c>
      <c r="EE18" s="123" t="s">
        <v>2</v>
      </c>
      <c r="EF18" s="123" t="s">
        <v>91</v>
      </c>
      <c r="EG18" s="123" t="s">
        <v>2</v>
      </c>
      <c r="EH18" s="124"/>
      <c r="EI18" s="125"/>
      <c r="EJ18" s="125"/>
      <c r="EK18" s="126"/>
      <c r="EL18" s="100"/>
      <c r="EM18" s="100"/>
      <c r="EN18" s="100"/>
      <c r="EO18" s="104"/>
    </row>
    <row r="19" spans="1:145" s="1" customFormat="1" ht="18.75" customHeight="1">
      <c r="A19" s="25"/>
      <c r="B19" s="74"/>
      <c r="C19" s="75"/>
      <c r="D19" s="76"/>
      <c r="E19" s="76">
        <v>0</v>
      </c>
      <c r="F19" s="76"/>
      <c r="G19" s="77"/>
      <c r="H19" s="67">
        <v>0.81899999999999995</v>
      </c>
      <c r="I19" s="25"/>
      <c r="J19" s="25"/>
      <c r="K19" s="67">
        <v>0.187</v>
      </c>
      <c r="L19" s="25"/>
      <c r="M19" s="25"/>
      <c r="N19" s="67">
        <v>2.0899999999999998E-2</v>
      </c>
      <c r="O19" s="25"/>
      <c r="P19" s="25"/>
      <c r="Q19" s="78">
        <v>9.702</v>
      </c>
      <c r="R19" s="25"/>
      <c r="S19" s="25"/>
      <c r="T19" s="67">
        <v>1064.0999999999999</v>
      </c>
      <c r="U19" s="67"/>
      <c r="V19" s="67"/>
      <c r="W19" s="67"/>
      <c r="X19" s="67"/>
      <c r="Y19" s="67"/>
      <c r="Z19" s="67">
        <v>503.4</v>
      </c>
      <c r="AA19" s="25"/>
      <c r="AB19" s="25"/>
      <c r="AC19" s="25"/>
      <c r="AD19" s="25"/>
      <c r="AE19" s="25"/>
      <c r="AF19" s="67">
        <v>334.5</v>
      </c>
      <c r="AG19" s="25"/>
      <c r="AH19" s="88"/>
      <c r="AI19" s="25"/>
      <c r="AJ19" s="25"/>
      <c r="AK19" s="25"/>
      <c r="AL19" s="67">
        <f t="shared" si="13"/>
        <v>0</v>
      </c>
      <c r="AM19" s="67"/>
      <c r="AO19" s="89" t="str">
        <f>B51</f>
        <v>2PA Dark</v>
      </c>
      <c r="AP19" s="89" t="str">
        <f>C51</f>
        <v>P.anguillanuce</v>
      </c>
      <c r="AQ19" s="47"/>
      <c r="AR19" s="47"/>
      <c r="AS19" s="47"/>
      <c r="AT19" s="47"/>
      <c r="AU19" s="47"/>
      <c r="AV19" s="47"/>
      <c r="AW19" s="47"/>
      <c r="AX19" s="48" t="str">
        <f>G51</f>
        <v xml:space="preserve"> 06:00 am</v>
      </c>
      <c r="AY19" s="49">
        <v>0.79666666666666675</v>
      </c>
      <c r="AZ19" s="50">
        <v>1.0692676621563636E-2</v>
      </c>
      <c r="BA19" s="50">
        <f>AY19/AY$19</f>
        <v>1</v>
      </c>
      <c r="BB19" s="50">
        <v>0.19410000000000002</v>
      </c>
      <c r="BC19" s="50">
        <v>4.313930922024597E-3</v>
      </c>
      <c r="BD19" s="50">
        <f>BB19/BB$19</f>
        <v>1</v>
      </c>
      <c r="BE19" s="51">
        <v>1.896666666666667E-2</v>
      </c>
      <c r="BF19" s="50">
        <v>2.5166114784235682E-4</v>
      </c>
      <c r="BG19" s="50">
        <f>BE19/BE$19</f>
        <v>1</v>
      </c>
      <c r="BH19" s="50">
        <f t="shared" si="0"/>
        <v>1.0097333333333334</v>
      </c>
      <c r="BI19" s="50">
        <f t="shared" si="1"/>
        <v>29.008440000000004</v>
      </c>
      <c r="BJ19" s="50">
        <f t="shared" si="5"/>
        <v>0.45768708622853516</v>
      </c>
      <c r="BK19" s="49">
        <v>7.9849999999999994</v>
      </c>
      <c r="BL19" s="49">
        <v>0.34242225394970993</v>
      </c>
      <c r="BM19" s="49">
        <f>BK19/BK$19</f>
        <v>1</v>
      </c>
      <c r="BN19" s="52">
        <f>U53</f>
        <v>954.43333333333339</v>
      </c>
      <c r="BO19" s="52">
        <v>40.286019080238418</v>
      </c>
      <c r="BP19" s="52">
        <f>BN19/BN$19</f>
        <v>1</v>
      </c>
      <c r="BQ19" s="52">
        <v>456.5</v>
      </c>
      <c r="BR19" s="52">
        <v>28.849956672411107</v>
      </c>
      <c r="BS19" s="52">
        <v>268.5</v>
      </c>
      <c r="BT19" s="52">
        <v>19.190883252211183</v>
      </c>
      <c r="BU19" s="1">
        <f>BS19/BS$19</f>
        <v>1</v>
      </c>
      <c r="CG19" s="1">
        <f>1.7/1.42</f>
        <v>1.1971830985915493</v>
      </c>
      <c r="CO19" s="1">
        <v>5.5</v>
      </c>
      <c r="CP19" s="1">
        <v>0.16</v>
      </c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127"/>
      <c r="DC19" s="22"/>
      <c r="DD19" s="22"/>
      <c r="DE19" s="93"/>
      <c r="DF19" s="22"/>
      <c r="DG19" s="22"/>
      <c r="DH19" s="22"/>
      <c r="DI19" s="22"/>
      <c r="DJ19" s="22"/>
      <c r="DK19" s="22"/>
      <c r="DL19" s="22"/>
      <c r="DM19" s="93"/>
      <c r="DN19" s="93"/>
      <c r="DO19" s="22"/>
      <c r="DP19" s="22"/>
      <c r="DQ19" s="22"/>
      <c r="DR19" s="22"/>
      <c r="DS19" s="121"/>
      <c r="DT19" s="122"/>
      <c r="DU19" s="123">
        <v>50</v>
      </c>
      <c r="DV19" s="52">
        <v>1008.6666666666665</v>
      </c>
      <c r="DW19" s="80">
        <v>103.44691069980448</v>
      </c>
      <c r="DX19" s="52">
        <v>1126.4666666666665</v>
      </c>
      <c r="DY19" s="52">
        <v>90.718539082887204</v>
      </c>
      <c r="DZ19" s="52">
        <v>1101.7333333333333</v>
      </c>
      <c r="EA19" s="52">
        <v>14.56102102647119</v>
      </c>
      <c r="EB19" s="52">
        <v>1204.5333333333331</v>
      </c>
      <c r="EC19" s="52">
        <v>191.250734203386</v>
      </c>
      <c r="ED19" s="52">
        <v>1557.8999999999999</v>
      </c>
      <c r="EE19" s="52">
        <v>81.565985557706554</v>
      </c>
      <c r="EF19" s="52">
        <v>1389.7333333333333</v>
      </c>
      <c r="EG19" s="52">
        <v>28.358831663757432</v>
      </c>
      <c r="EH19" s="128" t="s">
        <v>230</v>
      </c>
      <c r="EI19" s="129"/>
      <c r="EJ19" s="129"/>
      <c r="EK19" s="130"/>
      <c r="EL19" s="104"/>
      <c r="EM19" s="104"/>
      <c r="EN19" s="104"/>
      <c r="EO19" s="104"/>
    </row>
    <row r="20" spans="1:145" s="1" customFormat="1" ht="18.75" customHeight="1">
      <c r="A20" s="25"/>
      <c r="B20" s="74"/>
      <c r="C20" s="75"/>
      <c r="D20" s="76"/>
      <c r="E20" s="76">
        <v>0</v>
      </c>
      <c r="F20" s="76"/>
      <c r="G20" s="77"/>
      <c r="H20" s="67">
        <v>0.80700000000000005</v>
      </c>
      <c r="I20" s="67">
        <f>AVERAGE(H18:H20)</f>
        <v>0.81266666666666676</v>
      </c>
      <c r="J20" s="67">
        <f>STDEV(H18:H20)</f>
        <v>6.0277137733416551E-3</v>
      </c>
      <c r="K20" s="67">
        <v>0.23499999999999999</v>
      </c>
      <c r="L20" s="67">
        <f>AVERAGE(K18:K19)</f>
        <v>0.1925</v>
      </c>
      <c r="M20" s="67">
        <f>STDEV(K18:K19)</f>
        <v>7.7781745930520299E-3</v>
      </c>
      <c r="N20" s="67">
        <v>2.1499999999999998E-2</v>
      </c>
      <c r="O20" s="67">
        <f>AVERAGE(N18:N20)</f>
        <v>2.1166666666666667E-2</v>
      </c>
      <c r="P20" s="67">
        <f>STDEV(N18:N20)</f>
        <v>3.0550504633038904E-4</v>
      </c>
      <c r="Q20" s="78">
        <v>9.9250000000000007</v>
      </c>
      <c r="R20" s="86">
        <f>AVERAGE(Q18:Q20)</f>
        <v>9.8303333333333338</v>
      </c>
      <c r="S20" s="67">
        <f>STDEV(Q18:Q20)</f>
        <v>0.11524900578023843</v>
      </c>
      <c r="T20" s="67">
        <v>1506.2</v>
      </c>
      <c r="U20" s="67">
        <f>AVERAGE(T18:T19)</f>
        <v>1149.0999999999999</v>
      </c>
      <c r="V20" s="67">
        <f>STDEV(T18:T19)</f>
        <v>120.20815280171308</v>
      </c>
      <c r="W20" s="67"/>
      <c r="X20" s="67"/>
      <c r="Y20" s="67"/>
      <c r="Z20" s="67">
        <v>495.6</v>
      </c>
      <c r="AA20" s="67">
        <f>AVERAGE(Z18:Z20)</f>
        <v>502.63333333333338</v>
      </c>
      <c r="AB20" s="67">
        <f>STDEV(Z18:Z20)</f>
        <v>6.6830631699343535</v>
      </c>
      <c r="AC20" s="67"/>
      <c r="AD20" s="67"/>
      <c r="AE20" s="67"/>
      <c r="AF20" s="67">
        <v>344.9</v>
      </c>
      <c r="AG20" s="67">
        <f>AVERAGE(AF18:AF20)</f>
        <v>348.2</v>
      </c>
      <c r="AH20" s="68">
        <f>STDEV(AF18:AF20)</f>
        <v>15.613775968675863</v>
      </c>
      <c r="AI20" s="67"/>
      <c r="AJ20" s="67"/>
      <c r="AK20" s="67"/>
      <c r="AL20" s="67">
        <f t="shared" si="13"/>
        <v>1651.7333333333333</v>
      </c>
      <c r="AM20" s="67">
        <f t="shared" si="20"/>
        <v>0.43741478838511305</v>
      </c>
      <c r="AO20" s="89"/>
      <c r="AP20" s="89"/>
      <c r="AQ20" s="47"/>
      <c r="AR20" s="47"/>
      <c r="AS20" s="47"/>
      <c r="AT20" s="47"/>
      <c r="AU20" s="47"/>
      <c r="AV20" s="47"/>
      <c r="AW20" s="47"/>
      <c r="AX20" s="48" t="str">
        <f>G54</f>
        <v xml:space="preserve"> 09:00 am</v>
      </c>
      <c r="AY20" s="49">
        <v>0.82466666666666677</v>
      </c>
      <c r="AZ20" s="50">
        <v>1.09696551146029E-2</v>
      </c>
      <c r="BA20" s="50">
        <f t="shared" ref="BA20:BA33" si="28">AY20/AY$19</f>
        <v>1.0351464435146445</v>
      </c>
      <c r="BB20" s="50">
        <v>0.1905</v>
      </c>
      <c r="BC20" s="50">
        <v>2.1213203435596446E-3</v>
      </c>
      <c r="BD20" s="50">
        <f t="shared" ref="BD20:BD33" si="29">BB20/BB$19</f>
        <v>0.98145285935085003</v>
      </c>
      <c r="BE20" s="51">
        <v>1.9349999999999999E-2</v>
      </c>
      <c r="BF20" s="50">
        <v>2.1213203435596541E-4</v>
      </c>
      <c r="BG20" s="50">
        <f t="shared" ref="BG20:BG33" si="30">BE20/BE$19</f>
        <v>1.0202108963093144</v>
      </c>
      <c r="BH20" s="50">
        <f t="shared" si="0"/>
        <v>1.0345166666666668</v>
      </c>
      <c r="BI20" s="50">
        <f t="shared" si="1"/>
        <v>29.610313333333337</v>
      </c>
      <c r="BJ20" s="50">
        <f t="shared" si="5"/>
        <v>0.37723960948701962</v>
      </c>
      <c r="BK20" s="49">
        <v>8.2263333333333346</v>
      </c>
      <c r="BL20" s="49">
        <v>9.4076210241129832E-2</v>
      </c>
      <c r="BM20" s="49">
        <f t="shared" ref="BM20:BM23" si="31">BK20/BK$19</f>
        <v>1.0302233354205805</v>
      </c>
      <c r="BN20" s="52">
        <f>U56</f>
        <v>971.95</v>
      </c>
      <c r="BO20" s="52">
        <v>40.587929240107734</v>
      </c>
      <c r="BP20" s="52">
        <f t="shared" ref="BP20:BP23" si="32">BN20/BN$19</f>
        <v>1.0183529493940557</v>
      </c>
      <c r="BQ20" s="52">
        <v>514</v>
      </c>
      <c r="BR20" s="52">
        <v>10.79212675981891</v>
      </c>
      <c r="BS20" s="52">
        <v>298.06666666666666</v>
      </c>
      <c r="BT20" s="52">
        <v>9.2721806137139939</v>
      </c>
      <c r="BU20" s="1">
        <f t="shared" ref="BU20:BU23" si="33">BS20/BS$19</f>
        <v>1.1101179391682185</v>
      </c>
      <c r="CG20" s="1" t="s">
        <v>86</v>
      </c>
      <c r="CO20" s="1">
        <v>6</v>
      </c>
      <c r="CP20" s="1">
        <v>0.02</v>
      </c>
      <c r="CR20" s="131" t="s">
        <v>96</v>
      </c>
      <c r="CS20" s="132" t="s">
        <v>97</v>
      </c>
      <c r="CT20" s="133" t="s">
        <v>98</v>
      </c>
      <c r="CU20" s="133"/>
      <c r="CV20" s="133" t="s">
        <v>99</v>
      </c>
      <c r="CW20" s="133"/>
      <c r="CX20" s="133" t="s">
        <v>100</v>
      </c>
      <c r="CY20" s="133"/>
      <c r="CZ20" s="133" t="s">
        <v>101</v>
      </c>
      <c r="DA20" s="133"/>
      <c r="DB20" s="133" t="s">
        <v>102</v>
      </c>
      <c r="DC20" s="133"/>
      <c r="DD20" s="134" t="s">
        <v>103</v>
      </c>
      <c r="DE20" s="135"/>
      <c r="DF20" s="134" t="s">
        <v>104</v>
      </c>
      <c r="DG20" s="135"/>
      <c r="DH20" s="134" t="s">
        <v>105</v>
      </c>
      <c r="DI20" s="135"/>
      <c r="DJ20" s="22"/>
      <c r="DK20" s="22"/>
      <c r="DL20" s="22"/>
      <c r="DM20" s="22"/>
      <c r="DN20" s="22"/>
      <c r="DO20" s="22"/>
      <c r="DP20" s="22"/>
      <c r="DQ20" s="22"/>
      <c r="DR20" s="22"/>
      <c r="DS20" s="121"/>
      <c r="DT20" s="122"/>
      <c r="DU20" s="123">
        <v>100</v>
      </c>
      <c r="DV20" s="52">
        <v>1190.0333333333335</v>
      </c>
      <c r="DW20" s="52">
        <v>93.855704852360176</v>
      </c>
      <c r="DX20" s="52">
        <v>1402.0500000000002</v>
      </c>
      <c r="DY20" s="52">
        <v>21.425335469952358</v>
      </c>
      <c r="DZ20" s="52">
        <v>1401.0500000000002</v>
      </c>
      <c r="EA20" s="52">
        <v>77.993877964876162</v>
      </c>
      <c r="EB20" s="52">
        <v>1601.8666666666668</v>
      </c>
      <c r="EC20" s="52">
        <v>34.293196604185667</v>
      </c>
      <c r="ED20" s="52">
        <v>1456.1333333333332</v>
      </c>
      <c r="EE20" s="52">
        <v>127.63660655679199</v>
      </c>
      <c r="EF20" s="52">
        <v>1344.5666666666666</v>
      </c>
      <c r="EG20" s="52">
        <v>30.166593001751679</v>
      </c>
      <c r="EH20" s="136"/>
      <c r="EI20" s="137"/>
      <c r="EJ20" s="137"/>
      <c r="EK20" s="138"/>
      <c r="EL20" s="104"/>
      <c r="EM20" s="104"/>
      <c r="EN20" s="104"/>
      <c r="EO20" s="104"/>
    </row>
    <row r="21" spans="1:145" s="1" customFormat="1" ht="14.25" customHeight="1">
      <c r="A21" s="25"/>
      <c r="B21" s="74" t="s">
        <v>4</v>
      </c>
      <c r="C21" s="75" t="s">
        <v>42</v>
      </c>
      <c r="D21" s="76"/>
      <c r="E21" s="76">
        <v>0</v>
      </c>
      <c r="F21" s="76">
        <v>6</v>
      </c>
      <c r="G21" s="77" t="s">
        <v>14</v>
      </c>
      <c r="H21" s="67">
        <v>0.754</v>
      </c>
      <c r="I21" s="25"/>
      <c r="J21" s="25"/>
      <c r="K21" s="67">
        <v>0.19869999999999999</v>
      </c>
      <c r="L21" s="25"/>
      <c r="M21" s="25"/>
      <c r="N21" s="67">
        <v>1.9800000000000002E-2</v>
      </c>
      <c r="O21" s="25"/>
      <c r="P21" s="25"/>
      <c r="Q21" s="78">
        <v>7.2560000000000002</v>
      </c>
      <c r="R21" s="25"/>
      <c r="S21" s="25"/>
      <c r="T21" s="67">
        <v>1003.2</v>
      </c>
      <c r="U21" s="67"/>
      <c r="V21" s="67"/>
      <c r="W21" s="67"/>
      <c r="X21" s="67"/>
      <c r="Y21" s="67"/>
      <c r="Z21" s="67">
        <v>406.1</v>
      </c>
      <c r="AA21" s="25"/>
      <c r="AB21" s="25"/>
      <c r="AC21" s="25"/>
      <c r="AD21" s="25"/>
      <c r="AE21" s="25"/>
      <c r="AF21" s="67">
        <v>314.5</v>
      </c>
      <c r="AG21" s="25"/>
      <c r="AH21" s="88"/>
      <c r="AI21" s="25"/>
      <c r="AJ21" s="25"/>
      <c r="AK21" s="25"/>
      <c r="AL21" s="67">
        <f t="shared" si="13"/>
        <v>0</v>
      </c>
      <c r="AM21" s="67"/>
      <c r="AO21" s="89"/>
      <c r="AP21" s="89"/>
      <c r="AQ21" s="47"/>
      <c r="AR21" s="47"/>
      <c r="AS21" s="47"/>
      <c r="AT21" s="47"/>
      <c r="AU21" s="47">
        <v>59</v>
      </c>
      <c r="AV21" s="47"/>
      <c r="AW21" s="47"/>
      <c r="AX21" s="48" t="str">
        <f>G57</f>
        <v xml:space="preserve">  12:00 am</v>
      </c>
      <c r="AY21" s="49">
        <v>0.78426666666666678</v>
      </c>
      <c r="AZ21" s="50">
        <v>1.1259366471224438E-2</v>
      </c>
      <c r="BA21" s="50">
        <f t="shared" si="28"/>
        <v>0.98443514644351471</v>
      </c>
      <c r="BB21" s="50">
        <v>0.20099999999999998</v>
      </c>
      <c r="BC21" s="50">
        <v>3.6055512754639809E-3</v>
      </c>
      <c r="BD21" s="50">
        <f t="shared" si="29"/>
        <v>1.0355486862442038</v>
      </c>
      <c r="BE21" s="51">
        <v>2.0199999999999999E-2</v>
      </c>
      <c r="BF21" s="50">
        <v>2.6457513110645877E-4</v>
      </c>
      <c r="BG21" s="50">
        <f t="shared" si="30"/>
        <v>1.0650263620386642</v>
      </c>
      <c r="BH21" s="50">
        <f t="shared" si="0"/>
        <v>1.0054666666666667</v>
      </c>
      <c r="BI21" s="50">
        <f t="shared" si="1"/>
        <v>28.958053333333339</v>
      </c>
      <c r="BJ21" s="50">
        <f t="shared" si="5"/>
        <v>0.44446200952022741</v>
      </c>
      <c r="BK21" s="49">
        <v>8.1606666666666676</v>
      </c>
      <c r="BL21" s="49">
        <v>4.5081407845511581E-2</v>
      </c>
      <c r="BM21" s="49">
        <f t="shared" si="31"/>
        <v>1.0219995825506158</v>
      </c>
      <c r="BN21" s="52">
        <f>U59</f>
        <v>1084.1500000000001</v>
      </c>
      <c r="BO21" s="52">
        <v>90.378592598026316</v>
      </c>
      <c r="BP21" s="52">
        <f t="shared" si="32"/>
        <v>1.1359096147801488</v>
      </c>
      <c r="BQ21" s="52">
        <v>402.36666666666662</v>
      </c>
      <c r="BR21" s="52">
        <v>13.202020047452324</v>
      </c>
      <c r="BS21" s="52">
        <v>301.3</v>
      </c>
      <c r="BT21" s="52">
        <v>8.1541400527584873</v>
      </c>
      <c r="BU21" s="1">
        <f t="shared" si="33"/>
        <v>1.1221601489757915</v>
      </c>
      <c r="CE21" s="1">
        <v>0</v>
      </c>
      <c r="CG21" s="1">
        <v>1800</v>
      </c>
      <c r="CI21" s="1">
        <v>1800</v>
      </c>
      <c r="CR21" s="131"/>
      <c r="CS21" s="139"/>
      <c r="CT21" s="140" t="s">
        <v>91</v>
      </c>
      <c r="CU21" s="140" t="s">
        <v>2</v>
      </c>
      <c r="CV21" s="140" t="s">
        <v>91</v>
      </c>
      <c r="CW21" s="140" t="s">
        <v>2</v>
      </c>
      <c r="CX21" s="141" t="s">
        <v>91</v>
      </c>
      <c r="CY21" s="141" t="s">
        <v>2</v>
      </c>
      <c r="CZ21" s="141" t="s">
        <v>91</v>
      </c>
      <c r="DA21" s="141" t="s">
        <v>2</v>
      </c>
      <c r="DB21" s="141" t="s">
        <v>91</v>
      </c>
      <c r="DC21" s="141" t="s">
        <v>2</v>
      </c>
      <c r="DD21" s="141" t="s">
        <v>91</v>
      </c>
      <c r="DE21" s="141" t="s">
        <v>2</v>
      </c>
      <c r="DF21" s="141" t="s">
        <v>91</v>
      </c>
      <c r="DG21" s="141" t="s">
        <v>2</v>
      </c>
      <c r="DH21" s="141" t="s">
        <v>91</v>
      </c>
      <c r="DI21" s="141" t="s">
        <v>2</v>
      </c>
      <c r="DJ21" s="22"/>
      <c r="DK21" s="22"/>
      <c r="DL21" s="22"/>
      <c r="DM21" s="22"/>
      <c r="DN21" s="22"/>
      <c r="DO21" s="22"/>
      <c r="DP21" s="22"/>
      <c r="DQ21" s="22"/>
      <c r="DR21" s="22"/>
      <c r="DS21" s="121"/>
      <c r="DT21" s="122"/>
      <c r="DU21" s="123">
        <v>200</v>
      </c>
      <c r="DV21" s="52">
        <v>1229.4000000000001</v>
      </c>
      <c r="DW21" s="52">
        <v>59.11412690719547</v>
      </c>
      <c r="DX21" s="52">
        <v>1502</v>
      </c>
      <c r="DY21" s="52">
        <v>43.27493500861658</v>
      </c>
      <c r="DZ21" s="52">
        <v>1525.5999999999997</v>
      </c>
      <c r="EA21" s="52">
        <v>39.950469333914036</v>
      </c>
      <c r="EB21" s="52">
        <v>1657.9</v>
      </c>
      <c r="EC21" s="52">
        <v>37.193816690412497</v>
      </c>
      <c r="ED21" s="52">
        <v>1702.3666666666666</v>
      </c>
      <c r="EE21" s="52">
        <v>18.200091574861123</v>
      </c>
      <c r="EF21" s="52">
        <v>1736.35</v>
      </c>
      <c r="EG21" s="52">
        <v>158.74547237637992</v>
      </c>
      <c r="EH21" s="136"/>
      <c r="EI21" s="137"/>
      <c r="EJ21" s="137"/>
      <c r="EK21" s="138"/>
      <c r="EL21" s="104"/>
      <c r="EM21" s="104"/>
      <c r="EN21" s="104"/>
      <c r="EO21" s="3"/>
    </row>
    <row r="22" spans="1:145" s="1" customFormat="1" ht="18.75" customHeight="1">
      <c r="A22" s="25"/>
      <c r="B22" s="74"/>
      <c r="C22" s="75"/>
      <c r="D22" s="76"/>
      <c r="E22" s="76">
        <v>0</v>
      </c>
      <c r="F22" s="76">
        <v>6</v>
      </c>
      <c r="G22" s="77"/>
      <c r="H22" s="67">
        <v>0.76200000000000001</v>
      </c>
      <c r="I22" s="25"/>
      <c r="J22" s="25"/>
      <c r="K22" s="67">
        <v>0.192</v>
      </c>
      <c r="L22" s="25"/>
      <c r="M22" s="25"/>
      <c r="N22" s="67">
        <v>2.1100000000000001E-2</v>
      </c>
      <c r="O22" s="25"/>
      <c r="P22" s="25"/>
      <c r="Q22" s="78">
        <v>7.6479999999999997</v>
      </c>
      <c r="R22" s="78">
        <v>2.0310000000000001</v>
      </c>
      <c r="S22" s="25"/>
      <c r="T22" s="67">
        <v>1069.2</v>
      </c>
      <c r="U22" s="67"/>
      <c r="V22" s="67"/>
      <c r="W22" s="67"/>
      <c r="X22" s="67"/>
      <c r="Y22" s="67"/>
      <c r="Z22" s="67">
        <v>332.7</v>
      </c>
      <c r="AA22" s="25"/>
      <c r="AB22" s="25"/>
      <c r="AC22" s="25"/>
      <c r="AD22" s="25"/>
      <c r="AE22" s="25"/>
      <c r="AF22" s="67">
        <v>285.10000000000002</v>
      </c>
      <c r="AG22" s="25"/>
      <c r="AH22" s="88"/>
      <c r="AI22" s="25"/>
      <c r="AJ22" s="25"/>
      <c r="AK22" s="25"/>
      <c r="AL22" s="67">
        <f t="shared" si="13"/>
        <v>0</v>
      </c>
      <c r="AM22" s="67"/>
      <c r="AO22" s="89"/>
      <c r="AP22" s="89"/>
      <c r="AQ22" s="47"/>
      <c r="AR22" s="47"/>
      <c r="AS22" s="47"/>
      <c r="AT22" s="47"/>
      <c r="AU22" s="47"/>
      <c r="AV22" s="47"/>
      <c r="AW22" s="47"/>
      <c r="AX22" s="48" t="str">
        <f>G60</f>
        <v xml:space="preserve"> 15:00pm</v>
      </c>
      <c r="AY22" s="49">
        <v>0.79416666666666658</v>
      </c>
      <c r="AZ22" s="50">
        <v>8.6558265540232267E-3</v>
      </c>
      <c r="BA22" s="50">
        <f t="shared" si="28"/>
        <v>0.99686192468619228</v>
      </c>
      <c r="BB22" s="50">
        <v>0.1983</v>
      </c>
      <c r="BC22" s="50">
        <v>1.4525839046333879E-3</v>
      </c>
      <c r="BD22" s="50">
        <f t="shared" si="29"/>
        <v>1.0216383307573416</v>
      </c>
      <c r="BE22" s="51">
        <v>2.1133333333333334E-2</v>
      </c>
      <c r="BF22" s="50">
        <v>2.5166114784235845E-4</v>
      </c>
      <c r="BG22" s="50">
        <f t="shared" si="30"/>
        <v>1.1142355008787344</v>
      </c>
      <c r="BH22" s="50">
        <f t="shared" si="0"/>
        <v>1.0135999999999998</v>
      </c>
      <c r="BI22" s="50">
        <f t="shared" si="1"/>
        <v>29.116006666666664</v>
      </c>
      <c r="BJ22" s="50">
        <f t="shared" si="5"/>
        <v>0.28905299373631199</v>
      </c>
      <c r="BK22" s="49">
        <v>7.4</v>
      </c>
      <c r="BL22" s="49">
        <v>2.8284271247461926E-2</v>
      </c>
      <c r="BM22" s="49">
        <f t="shared" si="31"/>
        <v>0.92673763306199131</v>
      </c>
      <c r="BN22" s="52">
        <v>1085.5999999999999</v>
      </c>
      <c r="BO22" s="52">
        <v>27.108854641980013</v>
      </c>
      <c r="BP22" s="52">
        <f t="shared" si="32"/>
        <v>1.1374288408479725</v>
      </c>
      <c r="BQ22" s="52">
        <v>457.15</v>
      </c>
      <c r="BR22" s="52">
        <v>29.769195487953628</v>
      </c>
      <c r="BS22" s="52">
        <v>398.56666666666661</v>
      </c>
      <c r="BT22" s="52">
        <v>28.912338773148957</v>
      </c>
      <c r="BU22" s="1">
        <f t="shared" si="33"/>
        <v>1.484419615145872</v>
      </c>
      <c r="CE22" s="1">
        <v>0.1</v>
      </c>
      <c r="CF22" s="1">
        <v>10</v>
      </c>
      <c r="CG22" s="1">
        <f>1800*EXP(-2*CE22)</f>
        <v>1473.7153555403672</v>
      </c>
      <c r="CH22" s="1">
        <f>1500*EXP(-0.03*(CF22-50))</f>
        <v>4980.1753841048212</v>
      </c>
      <c r="CI22" s="1">
        <f>1800*EXP(-0.8*CE22)</f>
        <v>1661.6094234959444</v>
      </c>
      <c r="CR22" s="131"/>
      <c r="CS22" s="142" t="str">
        <f>CS7</f>
        <v>control</v>
      </c>
      <c r="CT22" s="80">
        <f>CU9</f>
        <v>1227.3233333333335</v>
      </c>
      <c r="CU22" s="80">
        <f>CV9</f>
        <v>26.152946934013617</v>
      </c>
      <c r="CV22" s="80">
        <f>CX9</f>
        <v>527.86666666666667</v>
      </c>
      <c r="CW22" s="80">
        <f>CY9</f>
        <v>14.05323213119793</v>
      </c>
      <c r="CX22" s="80">
        <f>DA9</f>
        <v>304.26666666666671</v>
      </c>
      <c r="CY22" s="80">
        <f>DB9</f>
        <v>14.78151999401053</v>
      </c>
      <c r="CZ22" s="80">
        <f>DD9</f>
        <v>31.69</v>
      </c>
      <c r="DA22" s="143">
        <f>DE9</f>
        <v>1.1901260437449468</v>
      </c>
      <c r="DB22" s="144">
        <f>DG9</f>
        <v>0.38000000000000006</v>
      </c>
      <c r="DC22" s="141">
        <f>DH9</f>
        <v>2.0000000000000018E-2</v>
      </c>
      <c r="DD22" s="143">
        <f>DJ9</f>
        <v>0.45633333333333331</v>
      </c>
      <c r="DE22" s="82">
        <f>DK9</f>
        <v>5.4500764520631566E-2</v>
      </c>
      <c r="DF22" s="81">
        <f>DM9</f>
        <v>2.5103333333333331</v>
      </c>
      <c r="DG22" s="82">
        <f>DN9</f>
        <v>0.20650020177552708</v>
      </c>
      <c r="DH22" s="145">
        <f>DP9</f>
        <v>9.4333333333333338E-2</v>
      </c>
      <c r="DI22" s="145">
        <f>DQ9</f>
        <v>7.0237691685684986E-3</v>
      </c>
      <c r="DJ22" s="22"/>
      <c r="DK22" s="22"/>
      <c r="DL22" s="22"/>
      <c r="DM22" s="22"/>
      <c r="DN22" s="22"/>
      <c r="DO22" s="22"/>
      <c r="DP22" s="22"/>
      <c r="DQ22" s="22"/>
      <c r="DR22" s="22"/>
      <c r="DS22" s="146"/>
      <c r="DT22" s="147"/>
      <c r="DU22" s="123">
        <v>300</v>
      </c>
      <c r="DV22" s="52">
        <v>1056.5666666666666</v>
      </c>
      <c r="DW22" s="52">
        <v>89.608556139095015</v>
      </c>
      <c r="DX22" s="52">
        <v>875.4</v>
      </c>
      <c r="DY22" s="52">
        <v>56.027760976144656</v>
      </c>
      <c r="DZ22" s="52">
        <v>758.73333333333323</v>
      </c>
      <c r="EA22" s="52">
        <v>10.174641680832483</v>
      </c>
      <c r="EB22" s="52">
        <v>553.86666666666667</v>
      </c>
      <c r="EC22" s="52">
        <v>39.273443105148466</v>
      </c>
      <c r="ED22" s="52">
        <v>502.13333333333327</v>
      </c>
      <c r="EE22" s="52">
        <v>54.050377735343638</v>
      </c>
      <c r="EF22" s="52">
        <v>420.89999999999992</v>
      </c>
      <c r="EG22" s="52">
        <v>12.230699080592261</v>
      </c>
      <c r="EH22" s="136"/>
      <c r="EI22" s="137"/>
      <c r="EJ22" s="137"/>
      <c r="EK22" s="138"/>
      <c r="EL22" s="104"/>
      <c r="EM22" s="104"/>
      <c r="EN22" s="104"/>
      <c r="EO22" s="104"/>
    </row>
    <row r="23" spans="1:145" s="1" customFormat="1" ht="18.75" customHeight="1">
      <c r="A23" s="25"/>
      <c r="B23" s="74"/>
      <c r="C23" s="75"/>
      <c r="D23" s="76"/>
      <c r="E23" s="76">
        <v>0</v>
      </c>
      <c r="F23" s="76">
        <v>6</v>
      </c>
      <c r="G23" s="77"/>
      <c r="H23" s="67">
        <v>0.78100000000000003</v>
      </c>
      <c r="I23" s="67">
        <f>AVERAGE(H21:H23)</f>
        <v>0.76566666666666672</v>
      </c>
      <c r="J23" s="67">
        <f>STDEV(H21:H23)</f>
        <v>1.3868429375143159E-2</v>
      </c>
      <c r="K23" s="67">
        <v>0.19950000000000001</v>
      </c>
      <c r="L23" s="67">
        <f>AVERAGE(K21:K23)</f>
        <v>0.19673333333333334</v>
      </c>
      <c r="M23" s="67">
        <f>STDEV(K21:K23)</f>
        <v>4.1186567389542581E-3</v>
      </c>
      <c r="N23" s="67">
        <v>1.9400000000000001E-2</v>
      </c>
      <c r="O23" s="67">
        <f>AVERAGE(N21,N23)</f>
        <v>1.9599999999999999E-2</v>
      </c>
      <c r="P23" s="67">
        <f>STDEV(N21,N23)</f>
        <v>2.8284271247461977E-4</v>
      </c>
      <c r="Q23" s="3">
        <v>8.0299999999999994</v>
      </c>
      <c r="R23" s="86">
        <f>AVERAGE(Q21:Q22)</f>
        <v>7.452</v>
      </c>
      <c r="S23" s="67">
        <f>STDEV(Q21:Q22)</f>
        <v>0.27718585822512626</v>
      </c>
      <c r="T23" s="67">
        <v>1025.8</v>
      </c>
      <c r="U23" s="67">
        <f>AVERAGE(T21:T23)</f>
        <v>1032.7333333333333</v>
      </c>
      <c r="V23" s="67">
        <f>STDEV(T21:T23)</f>
        <v>33.541814699466308</v>
      </c>
      <c r="W23" s="67"/>
      <c r="X23" s="67"/>
      <c r="Y23" s="67"/>
      <c r="Z23" s="67">
        <v>398.6</v>
      </c>
      <c r="AA23" s="25">
        <f>AVERAGE(Z21,Z23)</f>
        <v>402.35</v>
      </c>
      <c r="AB23" s="25">
        <f>STDEV(Z21,Z23)</f>
        <v>5.3033008588991066</v>
      </c>
      <c r="AC23" s="25"/>
      <c r="AD23" s="25"/>
      <c r="AE23" s="25"/>
      <c r="AF23" s="67">
        <v>294.60000000000002</v>
      </c>
      <c r="AG23" s="67">
        <f>AVERAGE(AF21:AF23)</f>
        <v>298.06666666666666</v>
      </c>
      <c r="AH23" s="68">
        <f>STDEV(AF21:AF23)</f>
        <v>15.003444049061967</v>
      </c>
      <c r="AI23" s="67"/>
      <c r="AJ23" s="67"/>
      <c r="AK23" s="67"/>
      <c r="AL23" s="67">
        <f t="shared" si="13"/>
        <v>1435.0833333333335</v>
      </c>
      <c r="AM23" s="67">
        <f t="shared" si="20"/>
        <v>0.38959718546252664</v>
      </c>
      <c r="AO23" s="89"/>
      <c r="AP23" s="89"/>
      <c r="AQ23" s="47"/>
      <c r="AR23" s="47"/>
      <c r="AS23" s="47"/>
      <c r="AT23" s="47"/>
      <c r="AU23" s="47"/>
      <c r="AV23" s="47"/>
      <c r="AW23" s="47"/>
      <c r="AX23" s="48" t="str">
        <f>G63</f>
        <v xml:space="preserve"> 18:00pm</v>
      </c>
      <c r="AY23" s="49">
        <v>0.76533333333333342</v>
      </c>
      <c r="AZ23" s="50">
        <v>9.0184995056457971E-3</v>
      </c>
      <c r="BA23" s="50">
        <f t="shared" si="28"/>
        <v>0.96066945606694565</v>
      </c>
      <c r="BB23" s="50">
        <v>0.19366666666666665</v>
      </c>
      <c r="BC23" s="50">
        <v>4.5092497528228985E-3</v>
      </c>
      <c r="BD23" s="50">
        <f t="shared" si="29"/>
        <v>0.99776747381075026</v>
      </c>
      <c r="BE23" s="51">
        <v>1.9366666666666667E-2</v>
      </c>
      <c r="BF23" s="50">
        <v>7.0237691685684847E-4</v>
      </c>
      <c r="BG23" s="50">
        <f t="shared" si="30"/>
        <v>1.0210896309314585</v>
      </c>
      <c r="BH23" s="50">
        <f t="shared" si="0"/>
        <v>0.97836666666666672</v>
      </c>
      <c r="BI23" s="50">
        <f t="shared" si="1"/>
        <v>28.158760000000004</v>
      </c>
      <c r="BJ23" s="50">
        <f t="shared" si="5"/>
        <v>0.42222873233029334</v>
      </c>
      <c r="BK23" s="49">
        <v>7.58</v>
      </c>
      <c r="BL23" s="49">
        <v>5.6568542494923851E-2</v>
      </c>
      <c r="BM23" s="49">
        <f t="shared" si="31"/>
        <v>0.94927989981214789</v>
      </c>
      <c r="BN23" s="52">
        <v>965</v>
      </c>
      <c r="BO23" s="52">
        <v>31.424353613081713</v>
      </c>
      <c r="BP23" s="52">
        <f t="shared" si="32"/>
        <v>1.0110711416896587</v>
      </c>
      <c r="BQ23" s="52">
        <v>369.63333333333338</v>
      </c>
      <c r="BR23" s="52">
        <v>12.687526683058959</v>
      </c>
      <c r="BS23" s="52">
        <v>278.35000000000002</v>
      </c>
      <c r="BT23" s="52">
        <v>14.354267658086924</v>
      </c>
      <c r="BU23" s="1">
        <f t="shared" si="33"/>
        <v>1.0366852886405959</v>
      </c>
      <c r="CE23" s="1">
        <v>0.2</v>
      </c>
      <c r="CF23" s="1">
        <v>20</v>
      </c>
      <c r="CG23" s="1">
        <f t="shared" ref="CG23:CG51" si="34">1800*EXP(-2*CE23)</f>
        <v>1206.5760828641507</v>
      </c>
      <c r="CH23" s="1">
        <f t="shared" ref="CH23:CH51" si="35">1500*EXP(-0.03*(CF23-50))</f>
        <v>3689.4046667354241</v>
      </c>
      <c r="CI23" s="1">
        <f t="shared" ref="CI23:CI51" si="36">1800*EXP(-0.8*CE23)</f>
        <v>1533.8588201391804</v>
      </c>
      <c r="CR23" s="131"/>
      <c r="CS23" s="142" t="str">
        <f>CS10</f>
        <v>5ppt</v>
      </c>
      <c r="CT23" s="80">
        <f>CU12</f>
        <v>1282.1500000000001</v>
      </c>
      <c r="CU23" s="80">
        <f>CV12</f>
        <v>1.4849242404918463</v>
      </c>
      <c r="CV23" s="80">
        <f>CX12</f>
        <v>544.13333333333333</v>
      </c>
      <c r="CW23" s="80">
        <f>CY12</f>
        <v>6.9399807876775634</v>
      </c>
      <c r="CX23" s="80">
        <f>DA12</f>
        <v>310.23333333333335</v>
      </c>
      <c r="CY23" s="80">
        <f>DB12</f>
        <v>4.6371686763944062</v>
      </c>
      <c r="CZ23" s="80">
        <f>DD12</f>
        <v>39.76</v>
      </c>
      <c r="DA23" s="143">
        <f>DE12</f>
        <v>2.1778888860545651</v>
      </c>
      <c r="DB23" s="144">
        <f>DG12</f>
        <v>0.25</v>
      </c>
      <c r="DC23" s="81">
        <f>DH12</f>
        <v>0</v>
      </c>
      <c r="DD23" s="143">
        <f>DJ12</f>
        <v>0.42033333333333328</v>
      </c>
      <c r="DE23" s="82">
        <f>DK12</f>
        <v>4.0414518843273836E-3</v>
      </c>
      <c r="DF23" s="81">
        <f>DM12</f>
        <v>2.5443333333333329</v>
      </c>
      <c r="DG23" s="82">
        <f>DN12</f>
        <v>0.10186428880296243</v>
      </c>
      <c r="DH23" s="145">
        <f>DP12</f>
        <v>7.8333333333333324E-2</v>
      </c>
      <c r="DI23" s="145">
        <f>DQ12</f>
        <v>1.5275252316519479E-3</v>
      </c>
      <c r="DJ23" s="22"/>
      <c r="DK23" s="22"/>
      <c r="DL23" s="22"/>
      <c r="DM23" s="22"/>
      <c r="DN23" s="22"/>
      <c r="DO23" s="22"/>
      <c r="DP23" s="22"/>
      <c r="DQ23" s="22"/>
      <c r="DR23" s="22"/>
      <c r="DS23" s="148" t="s">
        <v>108</v>
      </c>
      <c r="DT23" s="149"/>
      <c r="DU23" s="150"/>
      <c r="DV23" s="150"/>
      <c r="DW23" s="140"/>
      <c r="DX23" s="150"/>
      <c r="DY23" s="140"/>
      <c r="DZ23" s="150"/>
      <c r="EA23" s="140"/>
      <c r="EB23" s="150"/>
      <c r="EC23" s="140"/>
      <c r="ED23" s="150"/>
      <c r="EE23" s="140"/>
      <c r="EF23" s="150"/>
      <c r="EG23" s="140"/>
      <c r="EH23" s="136"/>
      <c r="EI23" s="137"/>
      <c r="EJ23" s="137"/>
      <c r="EK23" s="138"/>
      <c r="EL23" s="3"/>
      <c r="EM23" s="3"/>
      <c r="EN23" s="3"/>
      <c r="EO23" s="104"/>
    </row>
    <row r="24" spans="1:145" s="1" customFormat="1" ht="18.75" customHeight="1">
      <c r="A24" s="25"/>
      <c r="B24" s="74"/>
      <c r="C24" s="75"/>
      <c r="D24" s="76"/>
      <c r="E24" s="76">
        <v>0</v>
      </c>
      <c r="F24" s="76">
        <v>9</v>
      </c>
      <c r="G24" s="77" t="s">
        <v>11</v>
      </c>
      <c r="H24" s="67">
        <v>0.80210000000000004</v>
      </c>
      <c r="I24" s="25"/>
      <c r="J24" s="25"/>
      <c r="K24" s="67">
        <v>0.19800000000000001</v>
      </c>
      <c r="L24" s="25"/>
      <c r="M24" s="25"/>
      <c r="N24" s="67">
        <v>2.0299999999999999E-2</v>
      </c>
      <c r="O24" s="25"/>
      <c r="P24" s="25"/>
      <c r="Q24" s="78">
        <v>8.2530000000000001</v>
      </c>
      <c r="R24" s="25"/>
      <c r="S24" s="25"/>
      <c r="T24" s="67">
        <v>1068.2</v>
      </c>
      <c r="U24" s="67"/>
      <c r="V24" s="67"/>
      <c r="W24" s="67"/>
      <c r="X24" s="67"/>
      <c r="Y24" s="67"/>
      <c r="Z24" s="67">
        <v>518.20000000000005</v>
      </c>
      <c r="AA24" s="25"/>
      <c r="AB24" s="25"/>
      <c r="AC24" s="25"/>
      <c r="AD24" s="25"/>
      <c r="AE24" s="25"/>
      <c r="AF24" s="67">
        <v>318.89999999999998</v>
      </c>
      <c r="AG24" s="25"/>
      <c r="AH24" s="88"/>
      <c r="AI24" s="25"/>
      <c r="AJ24" s="25"/>
      <c r="AK24" s="25"/>
      <c r="AL24" s="67">
        <f t="shared" si="13"/>
        <v>0</v>
      </c>
      <c r="AM24" s="67"/>
      <c r="AO24" s="89" t="str">
        <f>B66</f>
        <v>2PA Ligt</v>
      </c>
      <c r="AP24" s="89" t="str">
        <f>C66</f>
        <v>P.panormitanus</v>
      </c>
      <c r="AQ24" s="47">
        <v>670</v>
      </c>
      <c r="AR24" s="47">
        <v>356</v>
      </c>
      <c r="AS24" s="47">
        <v>126</v>
      </c>
      <c r="AT24" s="47">
        <v>64</v>
      </c>
      <c r="AU24" s="47">
        <v>35</v>
      </c>
      <c r="AV24" s="47">
        <v>22</v>
      </c>
      <c r="AW24" s="47">
        <v>15</v>
      </c>
      <c r="AX24" s="48" t="str">
        <f>G66</f>
        <v xml:space="preserve"> 06:00 am</v>
      </c>
      <c r="AY24" s="49">
        <v>0.39666666666666667</v>
      </c>
      <c r="AZ24" s="50">
        <v>1.0598742063723077E-2</v>
      </c>
      <c r="BA24" s="50">
        <f t="shared" si="28"/>
        <v>0.49790794979079495</v>
      </c>
      <c r="BB24" s="50">
        <v>0.17166666666666666</v>
      </c>
      <c r="BC24" s="50">
        <v>3.511884584284235E-3</v>
      </c>
      <c r="BD24" s="50">
        <f t="shared" si="29"/>
        <v>0.88442383651038969</v>
      </c>
      <c r="BE24" s="51">
        <v>1.8266666666666667E-2</v>
      </c>
      <c r="BF24" s="50">
        <v>3.2145502536643189E-4</v>
      </c>
      <c r="BG24" s="50">
        <f t="shared" si="30"/>
        <v>0.9630931458699471</v>
      </c>
      <c r="BH24" s="50">
        <f t="shared" si="0"/>
        <v>0.58660000000000001</v>
      </c>
      <c r="BI24" s="50">
        <f t="shared" si="1"/>
        <v>17.469146666666667</v>
      </c>
      <c r="BJ24" s="50">
        <f>26.6*AZ24+40*BC24+2.8*BF24</f>
        <v>0.42330199633742921</v>
      </c>
      <c r="BK24" s="49">
        <v>6.0593333333333321</v>
      </c>
      <c r="BL24" s="49">
        <v>4.7162838478333163E-2</v>
      </c>
      <c r="BM24" s="49">
        <f>BK24/BK$24</f>
        <v>1</v>
      </c>
      <c r="BN24" s="52">
        <v>637.29999999999995</v>
      </c>
      <c r="BO24" s="52">
        <v>7.353910524340078</v>
      </c>
      <c r="BP24" s="52">
        <f>BN24/BN$24</f>
        <v>1</v>
      </c>
      <c r="BQ24" s="52">
        <v>302.16666666666669</v>
      </c>
      <c r="BR24" s="52">
        <v>13.05386277441788</v>
      </c>
      <c r="BS24" s="52">
        <v>205.66666666666666</v>
      </c>
      <c r="BT24" s="52">
        <v>7.966387721755293</v>
      </c>
      <c r="CE24" s="1">
        <v>0.3</v>
      </c>
      <c r="CF24" s="1">
        <v>30</v>
      </c>
      <c r="CG24" s="1">
        <f t="shared" si="34"/>
        <v>987.8609449692475</v>
      </c>
      <c r="CH24" s="1">
        <f t="shared" si="35"/>
        <v>2733.1782005857635</v>
      </c>
      <c r="CI24" s="1">
        <f t="shared" si="36"/>
        <v>1415.9301499197963</v>
      </c>
      <c r="CR24" s="131"/>
      <c r="CS24" s="142" t="str">
        <f>CS13</f>
        <v>10ppt</v>
      </c>
      <c r="CT24" s="80">
        <f>CU15</f>
        <v>1125.0666666666666</v>
      </c>
      <c r="CU24" s="80">
        <f>CV15</f>
        <v>64.0278324897332</v>
      </c>
      <c r="CV24" s="80">
        <f>CX15</f>
        <v>471.33333333333331</v>
      </c>
      <c r="CW24" s="80">
        <f>CY15</f>
        <v>26.265059172469691</v>
      </c>
      <c r="CX24" s="80">
        <f>DA15</f>
        <v>261.50000000000006</v>
      </c>
      <c r="CY24" s="80">
        <f>DB15</f>
        <v>20.442113393678262</v>
      </c>
      <c r="CZ24" s="80">
        <f>DD15</f>
        <v>43.589999999999996</v>
      </c>
      <c r="DA24" s="143">
        <f>DE15</f>
        <v>2.9895317359078155</v>
      </c>
      <c r="DB24" s="144">
        <f>DG15</f>
        <v>0.25</v>
      </c>
      <c r="DC24" s="81">
        <f>DH15</f>
        <v>2.0000000000000004E-2</v>
      </c>
      <c r="DD24" s="143">
        <f>DJ15</f>
        <v>0.34999999999999992</v>
      </c>
      <c r="DE24" s="82">
        <f>DK15</f>
        <v>2.0000000000000018E-3</v>
      </c>
      <c r="DF24" s="81">
        <f>DM15</f>
        <v>2.4456666666666664</v>
      </c>
      <c r="DG24" s="82">
        <f>DN15</f>
        <v>0.11250037036976053</v>
      </c>
      <c r="DH24" s="145">
        <f>DP15</f>
        <v>3.5999999999999997E-2</v>
      </c>
      <c r="DI24" s="145">
        <f>DQ15</f>
        <v>1.5099668870541504E-2</v>
      </c>
      <c r="DJ24" s="22"/>
      <c r="DK24" s="22"/>
      <c r="DL24" s="22"/>
      <c r="DM24" s="22"/>
      <c r="DN24" s="22"/>
      <c r="DO24" s="22"/>
      <c r="DP24" s="22"/>
      <c r="DQ24" s="22"/>
      <c r="DR24" s="22"/>
      <c r="DS24" s="89" t="s">
        <v>120</v>
      </c>
      <c r="DT24" s="151"/>
      <c r="DU24" s="123">
        <v>50</v>
      </c>
      <c r="DV24" s="52">
        <v>490.53333333333336</v>
      </c>
      <c r="DW24" s="52">
        <v>17.36500311930099</v>
      </c>
      <c r="DX24" s="52">
        <v>515.13333333333333</v>
      </c>
      <c r="DY24" s="52">
        <v>16.973606962968532</v>
      </c>
      <c r="DZ24" s="52">
        <v>475.76666666666665</v>
      </c>
      <c r="EA24" s="52">
        <v>19.624049870843017</v>
      </c>
      <c r="EB24" s="52">
        <v>601.73333333333335</v>
      </c>
      <c r="EC24" s="52">
        <v>22.759686582493472</v>
      </c>
      <c r="ED24" s="52">
        <v>582.96666666666658</v>
      </c>
      <c r="EE24" s="52">
        <v>20.541259292782733</v>
      </c>
      <c r="EF24" s="52">
        <v>568.4</v>
      </c>
      <c r="EG24" s="52">
        <v>20.558939661373543</v>
      </c>
      <c r="EH24" s="136"/>
      <c r="EI24" s="137"/>
      <c r="EJ24" s="137"/>
      <c r="EK24" s="138"/>
      <c r="EL24" s="104"/>
      <c r="EM24" s="104"/>
      <c r="EN24" s="104"/>
      <c r="EO24" s="104"/>
    </row>
    <row r="25" spans="1:145" s="1" customFormat="1" ht="18.75" customHeight="1">
      <c r="A25" s="25"/>
      <c r="B25" s="74"/>
      <c r="C25" s="75"/>
      <c r="D25" s="76"/>
      <c r="E25" s="76">
        <v>0</v>
      </c>
      <c r="F25" s="76">
        <v>9</v>
      </c>
      <c r="G25" s="77"/>
      <c r="H25" s="67">
        <v>0.83450000000000002</v>
      </c>
      <c r="I25" s="25"/>
      <c r="J25" s="25"/>
      <c r="K25" s="67">
        <v>0.19600000000000001</v>
      </c>
      <c r="L25" s="25"/>
      <c r="M25" s="25"/>
      <c r="N25" s="67">
        <v>2.0500000000000001E-2</v>
      </c>
      <c r="O25" s="25"/>
      <c r="P25" s="25"/>
      <c r="Q25" s="78">
        <v>8.0210000000000008</v>
      </c>
      <c r="R25" s="25"/>
      <c r="S25" s="25"/>
      <c r="T25" s="67">
        <v>1039.5</v>
      </c>
      <c r="U25" s="67"/>
      <c r="V25" s="67"/>
      <c r="W25" s="67"/>
      <c r="X25" s="67"/>
      <c r="Y25" s="67"/>
      <c r="Z25" s="67">
        <v>488.6</v>
      </c>
      <c r="AA25" s="25"/>
      <c r="AB25" s="25"/>
      <c r="AC25" s="25"/>
      <c r="AD25" s="25"/>
      <c r="AE25" s="25"/>
      <c r="AF25" s="67">
        <v>289.7</v>
      </c>
      <c r="AG25" s="25"/>
      <c r="AH25" s="88"/>
      <c r="AI25" s="25"/>
      <c r="AJ25" s="25"/>
      <c r="AK25" s="25"/>
      <c r="AL25" s="67">
        <f t="shared" si="13"/>
        <v>0</v>
      </c>
      <c r="AM25" s="67"/>
      <c r="AO25" s="89"/>
      <c r="AP25" s="89"/>
      <c r="AQ25" s="47">
        <v>933</v>
      </c>
      <c r="AR25" s="47">
        <v>645</v>
      </c>
      <c r="AS25" s="47">
        <v>330</v>
      </c>
      <c r="AT25" s="47">
        <v>198</v>
      </c>
      <c r="AU25" s="47">
        <v>100</v>
      </c>
      <c r="AV25" s="47">
        <v>45</v>
      </c>
      <c r="AW25" s="47">
        <v>25</v>
      </c>
      <c r="AX25" s="48" t="str">
        <f>G69</f>
        <v xml:space="preserve"> 09:00 am</v>
      </c>
      <c r="AY25" s="49">
        <v>0.59099999999999997</v>
      </c>
      <c r="AZ25" s="50">
        <v>7.0710678118654814E-3</v>
      </c>
      <c r="BA25" s="50">
        <f t="shared" si="28"/>
        <v>0.74184100418410026</v>
      </c>
      <c r="BB25" s="50">
        <v>0.17333333333333334</v>
      </c>
      <c r="BC25" s="50">
        <v>2.5166114784235727E-3</v>
      </c>
      <c r="BD25" s="50">
        <f t="shared" si="29"/>
        <v>0.89301047569981107</v>
      </c>
      <c r="BE25" s="51">
        <v>1.9133333333333332E-2</v>
      </c>
      <c r="BF25" s="50">
        <v>3.0550504633038904E-4</v>
      </c>
      <c r="BG25" s="50">
        <f t="shared" si="30"/>
        <v>1.008787346221441</v>
      </c>
      <c r="BH25" s="50">
        <f t="shared" si="0"/>
        <v>0.78346666666666664</v>
      </c>
      <c r="BI25" s="50">
        <f t="shared" si="1"/>
        <v>22.707506666666667</v>
      </c>
      <c r="BJ25" s="50">
        <f t="shared" si="5"/>
        <v>0.28961027706228976</v>
      </c>
      <c r="BK25" s="49">
        <v>6.8644999999999996</v>
      </c>
      <c r="BL25" s="49">
        <v>8.4145706961199621E-2</v>
      </c>
      <c r="BM25" s="49">
        <f t="shared" ref="BM25:BM28" si="37">BK25/BK$24</f>
        <v>1.1328804048850261</v>
      </c>
      <c r="BN25" s="52">
        <v>674.63333333333333</v>
      </c>
      <c r="BO25" s="52">
        <v>22.490961147388408</v>
      </c>
      <c r="BP25" s="52">
        <f t="shared" ref="BP25:BP28" si="38">BN25/BN$24</f>
        <v>1.0585804696898373</v>
      </c>
      <c r="BQ25" s="52">
        <v>227.03333333333333</v>
      </c>
      <c r="BR25" s="52">
        <v>22.624175859759692</v>
      </c>
      <c r="BS25" s="52">
        <v>201.5</v>
      </c>
      <c r="BT25" s="52">
        <v>9.450396817065414</v>
      </c>
      <c r="CE25" s="1">
        <v>0.4</v>
      </c>
      <c r="CF25" s="1">
        <v>40</v>
      </c>
      <c r="CG25" s="1">
        <f t="shared" si="34"/>
        <v>808.79213541099887</v>
      </c>
      <c r="CH25" s="1">
        <f t="shared" si="35"/>
        <v>2024.7882113640048</v>
      </c>
      <c r="CI25" s="1">
        <f t="shared" si="36"/>
        <v>1307.0682667326435</v>
      </c>
      <c r="CR25" s="131"/>
      <c r="CS25" s="142" t="str">
        <f>CS16</f>
        <v>15ppt</v>
      </c>
      <c r="CT25" s="80">
        <f>CU18</f>
        <v>756.23333333333323</v>
      </c>
      <c r="CU25" s="80">
        <f>CV18</f>
        <v>22.322708915661064</v>
      </c>
      <c r="CV25" s="80">
        <f>CX18</f>
        <v>424.85</v>
      </c>
      <c r="CW25" s="80">
        <f>CY18</f>
        <v>27.647875144393982</v>
      </c>
      <c r="CX25" s="80">
        <f>DA18</f>
        <v>124.85</v>
      </c>
      <c r="CY25" s="80">
        <f>DB18</f>
        <v>25.526554800834429</v>
      </c>
      <c r="CZ25" s="80">
        <f>DD18</f>
        <v>12.866666666666667</v>
      </c>
      <c r="DA25" s="143">
        <f>DE18</f>
        <v>6.0277137733416725E-2</v>
      </c>
      <c r="DB25" s="144">
        <f>DG18</f>
        <v>0.13</v>
      </c>
      <c r="DC25" s="81">
        <f>DH18</f>
        <v>1.0000000000000009E-2</v>
      </c>
      <c r="DD25" s="143">
        <f>DJ18</f>
        <v>0.23633333333333331</v>
      </c>
      <c r="DE25" s="82">
        <f>DK18</f>
        <v>2.1126602503321105E-2</v>
      </c>
      <c r="DF25" s="81">
        <f>DM18</f>
        <v>1.8239999999999998</v>
      </c>
      <c r="DG25" s="82">
        <f>DN18</f>
        <v>0.1725340546095176</v>
      </c>
      <c r="DH25" s="145">
        <f>DP18</f>
        <v>2.5500000000000002E-2</v>
      </c>
      <c r="DI25" s="145">
        <f>DQ18</f>
        <v>7.0710678118654567E-4</v>
      </c>
      <c r="DJ25" s="22"/>
      <c r="DK25" s="22"/>
      <c r="DL25" s="22"/>
      <c r="DM25" s="22"/>
      <c r="DN25" s="22"/>
      <c r="DO25" s="22"/>
      <c r="DP25" s="22"/>
      <c r="DQ25" s="22"/>
      <c r="DR25" s="22"/>
      <c r="DS25" s="152"/>
      <c r="DT25" s="151"/>
      <c r="DU25" s="123">
        <v>100</v>
      </c>
      <c r="DV25" s="52">
        <v>513.5333333333333</v>
      </c>
      <c r="DW25" s="52">
        <v>22.608479235307566</v>
      </c>
      <c r="DX25" s="52">
        <v>575.83333333333326</v>
      </c>
      <c r="DY25" s="52">
        <v>22.450018559754753</v>
      </c>
      <c r="DZ25" s="52">
        <v>668.56666666666672</v>
      </c>
      <c r="EA25" s="52">
        <v>22.425506311638383</v>
      </c>
      <c r="EB25" s="52">
        <v>641.66666666666663</v>
      </c>
      <c r="EC25" s="52">
        <v>18.926788774996513</v>
      </c>
      <c r="ED25" s="52">
        <v>591.20000000000005</v>
      </c>
      <c r="EE25" s="52">
        <v>25.597265478952973</v>
      </c>
      <c r="EF25" s="52">
        <v>509.5</v>
      </c>
      <c r="EG25" s="52">
        <v>29.829012722515657</v>
      </c>
      <c r="EH25" s="136"/>
      <c r="EI25" s="137"/>
      <c r="EJ25" s="137"/>
      <c r="EK25" s="138"/>
      <c r="EL25" s="104"/>
      <c r="EM25" s="104"/>
      <c r="EN25" s="104"/>
      <c r="EO25" s="104"/>
    </row>
    <row r="26" spans="1:145" s="1" customFormat="1" ht="18.75" customHeight="1">
      <c r="A26" s="25"/>
      <c r="B26" s="74"/>
      <c r="C26" s="75"/>
      <c r="D26" s="76"/>
      <c r="E26" s="76">
        <v>0</v>
      </c>
      <c r="F26" s="76">
        <v>9</v>
      </c>
      <c r="G26" s="77"/>
      <c r="H26" s="67">
        <v>0.81020000000000003</v>
      </c>
      <c r="I26" s="67">
        <f>AVERAGE(H24:H26)</f>
        <v>0.81559999999999999</v>
      </c>
      <c r="J26" s="67">
        <f>STDEV(H24:H26)</f>
        <v>1.6861494595675666E-2</v>
      </c>
      <c r="K26" s="67">
        <v>0.192</v>
      </c>
      <c r="L26" s="67">
        <f>AVERAGE(K24:K26)</f>
        <v>0.19533333333333336</v>
      </c>
      <c r="M26" s="67">
        <f>STDEV(K24:K26)</f>
        <v>3.0550504633038958E-3</v>
      </c>
      <c r="N26" s="67">
        <v>2.01E-2</v>
      </c>
      <c r="O26" s="67">
        <f>AVERAGE(N24:N26)</f>
        <v>2.0300000000000002E-2</v>
      </c>
      <c r="P26" s="67">
        <f>STDEV(N24:N26)</f>
        <v>2.0000000000000052E-4</v>
      </c>
      <c r="Q26" s="78">
        <v>8.1449999999999996</v>
      </c>
      <c r="R26" s="86">
        <f>AVERAGE(Q24:Q26)</f>
        <v>8.1396666666666668</v>
      </c>
      <c r="S26" s="67">
        <f>STDEV(Q24:Q26)</f>
        <v>0.11609191760554759</v>
      </c>
      <c r="T26" s="67">
        <v>1061.2</v>
      </c>
      <c r="U26" s="67">
        <f>AVERAGE(T24:T26)</f>
        <v>1056.3</v>
      </c>
      <c r="V26" s="67">
        <f>STDEV(T24:T26)</f>
        <v>14.96429082850239</v>
      </c>
      <c r="W26" s="67"/>
      <c r="X26" s="67"/>
      <c r="Y26" s="67"/>
      <c r="Z26" s="67">
        <v>501.8</v>
      </c>
      <c r="AA26" s="67">
        <f>AVERAGE(Z24:Z26)</f>
        <v>502.86666666666673</v>
      </c>
      <c r="AB26" s="67">
        <f>STDEV(Z24:Z26)</f>
        <v>14.828800805639466</v>
      </c>
      <c r="AC26" s="67"/>
      <c r="AD26" s="67"/>
      <c r="AE26" s="67"/>
      <c r="AF26" s="67">
        <v>298.39999999999998</v>
      </c>
      <c r="AG26" s="67">
        <f>AVERAGE(AF24:AF26)</f>
        <v>302.33333333333331</v>
      </c>
      <c r="AH26" s="68">
        <f>STDEV(AF24:AF26)</f>
        <v>14.992109035533767</v>
      </c>
      <c r="AI26" s="67"/>
      <c r="AJ26" s="67"/>
      <c r="AK26" s="67"/>
      <c r="AL26" s="67">
        <f t="shared" si="13"/>
        <v>1559.1666666666667</v>
      </c>
      <c r="AM26" s="67">
        <f t="shared" si="20"/>
        <v>0.47606424942409048</v>
      </c>
      <c r="AO26" s="89"/>
      <c r="AP26" s="89"/>
      <c r="AQ26" s="47">
        <v>1728</v>
      </c>
      <c r="AR26" s="47">
        <v>1647</v>
      </c>
      <c r="AS26" s="47">
        <v>495</v>
      </c>
      <c r="AT26" s="47">
        <v>213</v>
      </c>
      <c r="AU26" s="47">
        <v>159</v>
      </c>
      <c r="AV26" s="47">
        <v>45</v>
      </c>
      <c r="AW26" s="47">
        <v>20</v>
      </c>
      <c r="AX26" s="48" t="str">
        <f>G72</f>
        <v xml:space="preserve">  12:00 am</v>
      </c>
      <c r="AY26" s="49">
        <v>0.69003333333333339</v>
      </c>
      <c r="AZ26" s="50">
        <v>1.8717193521822185E-3</v>
      </c>
      <c r="BA26" s="50">
        <f t="shared" si="28"/>
        <v>0.86615062761506278</v>
      </c>
      <c r="BB26" s="50">
        <v>0.17649999999999999</v>
      </c>
      <c r="BC26" s="50">
        <v>3.5355339059327407E-3</v>
      </c>
      <c r="BD26" s="50">
        <f t="shared" si="29"/>
        <v>0.9093250901597113</v>
      </c>
      <c r="BE26" s="51">
        <v>1.9599999999999999E-2</v>
      </c>
      <c r="BF26" s="50">
        <v>4.2426406871192844E-4</v>
      </c>
      <c r="BG26" s="50">
        <f t="shared" si="30"/>
        <v>1.0333919156414761</v>
      </c>
      <c r="BH26" s="50">
        <f t="shared" si="0"/>
        <v>0.88613333333333333</v>
      </c>
      <c r="BI26" s="50">
        <f t="shared" si="1"/>
        <v>25.469766666666668</v>
      </c>
      <c r="BJ26" s="50">
        <f t="shared" si="5"/>
        <v>0.19239703039775002</v>
      </c>
      <c r="BK26" s="49">
        <v>9.027000000000001</v>
      </c>
      <c r="BL26" s="49">
        <v>8.2164469206585711E-2</v>
      </c>
      <c r="BM26" s="49">
        <f t="shared" si="37"/>
        <v>1.4897678512487627</v>
      </c>
      <c r="BN26" s="52">
        <v>814.36666666666679</v>
      </c>
      <c r="BO26" s="52">
        <v>15.566738044090474</v>
      </c>
      <c r="BP26" s="52">
        <f t="shared" si="38"/>
        <v>1.2778387991003717</v>
      </c>
      <c r="BQ26" s="52">
        <v>369.4666666666667</v>
      </c>
      <c r="BR26" s="52">
        <v>15.550026795260939</v>
      </c>
      <c r="BS26" s="52">
        <v>256.06666666666666</v>
      </c>
      <c r="BT26" s="52">
        <v>10.891433942935759</v>
      </c>
      <c r="CE26" s="1">
        <v>0.5</v>
      </c>
      <c r="CF26" s="1">
        <v>50</v>
      </c>
      <c r="CG26" s="1">
        <f t="shared" si="34"/>
        <v>662.18299410859618</v>
      </c>
      <c r="CH26" s="1">
        <f t="shared" si="35"/>
        <v>1500</v>
      </c>
      <c r="CI26" s="1">
        <f t="shared" si="36"/>
        <v>1206.5760828641507</v>
      </c>
      <c r="CR26" s="153"/>
      <c r="CS26" s="154"/>
      <c r="CT26" s="155"/>
      <c r="CU26" s="155"/>
      <c r="CV26" s="155"/>
      <c r="CW26" s="155"/>
      <c r="CX26" s="155"/>
      <c r="CY26" s="155"/>
      <c r="CZ26" s="155"/>
      <c r="DA26" s="156"/>
      <c r="DB26" s="157"/>
      <c r="DC26" s="158"/>
      <c r="DD26" s="156"/>
      <c r="DE26" s="159"/>
      <c r="DF26" s="158"/>
      <c r="DG26" s="159"/>
      <c r="DH26" s="160"/>
      <c r="DI26" s="160"/>
      <c r="DJ26" s="22"/>
      <c r="DK26" s="22"/>
      <c r="DL26" s="22"/>
      <c r="DM26" s="22"/>
      <c r="DN26" s="22"/>
      <c r="DO26" s="22"/>
      <c r="DP26" s="22"/>
      <c r="DQ26" s="22"/>
      <c r="DR26" s="22"/>
      <c r="DS26" s="152"/>
      <c r="DT26" s="151"/>
      <c r="DU26" s="123">
        <v>200</v>
      </c>
      <c r="DV26" s="52">
        <v>534.29999999999995</v>
      </c>
      <c r="DW26" s="52">
        <v>11.030865786510157</v>
      </c>
      <c r="DX26" s="52">
        <v>564.45000000000005</v>
      </c>
      <c r="DY26" s="52">
        <v>32.880465325174463</v>
      </c>
      <c r="DZ26" s="52">
        <v>698.80000000000007</v>
      </c>
      <c r="EA26" s="52">
        <v>24.517136863834676</v>
      </c>
      <c r="EB26" s="52">
        <v>629.54999999999995</v>
      </c>
      <c r="EC26" s="52">
        <v>8.5559920523572401</v>
      </c>
      <c r="ED26" s="52">
        <v>750.76666666666677</v>
      </c>
      <c r="EE26" s="52">
        <v>19.83893478323202</v>
      </c>
      <c r="EF26" s="52">
        <v>689.16666666666663</v>
      </c>
      <c r="EG26" s="52">
        <v>24.491699274107834</v>
      </c>
      <c r="EH26" s="136"/>
      <c r="EI26" s="137"/>
      <c r="EJ26" s="137"/>
      <c r="EK26" s="138"/>
      <c r="EL26" s="104"/>
      <c r="EM26" s="104"/>
      <c r="EN26" s="104"/>
      <c r="EO26" s="3"/>
    </row>
    <row r="27" spans="1:145" s="1" customFormat="1" ht="18.75" customHeight="1">
      <c r="A27" s="25"/>
      <c r="B27" s="74"/>
      <c r="C27" s="75"/>
      <c r="D27" s="76"/>
      <c r="E27" s="76">
        <v>0</v>
      </c>
      <c r="F27" s="76">
        <v>12</v>
      </c>
      <c r="G27" s="77" t="s">
        <v>12</v>
      </c>
      <c r="H27" s="67">
        <v>0.86150000000000004</v>
      </c>
      <c r="I27" s="25"/>
      <c r="J27" s="25"/>
      <c r="K27" s="67">
        <v>0.19900000000000001</v>
      </c>
      <c r="L27" s="25"/>
      <c r="M27" s="25"/>
      <c r="N27" s="67">
        <v>2.01E-2</v>
      </c>
      <c r="O27" s="25"/>
      <c r="P27" s="25"/>
      <c r="Q27" s="78">
        <v>8.2579999999999991</v>
      </c>
      <c r="R27" s="25"/>
      <c r="S27" s="25"/>
      <c r="T27" s="67">
        <v>1169.2</v>
      </c>
      <c r="U27" s="67"/>
      <c r="V27" s="67"/>
      <c r="W27" s="67"/>
      <c r="X27" s="67"/>
      <c r="Y27" s="67"/>
      <c r="Z27" s="67">
        <v>508.7</v>
      </c>
      <c r="AA27" s="25"/>
      <c r="AB27" s="25"/>
      <c r="AC27" s="25"/>
      <c r="AD27" s="25"/>
      <c r="AE27" s="25"/>
      <c r="AF27" s="67">
        <v>147.6</v>
      </c>
      <c r="AG27" s="25"/>
      <c r="AH27" s="88"/>
      <c r="AI27" s="25"/>
      <c r="AJ27" s="25"/>
      <c r="AK27" s="25"/>
      <c r="AL27" s="67">
        <f t="shared" si="13"/>
        <v>0</v>
      </c>
      <c r="AM27" s="67"/>
      <c r="AO27" s="89"/>
      <c r="AP27" s="89"/>
      <c r="AQ27" s="47">
        <v>1594</v>
      </c>
      <c r="AR27" s="47">
        <v>1065</v>
      </c>
      <c r="AS27" s="47">
        <v>85</v>
      </c>
      <c r="AT27" s="47">
        <v>43</v>
      </c>
      <c r="AU27" s="47">
        <v>30</v>
      </c>
      <c r="AV27" s="47">
        <v>10</v>
      </c>
      <c r="AW27" s="47">
        <v>2</v>
      </c>
      <c r="AX27" s="48" t="str">
        <f>G75</f>
        <v xml:space="preserve"> 15:00pm</v>
      </c>
      <c r="AY27" s="49">
        <v>0.72676666666666667</v>
      </c>
      <c r="AZ27" s="50">
        <v>8.736894948054222E-4</v>
      </c>
      <c r="BA27" s="50">
        <f t="shared" si="28"/>
        <v>0.91225941422594137</v>
      </c>
      <c r="BB27" s="50">
        <v>0.17966666666666664</v>
      </c>
      <c r="BC27" s="50">
        <v>2.0816659994661348E-3</v>
      </c>
      <c r="BD27" s="50">
        <f t="shared" si="29"/>
        <v>0.92563970461961165</v>
      </c>
      <c r="BE27" s="51">
        <v>2.01E-2</v>
      </c>
      <c r="BF27" s="50">
        <v>1.9999999999999879E-4</v>
      </c>
      <c r="BG27" s="50">
        <f t="shared" si="30"/>
        <v>1.0597539543057994</v>
      </c>
      <c r="BH27" s="50">
        <f t="shared" si="0"/>
        <v>0.92653333333333332</v>
      </c>
      <c r="BI27" s="50">
        <f t="shared" si="1"/>
        <v>26.574939999999998</v>
      </c>
      <c r="BJ27" s="50">
        <f t="shared" si="5"/>
        <v>0.10706678054046961</v>
      </c>
      <c r="BK27" s="49">
        <v>8.4256666666666664</v>
      </c>
      <c r="BL27" s="49">
        <v>0.19514695317461025</v>
      </c>
      <c r="BM27" s="49">
        <f t="shared" si="37"/>
        <v>1.3905270106722414</v>
      </c>
      <c r="BN27" s="52">
        <v>742.63333333333333</v>
      </c>
      <c r="BO27" s="52">
        <v>19.514439098609376</v>
      </c>
      <c r="BP27" s="52">
        <f t="shared" si="38"/>
        <v>1.1652806109106126</v>
      </c>
      <c r="BQ27" s="52">
        <v>302.73333333333329</v>
      </c>
      <c r="BR27" s="52">
        <v>7.9764235928975831</v>
      </c>
      <c r="BS27" s="52">
        <v>269.63333333333333</v>
      </c>
      <c r="BT27" s="52">
        <v>19.125201523992725</v>
      </c>
      <c r="CE27" s="1">
        <v>0.6</v>
      </c>
      <c r="CF27" s="1">
        <v>60</v>
      </c>
      <c r="CG27" s="1">
        <f t="shared" si="34"/>
        <v>542.14958144196385</v>
      </c>
      <c r="CH27" s="1">
        <f t="shared" si="35"/>
        <v>1111.2273310225769</v>
      </c>
      <c r="CI27" s="1">
        <f t="shared" si="36"/>
        <v>1113.8101052510535</v>
      </c>
      <c r="CR27" s="153"/>
      <c r="CS27" s="154"/>
      <c r="CT27" s="155"/>
      <c r="CU27" s="155"/>
      <c r="CV27" s="155"/>
      <c r="CW27" s="155"/>
      <c r="CX27" s="155"/>
      <c r="CY27" s="155"/>
      <c r="CZ27" s="155"/>
      <c r="DA27" s="156"/>
      <c r="DB27" s="157"/>
      <c r="DC27" s="158"/>
      <c r="DD27" s="156"/>
      <c r="DE27" s="159"/>
      <c r="DF27" s="158"/>
      <c r="DG27" s="159"/>
      <c r="DH27" s="160"/>
      <c r="DI27" s="160"/>
      <c r="DJ27" s="22"/>
      <c r="DK27" s="22"/>
      <c r="DL27" s="22"/>
      <c r="DM27" s="22"/>
      <c r="DN27" s="22"/>
      <c r="DO27" s="22"/>
      <c r="DP27" s="22"/>
      <c r="DQ27" s="22"/>
      <c r="DR27" s="22"/>
      <c r="DS27" s="152"/>
      <c r="DT27" s="151"/>
      <c r="DU27" s="123">
        <v>300</v>
      </c>
      <c r="DV27" s="52">
        <v>324.63333333333333</v>
      </c>
      <c r="DW27" s="52">
        <v>15.227059247712079</v>
      </c>
      <c r="DX27" s="52">
        <v>316.63333333333338</v>
      </c>
      <c r="DY27" s="52">
        <v>5.2937069557478766</v>
      </c>
      <c r="DZ27" s="52">
        <v>303.39999999999998</v>
      </c>
      <c r="EA27" s="52">
        <v>19.374725804511424</v>
      </c>
      <c r="EB27" s="52">
        <v>216.29999999999998</v>
      </c>
      <c r="EC27" s="52">
        <v>18.043558407365222</v>
      </c>
      <c r="ED27" s="52">
        <v>191.20000000000002</v>
      </c>
      <c r="EE27" s="52">
        <v>13.796013917070393</v>
      </c>
      <c r="EF27" s="52">
        <v>174.0333333333333</v>
      </c>
      <c r="EG27" s="52">
        <v>11.85087901099886</v>
      </c>
      <c r="EH27" s="136"/>
      <c r="EI27" s="137"/>
      <c r="EJ27" s="137"/>
      <c r="EK27" s="138"/>
      <c r="EL27" s="104"/>
      <c r="EM27" s="104"/>
      <c r="EN27" s="104"/>
      <c r="EO27" s="161"/>
    </row>
    <row r="28" spans="1:145" s="1" customFormat="1" ht="18.75" customHeight="1">
      <c r="A28" s="25"/>
      <c r="B28" s="74"/>
      <c r="C28" s="75"/>
      <c r="D28" s="76"/>
      <c r="E28" s="76">
        <v>0</v>
      </c>
      <c r="F28" s="76">
        <v>12</v>
      </c>
      <c r="G28" s="77"/>
      <c r="H28" s="67">
        <v>0.84019999999999995</v>
      </c>
      <c r="I28" s="25"/>
      <c r="J28" s="25"/>
      <c r="K28" s="67">
        <v>0.152</v>
      </c>
      <c r="L28" s="25"/>
      <c r="M28" s="25"/>
      <c r="N28" s="67">
        <v>1.9900000000000001E-2</v>
      </c>
      <c r="O28" s="25"/>
      <c r="P28" s="25"/>
      <c r="Q28" s="78">
        <v>8.1359999999999992</v>
      </c>
      <c r="R28" s="25"/>
      <c r="S28" s="25"/>
      <c r="T28" s="67">
        <v>1148.0999999999999</v>
      </c>
      <c r="U28" s="25"/>
      <c r="V28" s="25"/>
      <c r="W28" s="25"/>
      <c r="X28" s="25"/>
      <c r="Y28" s="25"/>
      <c r="Z28" s="67">
        <v>495.6</v>
      </c>
      <c r="AA28" s="25"/>
      <c r="AB28" s="25"/>
      <c r="AC28" s="25"/>
      <c r="AD28" s="25"/>
      <c r="AE28" s="25"/>
      <c r="AF28" s="67">
        <v>268.89999999999998</v>
      </c>
      <c r="AG28" s="25"/>
      <c r="AH28" s="88"/>
      <c r="AI28" s="25"/>
      <c r="AJ28" s="25"/>
      <c r="AK28" s="25"/>
      <c r="AL28" s="67">
        <f t="shared" si="13"/>
        <v>0</v>
      </c>
      <c r="AM28" s="67"/>
      <c r="AO28" s="89"/>
      <c r="AP28" s="89"/>
      <c r="AQ28" s="47">
        <v>155</v>
      </c>
      <c r="AR28" s="47">
        <v>120</v>
      </c>
      <c r="AS28" s="47">
        <v>19</v>
      </c>
      <c r="AT28" s="47">
        <v>11</v>
      </c>
      <c r="AU28" s="47">
        <v>0</v>
      </c>
      <c r="AV28" s="47">
        <v>0</v>
      </c>
      <c r="AW28" s="47">
        <v>0</v>
      </c>
      <c r="AX28" s="48" t="str">
        <f>G78</f>
        <v xml:space="preserve"> 18:00pm</v>
      </c>
      <c r="AY28" s="49">
        <v>0.56870000000000009</v>
      </c>
      <c r="AZ28" s="50">
        <v>5.5677643628299067E-4</v>
      </c>
      <c r="BA28" s="50">
        <f t="shared" si="28"/>
        <v>0.71384937238493729</v>
      </c>
      <c r="BB28" s="50">
        <v>0.17233333333333334</v>
      </c>
      <c r="BC28" s="50">
        <v>3.5118845842842363E-3</v>
      </c>
      <c r="BD28" s="50">
        <f t="shared" si="29"/>
        <v>0.88785849218615831</v>
      </c>
      <c r="BE28" s="51">
        <v>1.883333333333333E-2</v>
      </c>
      <c r="BF28" s="50">
        <v>4.0414518843273747E-4</v>
      </c>
      <c r="BG28" s="50">
        <f t="shared" si="30"/>
        <v>0.99297012302284682</v>
      </c>
      <c r="BH28" s="50">
        <f t="shared" si="0"/>
        <v>0.7598666666666668</v>
      </c>
      <c r="BI28" s="50">
        <f t="shared" si="1"/>
        <v>22.073486666666668</v>
      </c>
      <c r="BJ28" s="50">
        <f t="shared" si="5"/>
        <v>0.15641724310410865</v>
      </c>
      <c r="BK28" s="49">
        <v>7.541666666666667</v>
      </c>
      <c r="BL28" s="49">
        <v>0.15632125042147482</v>
      </c>
      <c r="BM28" s="49">
        <f t="shared" si="37"/>
        <v>1.2446363736384645</v>
      </c>
      <c r="BN28" s="52">
        <v>701.15</v>
      </c>
      <c r="BO28" s="52">
        <v>24.395183950935891</v>
      </c>
      <c r="BP28" s="52">
        <f t="shared" si="38"/>
        <v>1.1001882943668602</v>
      </c>
      <c r="BQ28" s="52">
        <v>289</v>
      </c>
      <c r="BR28" s="52">
        <v>13.517766087634451</v>
      </c>
      <c r="BS28" s="52">
        <v>187.64999999999998</v>
      </c>
      <c r="BT28" s="52">
        <v>14.919953083036148</v>
      </c>
      <c r="CE28" s="1">
        <v>0.70000000000000007</v>
      </c>
      <c r="CF28" s="1">
        <v>70</v>
      </c>
      <c r="CG28" s="1">
        <f t="shared" si="34"/>
        <v>443.8745350948916</v>
      </c>
      <c r="CH28" s="1">
        <f t="shared" si="35"/>
        <v>823.21745414103964</v>
      </c>
      <c r="CI28" s="1">
        <f t="shared" si="36"/>
        <v>1028.1763149278668</v>
      </c>
      <c r="CR28" s="153"/>
      <c r="CS28" s="154"/>
      <c r="CT28" s="155"/>
      <c r="CU28" s="155"/>
      <c r="CV28" s="155"/>
      <c r="CW28" s="155"/>
      <c r="CX28" s="155"/>
      <c r="CY28" s="155"/>
      <c r="CZ28" s="155"/>
      <c r="DA28" s="156"/>
      <c r="DB28" s="157"/>
      <c r="DC28" s="158"/>
      <c r="DD28" s="156"/>
      <c r="DE28" s="159"/>
      <c r="DF28" s="158"/>
      <c r="DG28" s="159"/>
      <c r="DH28" s="160"/>
      <c r="DI28" s="160"/>
      <c r="DJ28" s="22"/>
      <c r="DK28" s="22"/>
      <c r="DL28" s="22"/>
      <c r="DM28" s="22"/>
      <c r="DN28" s="22"/>
      <c r="DO28" s="22"/>
      <c r="DP28" s="22"/>
      <c r="DQ28" s="22"/>
      <c r="DR28" s="22"/>
      <c r="DS28" s="162" t="s">
        <v>100</v>
      </c>
      <c r="DT28" s="162"/>
      <c r="DU28" s="150"/>
      <c r="DV28" s="150"/>
      <c r="DW28" s="140"/>
      <c r="DX28" s="150"/>
      <c r="DY28" s="140"/>
      <c r="DZ28" s="150"/>
      <c r="EA28" s="140"/>
      <c r="EB28" s="150"/>
      <c r="EC28" s="140"/>
      <c r="ED28" s="150"/>
      <c r="EE28" s="140"/>
      <c r="EF28" s="150"/>
      <c r="EG28" s="140"/>
      <c r="EH28" s="136"/>
      <c r="EI28" s="137"/>
      <c r="EJ28" s="137"/>
      <c r="EK28" s="138"/>
      <c r="EL28" s="3"/>
      <c r="EM28" s="3"/>
      <c r="EN28" s="3"/>
      <c r="EO28" s="161"/>
    </row>
    <row r="29" spans="1:145" s="1" customFormat="1" ht="18.75" customHeight="1">
      <c r="A29" s="25"/>
      <c r="B29" s="74"/>
      <c r="C29" s="75"/>
      <c r="D29" s="76"/>
      <c r="E29" s="76">
        <v>0</v>
      </c>
      <c r="F29" s="76">
        <v>12</v>
      </c>
      <c r="G29" s="77"/>
      <c r="H29" s="67">
        <v>0.83160000000000001</v>
      </c>
      <c r="I29" s="67">
        <f>AVERAGE(H27:H29)</f>
        <v>0.84443333333333337</v>
      </c>
      <c r="J29" s="67">
        <f>STDEV(H27:H29)</f>
        <v>1.5392963760541185E-2</v>
      </c>
      <c r="K29" s="67">
        <v>0.20300000000000001</v>
      </c>
      <c r="L29" s="67">
        <f>AVERAGE(K27,K29)</f>
        <v>0.20100000000000001</v>
      </c>
      <c r="M29" s="67">
        <f>STDEV(K27,K29)</f>
        <v>2.8284271247461927E-3</v>
      </c>
      <c r="N29" s="67">
        <v>2.0400000000000001E-2</v>
      </c>
      <c r="O29" s="67">
        <f>AVERAGE(N27:N29)</f>
        <v>2.0133333333333333E-2</v>
      </c>
      <c r="P29" s="67">
        <f>STDEV(N27:N29)</f>
        <v>2.5166114784235861E-4</v>
      </c>
      <c r="Q29" s="78">
        <v>8.1690000000000005</v>
      </c>
      <c r="R29" s="86">
        <f>AVERAGE(Q27:Q29)</f>
        <v>8.1876666666666669</v>
      </c>
      <c r="S29" s="67">
        <f>STDEV(Q27:Q29)</f>
        <v>6.3105731382603447E-2</v>
      </c>
      <c r="T29" s="67">
        <v>1152.7</v>
      </c>
      <c r="U29" s="67">
        <f>AVERAGE(T27:T29)</f>
        <v>1156.6666666666667</v>
      </c>
      <c r="V29" s="67">
        <f>STDEV(T27:T29)</f>
        <v>11.09519415482823</v>
      </c>
      <c r="W29" s="67"/>
      <c r="X29" s="67"/>
      <c r="Y29" s="67"/>
      <c r="Z29" s="67">
        <v>501.1</v>
      </c>
      <c r="AA29" s="67">
        <f>AVERAGE(Z27:Z29)</f>
        <v>501.8</v>
      </c>
      <c r="AB29" s="67">
        <f>STDEV(Z27:Z29)</f>
        <v>6.5779936150774549</v>
      </c>
      <c r="AC29" s="67"/>
      <c r="AD29" s="67"/>
      <c r="AE29" s="67"/>
      <c r="AF29" s="67">
        <v>288.39999999999998</v>
      </c>
      <c r="AG29" s="25">
        <f>AVERAGE(AF28:AF29)</f>
        <v>278.64999999999998</v>
      </c>
      <c r="AH29" s="88">
        <f>STDEV(AF28:AF29)</f>
        <v>13.788582233137676</v>
      </c>
      <c r="AI29" s="25"/>
      <c r="AJ29" s="25"/>
      <c r="AK29" s="25"/>
      <c r="AL29" s="67">
        <f t="shared" si="13"/>
        <v>1658.4666666666667</v>
      </c>
      <c r="AM29" s="67">
        <f t="shared" si="20"/>
        <v>0.4338328530259366</v>
      </c>
      <c r="AO29" s="89" t="str">
        <f>B81</f>
        <v>2PA dark</v>
      </c>
      <c r="AP29" s="89" t="str">
        <f>C66</f>
        <v>P.panormitanus</v>
      </c>
      <c r="AQ29" s="47"/>
      <c r="AR29" s="47"/>
      <c r="AS29" s="47"/>
      <c r="AT29" s="47"/>
      <c r="AU29" s="47"/>
      <c r="AV29" s="47"/>
      <c r="AW29" s="47"/>
      <c r="AX29" s="48" t="str">
        <f>G81</f>
        <v xml:space="preserve"> 06:00 am</v>
      </c>
      <c r="AY29" s="49">
        <v>0.44720000000000004</v>
      </c>
      <c r="AZ29" s="50">
        <v>1.2193850909372309E-2</v>
      </c>
      <c r="BA29" s="50">
        <f t="shared" si="28"/>
        <v>0.5613389121338912</v>
      </c>
      <c r="BB29" s="50">
        <v>0.16900000000000001</v>
      </c>
      <c r="BC29" s="50">
        <v>2.6457513110645773E-3</v>
      </c>
      <c r="BD29" s="50">
        <f t="shared" si="29"/>
        <v>0.87068521380731578</v>
      </c>
      <c r="BE29" s="51">
        <v>1.8103333333333332E-2</v>
      </c>
      <c r="BF29" s="50">
        <v>1.3613718571108062E-4</v>
      </c>
      <c r="BG29" s="50">
        <f t="shared" si="30"/>
        <v>0.95448154657293471</v>
      </c>
      <c r="BH29" s="50">
        <f t="shared" si="0"/>
        <v>0.63430333333333344</v>
      </c>
      <c r="BI29" s="50">
        <f t="shared" si="1"/>
        <v>18.706209333333337</v>
      </c>
      <c r="BJ29" s="50">
        <f t="shared" si="5"/>
        <v>0.43056767075187757</v>
      </c>
      <c r="BK29" s="49">
        <v>6.078666666666666</v>
      </c>
      <c r="BL29" s="49">
        <v>5.0143128475727723E-2</v>
      </c>
      <c r="BM29" s="49"/>
      <c r="BN29" s="52">
        <v>502.03333333333336</v>
      </c>
      <c r="BO29" s="52">
        <v>11.81707803703325</v>
      </c>
      <c r="BP29" s="52"/>
      <c r="BQ29" s="52">
        <v>259.3</v>
      </c>
      <c r="BR29" s="52">
        <v>15.556349186104045</v>
      </c>
      <c r="BS29" s="52">
        <v>112.36666666666667</v>
      </c>
      <c r="BT29" s="52">
        <v>12.25819453807669</v>
      </c>
      <c r="CE29" s="1">
        <v>0.8</v>
      </c>
      <c r="CF29" s="1">
        <v>80</v>
      </c>
      <c r="CG29" s="1">
        <f t="shared" si="34"/>
        <v>363.41373239037966</v>
      </c>
      <c r="CH29" s="1">
        <f t="shared" si="35"/>
        <v>609.85448961089878</v>
      </c>
      <c r="CI29" s="1">
        <f t="shared" si="36"/>
        <v>949.12636327748737</v>
      </c>
      <c r="CR29" s="153"/>
      <c r="CS29" s="154"/>
      <c r="CT29" s="155"/>
      <c r="CU29" s="155"/>
      <c r="CV29" s="155"/>
      <c r="CW29" s="155"/>
      <c r="CX29" s="155"/>
      <c r="CY29" s="155"/>
      <c r="CZ29" s="155"/>
      <c r="DA29" s="156"/>
      <c r="DB29" s="157"/>
      <c r="DC29" s="158"/>
      <c r="DD29" s="156"/>
      <c r="DE29" s="159"/>
      <c r="DF29" s="158"/>
      <c r="DG29" s="159"/>
      <c r="DH29" s="160"/>
      <c r="DI29" s="160"/>
      <c r="DJ29" s="22"/>
      <c r="DK29" s="22"/>
      <c r="DL29" s="22"/>
      <c r="DM29" s="22"/>
      <c r="DN29" s="22"/>
      <c r="DO29" s="22"/>
      <c r="DP29" s="22"/>
      <c r="DQ29" s="22"/>
      <c r="DR29" s="22"/>
      <c r="DS29" s="89" t="s">
        <v>120</v>
      </c>
      <c r="DT29" s="151"/>
      <c r="DU29" s="123">
        <v>50</v>
      </c>
      <c r="DV29" s="80">
        <v>323.73333333333335</v>
      </c>
      <c r="DW29" s="80">
        <v>11.514049389043524</v>
      </c>
      <c r="DX29" s="80">
        <v>351.8</v>
      </c>
      <c r="DY29" s="52">
        <v>15.132085117392101</v>
      </c>
      <c r="DZ29" s="80">
        <v>334.36666666666662</v>
      </c>
      <c r="EA29" s="52">
        <v>12.508530422608946</v>
      </c>
      <c r="EB29" s="80">
        <v>289.03333333333336</v>
      </c>
      <c r="EC29" s="52">
        <v>9.3553906029269154</v>
      </c>
      <c r="ED29" s="80">
        <v>273.7</v>
      </c>
      <c r="EE29" s="52">
        <v>10.516178012947487</v>
      </c>
      <c r="EF29" s="80">
        <v>267.3</v>
      </c>
      <c r="EG29" s="52">
        <v>6.4373907757724211</v>
      </c>
      <c r="EH29" s="136"/>
      <c r="EI29" s="137"/>
      <c r="EJ29" s="137"/>
      <c r="EK29" s="138"/>
      <c r="EL29" s="104"/>
      <c r="EM29" s="104"/>
      <c r="EN29" s="104"/>
      <c r="EO29" s="161"/>
    </row>
    <row r="30" spans="1:145" s="1" customFormat="1" ht="18.75" customHeight="1">
      <c r="A30" s="25"/>
      <c r="B30" s="74"/>
      <c r="C30" s="75"/>
      <c r="D30" s="76"/>
      <c r="E30" s="76">
        <v>0</v>
      </c>
      <c r="F30" s="76">
        <v>15</v>
      </c>
      <c r="G30" s="77" t="s">
        <v>10</v>
      </c>
      <c r="H30" s="67">
        <v>0.88249999999999995</v>
      </c>
      <c r="I30" s="25"/>
      <c r="J30" s="25"/>
      <c r="K30" s="67">
        <v>0.21099999999999999</v>
      </c>
      <c r="L30" s="25"/>
      <c r="M30" s="25"/>
      <c r="N30" s="67">
        <v>2.1399999999999999E-2</v>
      </c>
      <c r="O30" s="25"/>
      <c r="P30" s="25"/>
      <c r="Q30" s="78">
        <v>7.569</v>
      </c>
      <c r="R30" s="25"/>
      <c r="S30" s="25"/>
      <c r="T30" s="67">
        <v>1051.2</v>
      </c>
      <c r="U30" s="25"/>
      <c r="V30" s="25"/>
      <c r="W30" s="25"/>
      <c r="X30" s="25"/>
      <c r="Y30" s="25"/>
      <c r="Z30" s="67">
        <v>432.9</v>
      </c>
      <c r="AA30" s="25"/>
      <c r="AB30" s="25"/>
      <c r="AC30" s="25"/>
      <c r="AD30" s="25"/>
      <c r="AE30" s="25"/>
      <c r="AF30" s="67">
        <v>254.3</v>
      </c>
      <c r="AG30" s="25"/>
      <c r="AH30" s="88"/>
      <c r="AI30" s="25"/>
      <c r="AJ30" s="25"/>
      <c r="AK30" s="25"/>
      <c r="AL30" s="67">
        <f t="shared" si="13"/>
        <v>0</v>
      </c>
      <c r="AM30" s="67"/>
      <c r="AO30" s="89"/>
      <c r="AP30" s="89"/>
      <c r="AQ30" s="47"/>
      <c r="AR30" s="47"/>
      <c r="AS30" s="47"/>
      <c r="AT30" s="47"/>
      <c r="AU30" s="47"/>
      <c r="AV30" s="47"/>
      <c r="AW30" s="47"/>
      <c r="AX30" s="48" t="str">
        <f>G84</f>
        <v xml:space="preserve"> 09:00 am</v>
      </c>
      <c r="AY30" s="49">
        <v>0.47170000000000001</v>
      </c>
      <c r="AZ30" s="50">
        <v>1.0535653752852686E-3</v>
      </c>
      <c r="BA30" s="50">
        <f t="shared" si="28"/>
        <v>0.59209205020920497</v>
      </c>
      <c r="BB30" s="50">
        <v>0.17049999999999998</v>
      </c>
      <c r="BC30" s="50">
        <v>2.1213203435596246E-3</v>
      </c>
      <c r="BD30" s="50">
        <f t="shared" si="29"/>
        <v>0.87841318907779475</v>
      </c>
      <c r="BE30" s="51">
        <v>1.9063333333333331E-2</v>
      </c>
      <c r="BF30" s="50">
        <v>4.5092497528228768E-5</v>
      </c>
      <c r="BG30" s="50">
        <f t="shared" si="30"/>
        <v>1.0050966608084355</v>
      </c>
      <c r="BH30" s="50">
        <f t="shared" si="0"/>
        <v>0.66126333333333331</v>
      </c>
      <c r="BI30" s="50">
        <f t="shared" si="1"/>
        <v>19.420597333333333</v>
      </c>
      <c r="BJ30" s="50">
        <f t="shared" si="5"/>
        <v>0.11300391171805217</v>
      </c>
      <c r="BK30" s="49">
        <v>6.3303333333333329</v>
      </c>
      <c r="BL30" s="49">
        <v>8.696167738339311E-2</v>
      </c>
      <c r="BM30" s="49"/>
      <c r="BN30" s="52">
        <v>536.19999999999993</v>
      </c>
      <c r="BO30" s="52">
        <v>21.21815260572885</v>
      </c>
      <c r="BP30" s="52"/>
      <c r="BQ30" s="52">
        <v>298.26666666666665</v>
      </c>
      <c r="BR30" s="52">
        <v>14.931287062183664</v>
      </c>
      <c r="BS30" s="52">
        <v>104.53333333333332</v>
      </c>
      <c r="BT30" s="52">
        <v>4.4657959350303233</v>
      </c>
      <c r="CE30" s="1">
        <v>0.9</v>
      </c>
      <c r="CF30" s="1">
        <v>90</v>
      </c>
      <c r="CG30" s="1">
        <f t="shared" si="34"/>
        <v>297.53799879885577</v>
      </c>
      <c r="CH30" s="1">
        <f t="shared" si="35"/>
        <v>451.79131786830322</v>
      </c>
      <c r="CI30" s="1">
        <f t="shared" si="36"/>
        <v>876.15406072794894</v>
      </c>
      <c r="CR30" s="153"/>
      <c r="CS30" s="154"/>
      <c r="CT30" s="155"/>
      <c r="CU30" s="155"/>
      <c r="CV30" s="155"/>
      <c r="CW30" s="155"/>
      <c r="CX30" s="155"/>
      <c r="CY30" s="155"/>
      <c r="CZ30" s="155"/>
      <c r="DA30" s="156"/>
      <c r="DB30" s="157"/>
      <c r="DC30" s="158"/>
      <c r="DD30" s="156"/>
      <c r="DE30" s="159"/>
      <c r="DF30" s="158"/>
      <c r="DG30" s="159"/>
      <c r="DH30" s="160"/>
      <c r="DI30" s="160"/>
      <c r="DJ30" s="22"/>
      <c r="DK30" s="22"/>
      <c r="DL30" s="22"/>
      <c r="DM30" s="22"/>
      <c r="DN30" s="22"/>
      <c r="DO30" s="22"/>
      <c r="DP30" s="22"/>
      <c r="DQ30" s="22"/>
      <c r="DR30" s="22"/>
      <c r="DS30" s="152"/>
      <c r="DT30" s="151"/>
      <c r="DU30" s="123">
        <v>100</v>
      </c>
      <c r="DV30" s="80">
        <v>341.8</v>
      </c>
      <c r="DW30" s="80">
        <v>10.013490899781155</v>
      </c>
      <c r="DX30" s="80">
        <v>333.7</v>
      </c>
      <c r="DY30" s="52">
        <v>18.261434773861559</v>
      </c>
      <c r="DZ30" s="80">
        <v>321.70000000000005</v>
      </c>
      <c r="EA30" s="52">
        <v>5.5154328932550785</v>
      </c>
      <c r="EB30" s="80">
        <v>244.66666666666666</v>
      </c>
      <c r="EC30" s="52">
        <v>13.923122255203154</v>
      </c>
      <c r="ED30" s="80">
        <v>225</v>
      </c>
      <c r="EE30" s="52">
        <v>7.9322128060207779</v>
      </c>
      <c r="EF30" s="80">
        <v>199.53333333333333</v>
      </c>
      <c r="EG30" s="52">
        <v>11.159898446371882</v>
      </c>
      <c r="EH30" s="136"/>
      <c r="EI30" s="137"/>
      <c r="EJ30" s="137"/>
      <c r="EK30" s="138"/>
      <c r="EL30" s="104"/>
      <c r="EM30" s="104"/>
      <c r="EN30" s="104"/>
      <c r="EO30" s="161"/>
    </row>
    <row r="31" spans="1:145" s="1" customFormat="1" ht="18.75" customHeight="1">
      <c r="A31" s="25"/>
      <c r="B31" s="74"/>
      <c r="C31" s="75"/>
      <c r="D31" s="76"/>
      <c r="E31" s="76">
        <v>0</v>
      </c>
      <c r="F31" s="76">
        <v>15</v>
      </c>
      <c r="G31" s="77"/>
      <c r="H31" s="67">
        <v>0.8145</v>
      </c>
      <c r="I31" s="25"/>
      <c r="J31" s="25"/>
      <c r="K31" s="67">
        <v>0.20499999999999999</v>
      </c>
      <c r="L31" s="25"/>
      <c r="M31" s="25"/>
      <c r="N31" s="67">
        <v>2.18E-2</v>
      </c>
      <c r="O31" s="25"/>
      <c r="P31" s="25"/>
      <c r="Q31" s="78">
        <v>8.0210000000000008</v>
      </c>
      <c r="R31" s="25"/>
      <c r="S31" s="25"/>
      <c r="T31" s="67">
        <v>1125.3</v>
      </c>
      <c r="U31" s="25"/>
      <c r="V31" s="25"/>
      <c r="W31" s="25"/>
      <c r="X31" s="25"/>
      <c r="Y31" s="25"/>
      <c r="Z31" s="67">
        <v>487.6</v>
      </c>
      <c r="AA31" s="25"/>
      <c r="AB31" s="25"/>
      <c r="AC31" s="25"/>
      <c r="AD31" s="25"/>
      <c r="AE31" s="25"/>
      <c r="AF31" s="67">
        <v>271.2</v>
      </c>
      <c r="AG31" s="25"/>
      <c r="AH31" s="88"/>
      <c r="AI31" s="25"/>
      <c r="AJ31" s="25"/>
      <c r="AK31" s="25"/>
      <c r="AL31" s="67">
        <f t="shared" si="13"/>
        <v>0</v>
      </c>
      <c r="AM31" s="67"/>
      <c r="AO31" s="89"/>
      <c r="AP31" s="89"/>
      <c r="AQ31" s="47"/>
      <c r="AR31" s="47"/>
      <c r="AS31" s="47"/>
      <c r="AT31" s="47"/>
      <c r="AU31" s="47"/>
      <c r="AV31" s="47"/>
      <c r="AW31" s="47"/>
      <c r="AX31" s="48" t="str">
        <f>G87</f>
        <v xml:space="preserve">  12:00 am</v>
      </c>
      <c r="AY31" s="49">
        <v>0.4868333333333334</v>
      </c>
      <c r="AZ31" s="50">
        <v>3.9247080570831644E-3</v>
      </c>
      <c r="BA31" s="50">
        <f t="shared" si="28"/>
        <v>0.61108786610878663</v>
      </c>
      <c r="BB31" s="50">
        <v>0.17266666666666666</v>
      </c>
      <c r="BC31" s="50">
        <v>2.0816659994661235E-3</v>
      </c>
      <c r="BD31" s="50">
        <f t="shared" si="29"/>
        <v>0.88957582002404245</v>
      </c>
      <c r="BE31" s="51">
        <v>1.9365E-2</v>
      </c>
      <c r="BF31" s="50">
        <v>1.6263455967290667E-4</v>
      </c>
      <c r="BG31" s="50">
        <f t="shared" si="30"/>
        <v>1.021001757469244</v>
      </c>
      <c r="BH31" s="50">
        <f t="shared" si="0"/>
        <v>0.67886500000000005</v>
      </c>
      <c r="BI31" s="50">
        <f t="shared" si="1"/>
        <v>19.910655333333334</v>
      </c>
      <c r="BJ31" s="50">
        <f t="shared" si="5"/>
        <v>0.18811925106414124</v>
      </c>
      <c r="BK31" s="49">
        <v>6.9510000000000005</v>
      </c>
      <c r="BL31" s="49">
        <v>9.335952013587058E-2</v>
      </c>
      <c r="BM31" s="49"/>
      <c r="BN31" s="52">
        <v>623.26666666666665</v>
      </c>
      <c r="BO31" s="52">
        <v>19.32933866776958</v>
      </c>
      <c r="BP31" s="52"/>
      <c r="BQ31" s="52">
        <v>302.03333333333336</v>
      </c>
      <c r="BR31" s="52">
        <v>11.569932295970142</v>
      </c>
      <c r="BS31" s="52">
        <v>145.75</v>
      </c>
      <c r="BT31" s="52">
        <v>13.505739520663074</v>
      </c>
      <c r="CE31" s="1">
        <v>1</v>
      </c>
      <c r="CF31" s="1">
        <v>100</v>
      </c>
      <c r="CG31" s="1">
        <f t="shared" si="34"/>
        <v>243.60350982590288</v>
      </c>
      <c r="CH31" s="1">
        <f t="shared" si="35"/>
        <v>334.69524022264471</v>
      </c>
      <c r="CI31" s="1">
        <f t="shared" si="36"/>
        <v>808.79213541099887</v>
      </c>
      <c r="CR31" s="153"/>
      <c r="CS31" s="154"/>
      <c r="CT31" s="155"/>
      <c r="CU31" s="155"/>
      <c r="CV31" s="155"/>
      <c r="CW31" s="155"/>
      <c r="CX31" s="155"/>
      <c r="CY31" s="155"/>
      <c r="CZ31" s="155"/>
      <c r="DA31" s="156"/>
      <c r="DB31" s="157"/>
      <c r="DC31" s="158"/>
      <c r="DD31" s="156"/>
      <c r="DE31" s="159"/>
      <c r="DF31" s="158"/>
      <c r="DG31" s="159"/>
      <c r="DH31" s="160"/>
      <c r="DI31" s="160"/>
      <c r="DJ31" s="22"/>
      <c r="DK31" s="22"/>
      <c r="DL31" s="22"/>
      <c r="DM31" s="22"/>
      <c r="DN31" s="22"/>
      <c r="DO31" s="22"/>
      <c r="DP31" s="22"/>
      <c r="DQ31" s="22"/>
      <c r="DR31" s="22"/>
      <c r="DS31" s="152"/>
      <c r="DT31" s="151"/>
      <c r="DU31" s="123">
        <v>200</v>
      </c>
      <c r="DV31" s="80">
        <v>383.9666666666667</v>
      </c>
      <c r="DW31" s="80">
        <v>10.616182615862114</v>
      </c>
      <c r="DX31" s="80">
        <v>398.0333333333333</v>
      </c>
      <c r="DY31" s="52">
        <v>21.282935261221212</v>
      </c>
      <c r="DZ31" s="80">
        <v>351.13333333333338</v>
      </c>
      <c r="EA31" s="52">
        <v>11.675758362236397</v>
      </c>
      <c r="EB31" s="80">
        <v>295.0333333333333</v>
      </c>
      <c r="EC31" s="52">
        <v>18.023410702010114</v>
      </c>
      <c r="ED31" s="80">
        <v>315.0333333333333</v>
      </c>
      <c r="EE31" s="52">
        <v>9.2651677444789708</v>
      </c>
      <c r="EF31" s="80">
        <v>294.4666666666667</v>
      </c>
      <c r="EG31" s="52">
        <v>10.734213214452812</v>
      </c>
      <c r="EH31" s="136"/>
      <c r="EI31" s="137"/>
      <c r="EJ31" s="137"/>
      <c r="EK31" s="138"/>
      <c r="EL31" s="104"/>
      <c r="EM31" s="104"/>
      <c r="EN31" s="104"/>
      <c r="EO31" s="3"/>
    </row>
    <row r="32" spans="1:145" s="1" customFormat="1" ht="18.75" customHeight="1">
      <c r="A32" s="25"/>
      <c r="B32" s="74"/>
      <c r="C32" s="75"/>
      <c r="D32" s="76"/>
      <c r="E32" s="76">
        <v>0</v>
      </c>
      <c r="F32" s="76">
        <v>15</v>
      </c>
      <c r="G32" s="77"/>
      <c r="H32" s="67">
        <v>0.83589999999999998</v>
      </c>
      <c r="I32" s="67">
        <f>AVERAGE(H30:H32)</f>
        <v>0.84430000000000005</v>
      </c>
      <c r="J32" s="67">
        <f>STDEV(H30:H32)</f>
        <v>3.4769526887779165E-2</v>
      </c>
      <c r="K32" s="67">
        <v>0.216</v>
      </c>
      <c r="L32" s="67">
        <f>AVERAGE(K30:K32)</f>
        <v>0.21066666666666667</v>
      </c>
      <c r="M32" s="67">
        <f>STDEV(K30:K32)</f>
        <v>5.5075705472861069E-3</v>
      </c>
      <c r="N32" s="67">
        <v>2.0899999999999998E-2</v>
      </c>
      <c r="O32" s="67">
        <f>AVERAGE(N30:N32)</f>
        <v>2.1366666666666669E-2</v>
      </c>
      <c r="P32" s="67">
        <f>STDEV(N30:N32)</f>
        <v>4.5092497528229016E-4</v>
      </c>
      <c r="Q32" s="78">
        <v>7.234</v>
      </c>
      <c r="R32" s="86">
        <f>AVERAGE(Q30:Q32)</f>
        <v>7.6079999999999997</v>
      </c>
      <c r="S32" s="67">
        <f>STDEV(Q30:Q32)</f>
        <v>0.39494683186474649</v>
      </c>
      <c r="T32" s="67">
        <v>1068.9000000000001</v>
      </c>
      <c r="U32" s="67">
        <f>AVERAGE(T30:T32)</f>
        <v>1081.8</v>
      </c>
      <c r="V32" s="67">
        <f>STDEV(T30:T32)</f>
        <v>38.697674348725343</v>
      </c>
      <c r="W32" s="67"/>
      <c r="X32" s="67"/>
      <c r="Y32" s="67"/>
      <c r="Z32" s="67">
        <v>448.6</v>
      </c>
      <c r="AA32" s="67">
        <f>AVERAGE(Z30:Z32)</f>
        <v>456.36666666666662</v>
      </c>
      <c r="AB32" s="67">
        <f>STDEV(Z30:Z32)</f>
        <v>28.164930912987067</v>
      </c>
      <c r="AC32" s="67"/>
      <c r="AD32" s="67"/>
      <c r="AE32" s="67"/>
      <c r="AF32" s="67">
        <v>241.7</v>
      </c>
      <c r="AG32" s="67">
        <f>AVERAGE(AF30:AF32)</f>
        <v>255.73333333333335</v>
      </c>
      <c r="AH32" s="68">
        <f>STDEV(AF30:AF32)</f>
        <v>14.80213948499788</v>
      </c>
      <c r="AI32" s="67"/>
      <c r="AJ32" s="67"/>
      <c r="AK32" s="67"/>
      <c r="AL32" s="67">
        <f t="shared" si="13"/>
        <v>1538.1666666666665</v>
      </c>
      <c r="AM32" s="67">
        <f t="shared" si="20"/>
        <v>0.42185863067726626</v>
      </c>
      <c r="AO32" s="89"/>
      <c r="AP32" s="89"/>
      <c r="AQ32" s="47"/>
      <c r="AR32" s="47"/>
      <c r="AS32" s="47"/>
      <c r="AT32" s="47"/>
      <c r="AU32" s="47"/>
      <c r="AV32" s="47"/>
      <c r="AW32" s="47"/>
      <c r="AX32" s="48" t="str">
        <f>G90</f>
        <v xml:space="preserve"> 15:00pm</v>
      </c>
      <c r="AY32" s="49">
        <v>0.51956666666666662</v>
      </c>
      <c r="AZ32" s="50">
        <v>1.6128339447485963E-2</v>
      </c>
      <c r="BA32" s="50">
        <f t="shared" si="28"/>
        <v>0.65217573221757308</v>
      </c>
      <c r="BB32" s="50">
        <v>0.17566666666666664</v>
      </c>
      <c r="BC32" s="50">
        <v>2.0816659994661348E-3</v>
      </c>
      <c r="BD32" s="50">
        <f t="shared" si="29"/>
        <v>0.90503177056500062</v>
      </c>
      <c r="BE32" s="51">
        <v>2.0066666666666667E-2</v>
      </c>
      <c r="BF32" s="50">
        <v>2.5166114784235682E-4</v>
      </c>
      <c r="BG32" s="50">
        <f t="shared" si="30"/>
        <v>1.0579964850615113</v>
      </c>
      <c r="BH32" s="50">
        <f t="shared" si="0"/>
        <v>0.71529999999999994</v>
      </c>
      <c r="BI32" s="50">
        <f t="shared" si="1"/>
        <v>20.903326666666661</v>
      </c>
      <c r="BJ32" s="50">
        <f t="shared" si="5"/>
        <v>0.51298512049573064</v>
      </c>
      <c r="BK32" s="49">
        <v>7.0214999999999996</v>
      </c>
      <c r="BL32" s="49">
        <v>3.3234018715767526E-2</v>
      </c>
      <c r="BM32" s="49"/>
      <c r="BN32" s="52">
        <v>487.5333333333333</v>
      </c>
      <c r="BO32" s="52">
        <v>21.180730236073853</v>
      </c>
      <c r="BP32" s="52"/>
      <c r="BQ32" s="52">
        <v>301.5</v>
      </c>
      <c r="BR32" s="52">
        <v>4.5254833995938881</v>
      </c>
      <c r="BS32" s="52">
        <v>198.56666666666669</v>
      </c>
      <c r="BT32" s="52">
        <v>8.9007490321508023</v>
      </c>
      <c r="CE32" s="1">
        <v>1.1000000000000001</v>
      </c>
      <c r="CF32" s="1">
        <v>110</v>
      </c>
      <c r="CG32" s="1">
        <f t="shared" si="34"/>
        <v>199.44568505220096</v>
      </c>
      <c r="CH32" s="1">
        <f t="shared" si="35"/>
        <v>247.94833233237983</v>
      </c>
      <c r="CI32" s="1">
        <f t="shared" si="36"/>
        <v>746.60924102684635</v>
      </c>
      <c r="CR32" s="22"/>
      <c r="CS32" s="22"/>
      <c r="CT32" s="93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152"/>
      <c r="DT32" s="151"/>
      <c r="DU32" s="123">
        <v>300</v>
      </c>
      <c r="DV32" s="80">
        <v>301.25</v>
      </c>
      <c r="DW32" s="80">
        <v>12.657211383239185</v>
      </c>
      <c r="DX32" s="80">
        <v>286.25</v>
      </c>
      <c r="DY32" s="52">
        <v>29.344931419241721</v>
      </c>
      <c r="DZ32" s="80">
        <v>303.36666666666667</v>
      </c>
      <c r="EA32" s="52">
        <v>10.581272765283634</v>
      </c>
      <c r="EB32" s="80">
        <v>261.20000000000005</v>
      </c>
      <c r="EC32" s="52">
        <v>12.586500705120553</v>
      </c>
      <c r="ED32" s="80">
        <v>185.7</v>
      </c>
      <c r="EE32" s="52">
        <v>9.3338095116624391</v>
      </c>
      <c r="EF32" s="80">
        <v>144.13333333333333</v>
      </c>
      <c r="EG32" s="52">
        <v>11.096095409347082</v>
      </c>
      <c r="EH32" s="136"/>
      <c r="EI32" s="137"/>
      <c r="EJ32" s="137"/>
      <c r="EK32" s="138"/>
      <c r="EL32" s="104"/>
      <c r="EM32" s="104"/>
      <c r="EN32" s="104"/>
      <c r="EO32" s="163"/>
    </row>
    <row r="33" spans="1:145" s="1" customFormat="1" ht="18.75" customHeight="1">
      <c r="A33" s="25"/>
      <c r="B33" s="74"/>
      <c r="C33" s="75"/>
      <c r="D33" s="76"/>
      <c r="E33" s="76">
        <v>0</v>
      </c>
      <c r="F33" s="76">
        <v>18</v>
      </c>
      <c r="G33" s="77" t="s">
        <v>13</v>
      </c>
      <c r="H33" s="67">
        <v>0.92120000000000002</v>
      </c>
      <c r="I33" s="25"/>
      <c r="J33" s="25"/>
      <c r="K33" s="67">
        <v>0.20300000000000001</v>
      </c>
      <c r="L33" s="25"/>
      <c r="M33" s="25"/>
      <c r="N33" s="67">
        <v>1.9699999999999999E-2</v>
      </c>
      <c r="O33" s="25"/>
      <c r="P33" s="25"/>
      <c r="Q33" s="78">
        <v>7.742</v>
      </c>
      <c r="R33" s="25"/>
      <c r="S33" s="25"/>
      <c r="T33" s="67">
        <v>1186.7</v>
      </c>
      <c r="U33" s="25"/>
      <c r="V33" s="25"/>
      <c r="W33" s="25"/>
      <c r="X33" s="25"/>
      <c r="Y33" s="25"/>
      <c r="Z33" s="67">
        <v>615.4</v>
      </c>
      <c r="AA33" s="25"/>
      <c r="AB33" s="25"/>
      <c r="AC33" s="25"/>
      <c r="AD33" s="25"/>
      <c r="AE33" s="25"/>
      <c r="AF33" s="67">
        <v>333.2</v>
      </c>
      <c r="AG33" s="25"/>
      <c r="AH33" s="88"/>
      <c r="AI33" s="25"/>
      <c r="AJ33" s="25"/>
      <c r="AK33" s="25"/>
      <c r="AL33" s="67">
        <f t="shared" si="13"/>
        <v>0</v>
      </c>
      <c r="AM33" s="67"/>
      <c r="AO33" s="89"/>
      <c r="AP33" s="89"/>
      <c r="AQ33" s="47"/>
      <c r="AR33" s="47"/>
      <c r="AS33" s="47"/>
      <c r="AT33" s="47"/>
      <c r="AU33" s="47"/>
      <c r="AV33" s="47"/>
      <c r="AW33" s="47"/>
      <c r="AX33" s="48" t="str">
        <f>G93</f>
        <v xml:space="preserve"> 18:00pm</v>
      </c>
      <c r="AY33" s="49">
        <v>0.53580000000000005</v>
      </c>
      <c r="AZ33" s="50">
        <v>6.2225396744416397E-3</v>
      </c>
      <c r="BA33" s="50">
        <f t="shared" si="28"/>
        <v>0.67255230125523013</v>
      </c>
      <c r="BB33" s="50">
        <v>0.17066666666666666</v>
      </c>
      <c r="BC33" s="50">
        <v>2.5166114784235727E-3</v>
      </c>
      <c r="BD33" s="50">
        <f t="shared" si="29"/>
        <v>0.87927185299673694</v>
      </c>
      <c r="BE33" s="51">
        <v>1.891E-2</v>
      </c>
      <c r="BF33" s="50">
        <v>3.0413812651491055E-4</v>
      </c>
      <c r="BG33" s="50">
        <f t="shared" si="30"/>
        <v>0.99701230228470983</v>
      </c>
      <c r="BH33" s="50">
        <f t="shared" si="0"/>
        <v>0.72537666666666667</v>
      </c>
      <c r="BI33" s="50">
        <f t="shared" si="1"/>
        <v>21.131894666666668</v>
      </c>
      <c r="BJ33" s="50">
        <f t="shared" si="5"/>
        <v>0.26703560123133224</v>
      </c>
      <c r="BK33" s="49">
        <v>6.5493333333333332</v>
      </c>
      <c r="BL33" s="49">
        <v>0.26723834555193093</v>
      </c>
      <c r="BM33" s="49"/>
      <c r="BN33" s="52">
        <v>446.16666666666669</v>
      </c>
      <c r="BO33" s="52">
        <v>7.0606892959068306</v>
      </c>
      <c r="BP33" s="52"/>
      <c r="BQ33" s="52">
        <v>214.03333333333333</v>
      </c>
      <c r="BR33" s="52">
        <v>11.860157390748792</v>
      </c>
      <c r="BS33" s="52">
        <v>169.20000000000002</v>
      </c>
      <c r="BT33" s="52">
        <v>11.2769676775275</v>
      </c>
      <c r="CE33" s="1">
        <v>1.2</v>
      </c>
      <c r="CF33" s="1">
        <v>120</v>
      </c>
      <c r="CG33" s="1">
        <f t="shared" si="34"/>
        <v>163.29231592094251</v>
      </c>
      <c r="CH33" s="1">
        <f t="shared" si="35"/>
        <v>183.68464237947285</v>
      </c>
      <c r="CI33" s="1">
        <f t="shared" si="36"/>
        <v>689.20719475520173</v>
      </c>
      <c r="CR33" s="22"/>
      <c r="CS33" s="22"/>
      <c r="CT33" s="93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162" t="s">
        <v>231</v>
      </c>
      <c r="DT33" s="162"/>
      <c r="DU33" s="150"/>
      <c r="DV33" s="150"/>
      <c r="DW33" s="140"/>
      <c r="DX33" s="150"/>
      <c r="DY33" s="140"/>
      <c r="DZ33" s="150"/>
      <c r="EA33" s="140"/>
      <c r="EB33" s="150"/>
      <c r="EC33" s="140"/>
      <c r="ED33" s="150"/>
      <c r="EE33" s="140"/>
      <c r="EF33" s="150"/>
      <c r="EG33" s="140"/>
      <c r="EH33" s="136"/>
      <c r="EI33" s="137"/>
      <c r="EJ33" s="137"/>
      <c r="EK33" s="138"/>
      <c r="EL33" s="3"/>
      <c r="EM33" s="3"/>
      <c r="EN33" s="3"/>
      <c r="EO33" s="163"/>
    </row>
    <row r="34" spans="1:145" s="1" customFormat="1" ht="16">
      <c r="A34" s="25"/>
      <c r="B34" s="74"/>
      <c r="C34" s="75"/>
      <c r="D34" s="76"/>
      <c r="E34" s="76">
        <v>0</v>
      </c>
      <c r="F34" s="76">
        <v>18</v>
      </c>
      <c r="G34" s="77"/>
      <c r="H34" s="67">
        <v>0.89739999999999998</v>
      </c>
      <c r="I34" s="25"/>
      <c r="J34" s="25"/>
      <c r="K34" s="67">
        <v>0.20799999999999999</v>
      </c>
      <c r="L34" s="25"/>
      <c r="M34" s="25"/>
      <c r="N34" s="67">
        <v>2.0299999999999999E-2</v>
      </c>
      <c r="O34" s="25"/>
      <c r="P34" s="25"/>
      <c r="Q34" s="78">
        <v>7.5019999999999998</v>
      </c>
      <c r="R34" s="78">
        <v>4.0209999999999999</v>
      </c>
      <c r="S34" s="25"/>
      <c r="T34" s="67">
        <v>1136.9000000000001</v>
      </c>
      <c r="U34" s="25"/>
      <c r="V34" s="25"/>
      <c r="W34" s="25"/>
      <c r="X34" s="25"/>
      <c r="Y34" s="25"/>
      <c r="Z34" s="67">
        <v>587.5</v>
      </c>
      <c r="AA34" s="25"/>
      <c r="AB34" s="25"/>
      <c r="AC34" s="25"/>
      <c r="AD34" s="25"/>
      <c r="AE34" s="25"/>
      <c r="AF34" s="67">
        <v>317.5</v>
      </c>
      <c r="AG34" s="25"/>
      <c r="AH34" s="88"/>
      <c r="AI34" s="25"/>
      <c r="AJ34" s="25"/>
      <c r="AK34" s="25"/>
      <c r="AL34" s="67">
        <f t="shared" si="13"/>
        <v>0</v>
      </c>
      <c r="AM34" s="67"/>
      <c r="AR34" s="1">
        <v>0</v>
      </c>
      <c r="AS34" s="1">
        <v>0.1</v>
      </c>
      <c r="AT34" s="1">
        <v>0.2</v>
      </c>
      <c r="AU34" s="1">
        <v>0.3</v>
      </c>
      <c r="AV34" s="1">
        <v>0.4</v>
      </c>
      <c r="AW34" s="1">
        <v>1.2</v>
      </c>
      <c r="BL34" s="164"/>
      <c r="BM34" s="164"/>
      <c r="BN34" s="164"/>
      <c r="BO34" s="164"/>
      <c r="BP34" s="164"/>
      <c r="BQ34" s="164"/>
      <c r="BR34" s="164"/>
      <c r="CE34" s="1">
        <v>1.3</v>
      </c>
      <c r="CF34" s="1">
        <v>130</v>
      </c>
      <c r="CG34" s="1">
        <f t="shared" si="34"/>
        <v>133.69244078580098</v>
      </c>
      <c r="CH34" s="1">
        <f t="shared" si="35"/>
        <v>136.07692993411877</v>
      </c>
      <c r="CI34" s="1">
        <f t="shared" si="36"/>
        <v>636.21842752580426</v>
      </c>
      <c r="CR34" s="53" t="s">
        <v>78</v>
      </c>
      <c r="CS34" s="53" t="s">
        <v>88</v>
      </c>
      <c r="CT34" s="54" t="s">
        <v>204</v>
      </c>
      <c r="CU34" s="54"/>
      <c r="CV34" s="54"/>
      <c r="CW34" s="54" t="s">
        <v>218</v>
      </c>
      <c r="CX34" s="54"/>
      <c r="CY34" s="54"/>
      <c r="CZ34" s="54" t="s">
        <v>219</v>
      </c>
      <c r="DA34" s="54"/>
      <c r="DB34" s="54"/>
      <c r="DC34" s="54" t="s">
        <v>220</v>
      </c>
      <c r="DD34" s="54"/>
      <c r="DE34" s="54"/>
      <c r="DF34" s="54" t="s">
        <v>221</v>
      </c>
      <c r="DG34" s="54"/>
      <c r="DH34" s="54"/>
      <c r="DI34" s="54" t="s">
        <v>222</v>
      </c>
      <c r="DJ34" s="54"/>
      <c r="DK34" s="54"/>
      <c r="DL34" s="54" t="s">
        <v>223</v>
      </c>
      <c r="DM34" s="54"/>
      <c r="DN34" s="54"/>
      <c r="DO34" s="54" t="s">
        <v>224</v>
      </c>
      <c r="DP34" s="54"/>
      <c r="DQ34" s="54"/>
      <c r="DR34" s="22"/>
      <c r="DS34" s="89" t="s">
        <v>120</v>
      </c>
      <c r="DT34" s="151"/>
      <c r="DU34" s="123">
        <v>50</v>
      </c>
      <c r="DV34" s="80">
        <f>35.0145833333333-5</f>
        <v>30.014583333333299</v>
      </c>
      <c r="DW34" s="81">
        <v>0.48437836020339503</v>
      </c>
      <c r="DX34" s="80">
        <f>37.96875-5</f>
        <v>32.96875</v>
      </c>
      <c r="DY34" s="49">
        <v>0.39774756441743803</v>
      </c>
      <c r="DZ34" s="80">
        <f>30.5208333333333-5</f>
        <v>25.5208333333333</v>
      </c>
      <c r="EA34" s="49">
        <v>0.96891799618612373</v>
      </c>
      <c r="EB34" s="80">
        <f>31.1458333333333-5</f>
        <v>26.1458333333333</v>
      </c>
      <c r="EC34" s="49">
        <v>0.93819418743314009</v>
      </c>
      <c r="ED34" s="80">
        <f>32.0375-5</f>
        <v>27.037500000000001</v>
      </c>
      <c r="EE34" s="49">
        <v>0.80721841065476285</v>
      </c>
      <c r="EF34" s="80">
        <f>32.99375-5</f>
        <v>27.993749999999999</v>
      </c>
      <c r="EG34" s="49">
        <v>1.5226031369007476</v>
      </c>
      <c r="EH34" s="136"/>
      <c r="EI34" s="137"/>
      <c r="EJ34" s="137"/>
      <c r="EK34" s="138"/>
      <c r="EL34" s="161"/>
      <c r="EM34" s="161"/>
      <c r="EN34" s="161"/>
      <c r="EO34" s="163"/>
    </row>
    <row r="35" spans="1:145" s="1" customFormat="1" ht="16">
      <c r="A35" s="25"/>
      <c r="B35" s="74"/>
      <c r="C35" s="75"/>
      <c r="D35" s="76"/>
      <c r="E35" s="76">
        <v>0</v>
      </c>
      <c r="F35" s="76">
        <v>18</v>
      </c>
      <c r="G35" s="77"/>
      <c r="H35" s="67">
        <v>0.90259999999999996</v>
      </c>
      <c r="I35" s="67">
        <f>AVERAGE(H33:H35)</f>
        <v>0.90706666666666669</v>
      </c>
      <c r="J35" s="67">
        <f>STDEV(H33:H35)</f>
        <v>1.251292664940277E-2</v>
      </c>
      <c r="K35" s="67">
        <v>0.186</v>
      </c>
      <c r="L35" s="67">
        <f>AVERAGE(K33:K34)</f>
        <v>0.20550000000000002</v>
      </c>
      <c r="M35" s="67">
        <f>STDEV(K33:K34)</f>
        <v>3.5355339059327212E-3</v>
      </c>
      <c r="N35" s="67">
        <v>2.01E-2</v>
      </c>
      <c r="O35" s="67">
        <f>AVERAGE(N33:N35)</f>
        <v>2.003333333333333E-2</v>
      </c>
      <c r="P35" s="67">
        <f>STDEV(N33:N35)</f>
        <v>3.0550504633038936E-4</v>
      </c>
      <c r="Q35" s="3">
        <v>8.02</v>
      </c>
      <c r="R35" s="86">
        <f>AVERAGE(Q33:Q34)</f>
        <v>7.6219999999999999</v>
      </c>
      <c r="S35" s="67">
        <f>STDEV(Q33:Q34)</f>
        <v>0.16970562748477155</v>
      </c>
      <c r="T35" s="67">
        <v>1161.0999999999999</v>
      </c>
      <c r="U35" s="67">
        <f>AVERAGE(T33:T35)</f>
        <v>1161.5666666666668</v>
      </c>
      <c r="V35" s="67">
        <f>STDEV(T33:T35)</f>
        <v>24.903279569834421</v>
      </c>
      <c r="W35" s="67"/>
      <c r="X35" s="67"/>
      <c r="Y35" s="67"/>
      <c r="Z35" s="67">
        <v>603.79999999999995</v>
      </c>
      <c r="AA35" s="67">
        <f>AVERAGE(Z33:Z35)</f>
        <v>602.23333333333335</v>
      </c>
      <c r="AB35" s="67">
        <f>STDEV(Z33:Z35)</f>
        <v>14.015824390071851</v>
      </c>
      <c r="AC35" s="67"/>
      <c r="AD35" s="67"/>
      <c r="AE35" s="67"/>
      <c r="AF35" s="67">
        <v>324.89999999999998</v>
      </c>
      <c r="AG35" s="67">
        <f>AVERAGE(AF33:AF35)</f>
        <v>325.2</v>
      </c>
      <c r="AH35" s="68">
        <f>STDEV(AF33:AF35)</f>
        <v>7.8542981863435708</v>
      </c>
      <c r="AI35" s="67"/>
      <c r="AJ35" s="67"/>
      <c r="AK35" s="67"/>
      <c r="AL35" s="67">
        <f t="shared" si="13"/>
        <v>1763.8000000000002</v>
      </c>
      <c r="AM35" s="67">
        <f t="shared" si="20"/>
        <v>0.51846643900479228</v>
      </c>
      <c r="AR35" s="1">
        <v>0</v>
      </c>
      <c r="AS35" s="1">
        <v>10</v>
      </c>
      <c r="AT35" s="1">
        <v>20</v>
      </c>
      <c r="AU35" s="1">
        <v>30</v>
      </c>
      <c r="AV35" s="1">
        <v>40</v>
      </c>
      <c r="AW35" s="1">
        <v>140</v>
      </c>
      <c r="BK35" s="1">
        <f>CORREL(BK4:BK8,BK14:BK18)</f>
        <v>0.94996951333753343</v>
      </c>
      <c r="BL35" s="1">
        <f>CORREL(BK9:BK13,BK19:BK23)</f>
        <v>0.68329172631769453</v>
      </c>
      <c r="BN35" s="1">
        <f>CORREL(BK4:BK8,BN4:BN8)</f>
        <v>0.88777262580544691</v>
      </c>
      <c r="CE35" s="1">
        <v>1.4000000000000001</v>
      </c>
      <c r="CF35" s="1">
        <v>140</v>
      </c>
      <c r="CG35" s="1">
        <f t="shared" si="34"/>
        <v>109.45811272539231</v>
      </c>
      <c r="CH35" s="1">
        <f t="shared" si="35"/>
        <v>100.80826910962467</v>
      </c>
      <c r="CI35" s="1">
        <f t="shared" si="36"/>
        <v>587.30363032147102</v>
      </c>
      <c r="CR35" s="53"/>
      <c r="CS35" s="53"/>
      <c r="CT35" s="54" t="s">
        <v>89</v>
      </c>
      <c r="CU35" s="54"/>
      <c r="CV35" s="54"/>
      <c r="CW35" s="54" t="s">
        <v>89</v>
      </c>
      <c r="CX35" s="54"/>
      <c r="CY35" s="54"/>
      <c r="CZ35" s="54" t="s">
        <v>89</v>
      </c>
      <c r="DA35" s="54"/>
      <c r="DB35" s="54"/>
      <c r="DC35" s="54" t="s">
        <v>89</v>
      </c>
      <c r="DD35" s="54"/>
      <c r="DE35" s="54"/>
      <c r="DF35" s="54" t="s">
        <v>89</v>
      </c>
      <c r="DG35" s="54"/>
      <c r="DH35" s="54"/>
      <c r="DI35" s="54" t="s">
        <v>89</v>
      </c>
      <c r="DJ35" s="54"/>
      <c r="DK35" s="54"/>
      <c r="DL35" s="54" t="s">
        <v>89</v>
      </c>
      <c r="DM35" s="54"/>
      <c r="DN35" s="54"/>
      <c r="DO35" s="54" t="s">
        <v>89</v>
      </c>
      <c r="DP35" s="54"/>
      <c r="DQ35" s="54"/>
      <c r="DR35" s="22"/>
      <c r="DS35" s="152"/>
      <c r="DT35" s="151"/>
      <c r="DU35" s="123">
        <v>100</v>
      </c>
      <c r="DV35" s="80">
        <v>28.175000000000001</v>
      </c>
      <c r="DW35" s="81">
        <v>1.7854446224960316</v>
      </c>
      <c r="DX35" s="80">
        <v>27.587500000000002</v>
      </c>
      <c r="DY35" s="49">
        <v>1.1781374336213917</v>
      </c>
      <c r="DZ35" s="80">
        <v>25.243749999999999</v>
      </c>
      <c r="EA35" s="49">
        <v>0.46845824253608875</v>
      </c>
      <c r="EB35" s="80">
        <v>22.647916666666664</v>
      </c>
      <c r="EC35" s="49">
        <v>1.2563640080937268</v>
      </c>
      <c r="ED35" s="80">
        <v>25.483333333333331</v>
      </c>
      <c r="EE35" s="49">
        <v>3.6610296394366411</v>
      </c>
      <c r="EF35" s="80">
        <v>27.239583333333332</v>
      </c>
      <c r="EG35" s="49">
        <v>3.0189268409210124</v>
      </c>
      <c r="EH35" s="136"/>
      <c r="EI35" s="137"/>
      <c r="EJ35" s="137"/>
      <c r="EK35" s="138"/>
      <c r="EL35" s="161"/>
      <c r="EM35" s="161"/>
      <c r="EN35" s="161"/>
      <c r="EO35" s="163"/>
    </row>
    <row r="36" spans="1:145" s="1" customFormat="1" ht="16">
      <c r="A36" s="25"/>
      <c r="B36" s="74" t="s">
        <v>171</v>
      </c>
      <c r="C36" s="75" t="s">
        <v>42</v>
      </c>
      <c r="D36" s="76">
        <v>670</v>
      </c>
      <c r="E36" s="76">
        <v>35</v>
      </c>
      <c r="F36" s="76"/>
      <c r="G36" s="77" t="s">
        <v>14</v>
      </c>
      <c r="H36" s="67">
        <v>0.86199999999999999</v>
      </c>
      <c r="I36" s="25"/>
      <c r="J36" s="25"/>
      <c r="K36" s="67">
        <v>0.19800000000000001</v>
      </c>
      <c r="L36" s="25"/>
      <c r="M36" s="25"/>
      <c r="N36" s="114">
        <v>2.0299999999999999E-2</v>
      </c>
      <c r="O36" s="25"/>
      <c r="P36" s="25"/>
      <c r="Q36" s="78">
        <v>8.125</v>
      </c>
      <c r="R36" s="25"/>
      <c r="S36" s="25"/>
      <c r="T36" s="67">
        <v>915.2</v>
      </c>
      <c r="U36" s="25"/>
      <c r="V36" s="25"/>
      <c r="W36" s="25"/>
      <c r="X36" s="25"/>
      <c r="Y36" s="25"/>
      <c r="Z36" s="67">
        <v>425.9</v>
      </c>
      <c r="AA36" s="25"/>
      <c r="AB36" s="25"/>
      <c r="AC36" s="25"/>
      <c r="AD36" s="25"/>
      <c r="AE36" s="25"/>
      <c r="AF36" s="67">
        <v>280.3</v>
      </c>
      <c r="AG36" s="25"/>
      <c r="AH36" s="88"/>
      <c r="AI36" s="25"/>
      <c r="AJ36" s="25"/>
      <c r="AK36" s="25"/>
      <c r="AL36" s="67">
        <f t="shared" si="13"/>
        <v>0</v>
      </c>
      <c r="AM36" s="67"/>
      <c r="AR36" s="1" t="s">
        <v>29</v>
      </c>
      <c r="BK36" s="1">
        <f>ABS(BK35)*SQRT(3)/SQRT(1-BK35^2)</f>
        <v>5.2679181793834271</v>
      </c>
      <c r="BL36" s="1">
        <f>ABS(BL35)*SQRT(3)/SQRT(1-BL35^2)</f>
        <v>1.6209043602739626</v>
      </c>
      <c r="CE36" s="1">
        <v>1.5</v>
      </c>
      <c r="CF36" s="1">
        <v>150</v>
      </c>
      <c r="CG36" s="1">
        <f t="shared" si="34"/>
        <v>89.616723062155103</v>
      </c>
      <c r="CH36" s="1">
        <f t="shared" si="35"/>
        <v>74.680602551795914</v>
      </c>
      <c r="CI36" s="1">
        <f t="shared" si="36"/>
        <v>542.14958144196362</v>
      </c>
      <c r="CR36" s="53"/>
      <c r="CS36" s="53"/>
      <c r="CT36" s="3" t="s">
        <v>90</v>
      </c>
      <c r="CU36" s="3" t="s">
        <v>91</v>
      </c>
      <c r="CV36" s="3" t="s">
        <v>2</v>
      </c>
      <c r="CW36" s="3" t="s">
        <v>90</v>
      </c>
      <c r="CX36" s="3" t="s">
        <v>91</v>
      </c>
      <c r="CY36" s="3" t="s">
        <v>2</v>
      </c>
      <c r="CZ36" s="3" t="s">
        <v>90</v>
      </c>
      <c r="DA36" s="3" t="s">
        <v>91</v>
      </c>
      <c r="DB36" s="3" t="s">
        <v>2</v>
      </c>
      <c r="DC36" s="3" t="s">
        <v>90</v>
      </c>
      <c r="DD36" s="3" t="s">
        <v>91</v>
      </c>
      <c r="DE36" s="3" t="s">
        <v>2</v>
      </c>
      <c r="DF36" s="3" t="s">
        <v>90</v>
      </c>
      <c r="DG36" s="3" t="s">
        <v>91</v>
      </c>
      <c r="DH36" s="3" t="s">
        <v>2</v>
      </c>
      <c r="DI36" s="3" t="s">
        <v>90</v>
      </c>
      <c r="DJ36" s="3" t="s">
        <v>91</v>
      </c>
      <c r="DK36" s="3" t="s">
        <v>2</v>
      </c>
      <c r="DL36" s="3" t="s">
        <v>90</v>
      </c>
      <c r="DM36" s="3" t="s">
        <v>91</v>
      </c>
      <c r="DN36" s="3" t="s">
        <v>2</v>
      </c>
      <c r="DO36" s="3" t="s">
        <v>90</v>
      </c>
      <c r="DP36" s="3" t="s">
        <v>91</v>
      </c>
      <c r="DQ36" s="3" t="s">
        <v>2</v>
      </c>
      <c r="DR36" s="22"/>
      <c r="DS36" s="152"/>
      <c r="DT36" s="151"/>
      <c r="DU36" s="123">
        <v>200</v>
      </c>
      <c r="DV36" s="80">
        <v>32.122916666666661</v>
      </c>
      <c r="DW36" s="81">
        <v>3.2560900472550398</v>
      </c>
      <c r="DX36" s="80">
        <v>29.199999999999996</v>
      </c>
      <c r="DY36" s="49">
        <v>8.8388347648320958E-2</v>
      </c>
      <c r="DZ36" s="80">
        <v>20.731249999999999</v>
      </c>
      <c r="EA36" s="49">
        <v>1.7844488820081108</v>
      </c>
      <c r="EB36" s="80">
        <v>20.0625</v>
      </c>
      <c r="EC36" s="49">
        <v>1.7677669529663689</v>
      </c>
      <c r="ED36" s="80">
        <v>21.137499999999996</v>
      </c>
      <c r="EE36" s="49">
        <v>1.0253048327204934</v>
      </c>
      <c r="EF36" s="80">
        <v>24.277083333333334</v>
      </c>
      <c r="EG36" s="49">
        <v>1.1982463314499805</v>
      </c>
      <c r="EH36" s="136"/>
      <c r="EI36" s="137"/>
      <c r="EJ36" s="137"/>
      <c r="EK36" s="138"/>
      <c r="EL36" s="161"/>
      <c r="EM36" s="161"/>
      <c r="EN36" s="161"/>
    </row>
    <row r="37" spans="1:145" s="1" customFormat="1" ht="16">
      <c r="A37" s="25"/>
      <c r="B37" s="74"/>
      <c r="C37" s="75"/>
      <c r="D37" s="76"/>
      <c r="E37" s="76">
        <v>35</v>
      </c>
      <c r="F37" s="76"/>
      <c r="G37" s="77"/>
      <c r="H37" s="67">
        <v>0.89200000000000002</v>
      </c>
      <c r="I37" s="25"/>
      <c r="J37" s="25"/>
      <c r="K37" s="67">
        <v>0.20599999999999999</v>
      </c>
      <c r="L37" s="25"/>
      <c r="M37" s="25"/>
      <c r="N37" s="114">
        <v>1.9199999999999998E-2</v>
      </c>
      <c r="O37" s="25"/>
      <c r="P37" s="25"/>
      <c r="Q37" s="78">
        <v>8.3019999999999996</v>
      </c>
      <c r="R37" s="25"/>
      <c r="S37" s="25"/>
      <c r="T37" s="67">
        <v>889.3</v>
      </c>
      <c r="U37" s="25"/>
      <c r="V37" s="25"/>
      <c r="W37" s="25"/>
      <c r="X37" s="25"/>
      <c r="Y37" s="25"/>
      <c r="Z37" s="67">
        <v>378.5</v>
      </c>
      <c r="AA37" s="25"/>
      <c r="AB37" s="25"/>
      <c r="AC37" s="25"/>
      <c r="AD37" s="25"/>
      <c r="AE37" s="25"/>
      <c r="AF37" s="67">
        <v>348.2</v>
      </c>
      <c r="AG37" s="25"/>
      <c r="AH37" s="88"/>
      <c r="AI37" s="25"/>
      <c r="AJ37" s="25"/>
      <c r="AK37" s="25"/>
      <c r="AL37" s="67">
        <f t="shared" si="13"/>
        <v>0</v>
      </c>
      <c r="AM37" s="67"/>
      <c r="AO37" s="1" t="s">
        <v>181</v>
      </c>
      <c r="AR37" s="1">
        <v>1.22</v>
      </c>
      <c r="BK37" s="1">
        <f>TDIST(BK36,3,2)</f>
        <v>1.3332133359629517E-2</v>
      </c>
      <c r="BL37" s="1">
        <f>TDIST(BL36,3,2)</f>
        <v>0.20348434944246097</v>
      </c>
      <c r="CE37" s="1">
        <v>1.6</v>
      </c>
      <c r="CF37" s="1">
        <v>160</v>
      </c>
      <c r="CG37" s="1">
        <f t="shared" si="34"/>
        <v>73.371967161059175</v>
      </c>
      <c r="CH37" s="1">
        <f t="shared" si="35"/>
        <v>55.324751101860024</v>
      </c>
      <c r="CI37" s="1">
        <f t="shared" si="36"/>
        <v>500.46714081574936</v>
      </c>
      <c r="CR37" s="53"/>
      <c r="CS37" s="24" t="s">
        <v>92</v>
      </c>
      <c r="CT37" s="22">
        <v>1002.3</v>
      </c>
      <c r="CU37" s="22"/>
      <c r="CV37" s="22"/>
      <c r="CW37" s="22">
        <v>399.7</v>
      </c>
      <c r="CX37" s="22"/>
      <c r="CY37" s="22"/>
      <c r="CZ37" s="22">
        <v>205.5</v>
      </c>
      <c r="DA37" s="22"/>
      <c r="DB37" s="22"/>
      <c r="DC37" s="22">
        <v>18.84</v>
      </c>
      <c r="DD37" s="22"/>
      <c r="DE37" s="22"/>
      <c r="DF37" s="22">
        <v>0.28000000000000003</v>
      </c>
      <c r="DG37" s="22"/>
      <c r="DH37" s="22"/>
      <c r="DI37" s="22">
        <v>0.24099999999999999</v>
      </c>
      <c r="DJ37" s="22"/>
      <c r="DK37" s="22"/>
      <c r="DL37" s="22">
        <v>1.427</v>
      </c>
      <c r="DM37" s="22"/>
      <c r="DN37" s="22"/>
      <c r="DO37" s="22">
        <v>3.2000000000000001E-2</v>
      </c>
      <c r="DP37" s="22"/>
      <c r="DQ37" s="22"/>
      <c r="DR37" s="22"/>
      <c r="DS37" s="165"/>
      <c r="DT37" s="166"/>
      <c r="DU37" s="123">
        <v>300</v>
      </c>
      <c r="DV37" s="80">
        <v>38.304166666666667</v>
      </c>
      <c r="DW37" s="81">
        <v>0.69398456995334934</v>
      </c>
      <c r="DX37" s="80">
        <v>39.868749999999999</v>
      </c>
      <c r="DY37" s="49">
        <v>2.067786784825743</v>
      </c>
      <c r="DZ37" s="80">
        <v>42.883333333333326</v>
      </c>
      <c r="EA37" s="49">
        <v>1.1076674064597776</v>
      </c>
      <c r="EB37" s="80">
        <v>45.834374999999994</v>
      </c>
      <c r="EC37" s="49">
        <v>1.0827572586919059</v>
      </c>
      <c r="ED37" s="80">
        <v>27.391666666666662</v>
      </c>
      <c r="EE37" s="49">
        <v>2.4474343496472657</v>
      </c>
      <c r="EF37" s="80">
        <v>13.875</v>
      </c>
      <c r="EG37" s="49">
        <v>2.2977315579718991</v>
      </c>
      <c r="EH37" s="136"/>
      <c r="EI37" s="137"/>
      <c r="EJ37" s="137"/>
      <c r="EK37" s="138"/>
      <c r="EL37" s="161"/>
      <c r="EM37" s="161"/>
      <c r="EN37" s="161"/>
      <c r="EO37" s="163"/>
    </row>
    <row r="38" spans="1:145" s="1" customFormat="1" ht="19">
      <c r="A38" s="25"/>
      <c r="B38" s="74"/>
      <c r="C38" s="75"/>
      <c r="D38" s="76"/>
      <c r="E38" s="76">
        <v>35</v>
      </c>
      <c r="F38" s="76"/>
      <c r="G38" s="77"/>
      <c r="H38" s="67">
        <v>0.85499999999999998</v>
      </c>
      <c r="I38" s="67">
        <f>AVERAGE(H36,H38)</f>
        <v>0.85850000000000004</v>
      </c>
      <c r="J38" s="67">
        <f>STDEV(H36,H38)</f>
        <v>4.9497474683058368E-3</v>
      </c>
      <c r="K38" s="67">
        <v>0.20699999999999999</v>
      </c>
      <c r="L38" s="67">
        <f>AVERAGE(K36:K38)</f>
        <v>0.20366666666666666</v>
      </c>
      <c r="M38" s="67">
        <f>STDEV(K36:K38)</f>
        <v>4.9328828623162362E-3</v>
      </c>
      <c r="N38" s="114">
        <v>1.54E-2</v>
      </c>
      <c r="O38" s="67">
        <f>AVERAGE(N36,N37)</f>
        <v>1.9749999999999997E-2</v>
      </c>
      <c r="P38" s="67">
        <f>STDEV(N36:N37)</f>
        <v>7.7781745930520247E-4</v>
      </c>
      <c r="Q38" s="78">
        <v>8.2940000000000005</v>
      </c>
      <c r="R38" s="86">
        <f>AVERAGE(Q36:Q38)</f>
        <v>8.240333333333334</v>
      </c>
      <c r="S38" s="67">
        <f>STDEV(Q36:Q38)</f>
        <v>9.9961659316626678E-2</v>
      </c>
      <c r="T38" s="67">
        <v>1125.3</v>
      </c>
      <c r="U38" s="25">
        <f>AVERAGE(T36:T37)</f>
        <v>902.25</v>
      </c>
      <c r="V38" s="25">
        <f>STDEV(T36:T37)</f>
        <v>18.314065632731644</v>
      </c>
      <c r="W38" s="25"/>
      <c r="X38" s="25"/>
      <c r="Y38" s="25"/>
      <c r="Z38" s="67">
        <v>404.1</v>
      </c>
      <c r="AA38" s="67">
        <f>AVERAGE(Z36:Z38)</f>
        <v>402.83333333333331</v>
      </c>
      <c r="AB38" s="67">
        <f>STDEV(Z36:Z38)</f>
        <v>23.725373196924277</v>
      </c>
      <c r="AC38" s="67"/>
      <c r="AD38" s="67"/>
      <c r="AE38" s="67"/>
      <c r="AF38" s="67">
        <v>294.10000000000002</v>
      </c>
      <c r="AG38" s="25">
        <f>AVERAGE(AF36,AF38)</f>
        <v>287.20000000000005</v>
      </c>
      <c r="AH38" s="88">
        <f>STDEV(AF36,AF38)</f>
        <v>9.7580735803743632</v>
      </c>
      <c r="AI38" s="25"/>
      <c r="AJ38" s="25"/>
      <c r="AK38" s="25"/>
      <c r="AL38" s="67">
        <f t="shared" si="13"/>
        <v>1305.0833333333333</v>
      </c>
      <c r="AM38" s="67">
        <f t="shared" si="20"/>
        <v>0.44647640158862101</v>
      </c>
      <c r="AO38" s="1" t="s">
        <v>30</v>
      </c>
      <c r="AR38" s="1">
        <v>1.35</v>
      </c>
      <c r="CE38" s="1">
        <v>1.7</v>
      </c>
      <c r="CF38" s="1">
        <v>170</v>
      </c>
      <c r="CG38" s="1">
        <f t="shared" si="34"/>
        <v>60.071885928586944</v>
      </c>
      <c r="CH38" s="1">
        <f t="shared" si="35"/>
        <v>40.985583670938851</v>
      </c>
      <c r="CI38" s="1">
        <f t="shared" si="36"/>
        <v>461.98939851640057</v>
      </c>
      <c r="CR38" s="53"/>
      <c r="CS38" s="24"/>
      <c r="CT38" s="22">
        <v>966.3</v>
      </c>
      <c r="CU38" s="22"/>
      <c r="CV38" s="22"/>
      <c r="CW38" s="22">
        <v>397.9</v>
      </c>
      <c r="CX38" s="22"/>
      <c r="CY38" s="22"/>
      <c r="CZ38" s="22">
        <v>199.7</v>
      </c>
      <c r="DA38" s="22"/>
      <c r="DB38" s="22"/>
      <c r="DC38" s="22">
        <v>20.23</v>
      </c>
      <c r="DD38" s="22"/>
      <c r="DE38" s="22"/>
      <c r="DF38" s="22">
        <v>0.3</v>
      </c>
      <c r="DG38" s="22"/>
      <c r="DH38" s="22"/>
      <c r="DI38" s="22">
        <v>0.23799999999999999</v>
      </c>
      <c r="DJ38" s="22"/>
      <c r="DK38" s="22"/>
      <c r="DL38" s="22">
        <v>1.657</v>
      </c>
      <c r="DM38" s="22"/>
      <c r="DN38" s="22"/>
      <c r="DO38" s="22">
        <v>3.1E-2</v>
      </c>
      <c r="DP38" s="22"/>
      <c r="DQ38" s="22"/>
      <c r="DR38" s="22"/>
      <c r="DS38" s="167"/>
      <c r="DT38" s="168"/>
      <c r="DU38" s="169">
        <v>50</v>
      </c>
      <c r="DV38" s="80">
        <f>DV34-$EA$15</f>
        <v>15.504583333333299</v>
      </c>
      <c r="DW38" s="80">
        <f>DW34</f>
        <v>0.48437836020339503</v>
      </c>
      <c r="DX38" s="80">
        <f>DX34-$EA$15</f>
        <v>18.458750000000002</v>
      </c>
      <c r="DY38" s="80">
        <f>DY34</f>
        <v>0.39774756441743803</v>
      </c>
      <c r="DZ38" s="80">
        <f t="shared" ref="DZ38:EF38" si="39">DZ34-$EA$15</f>
        <v>11.0108333333333</v>
      </c>
      <c r="EA38" s="80">
        <f>EA34</f>
        <v>0.96891799618612373</v>
      </c>
      <c r="EB38" s="80">
        <f>EB34-$EA$15-5</f>
        <v>6.6358333333333004</v>
      </c>
      <c r="EC38" s="80">
        <f>EC34</f>
        <v>0.93819418743314009</v>
      </c>
      <c r="ED38" s="80">
        <f t="shared" si="39"/>
        <v>12.527500000000002</v>
      </c>
      <c r="EE38" s="80">
        <f>EE34</f>
        <v>0.80721841065476285</v>
      </c>
      <c r="EF38" s="80">
        <f t="shared" si="39"/>
        <v>13.483749999999999</v>
      </c>
      <c r="EG38" s="80">
        <f>EG34</f>
        <v>1.5226031369007476</v>
      </c>
      <c r="EH38" s="136"/>
      <c r="EI38" s="137"/>
      <c r="EJ38" s="137"/>
      <c r="EK38" s="138"/>
      <c r="EL38" s="3"/>
      <c r="EM38" s="3"/>
      <c r="EN38" s="3"/>
      <c r="EO38" s="163"/>
    </row>
    <row r="39" spans="1:145" s="1" customFormat="1" ht="19">
      <c r="A39" s="25"/>
      <c r="B39" s="74"/>
      <c r="C39" s="75"/>
      <c r="D39" s="76">
        <v>933</v>
      </c>
      <c r="E39" s="76">
        <v>100</v>
      </c>
      <c r="F39" s="76"/>
      <c r="G39" s="77" t="s">
        <v>11</v>
      </c>
      <c r="H39" s="67">
        <v>0.871</v>
      </c>
      <c r="I39" s="25"/>
      <c r="J39" s="25"/>
      <c r="K39" s="67">
        <v>0.20100000000000001</v>
      </c>
      <c r="L39" s="25"/>
      <c r="M39" s="25"/>
      <c r="N39" s="114">
        <v>2.0500000000000001E-2</v>
      </c>
      <c r="O39" s="25"/>
      <c r="P39" s="25"/>
      <c r="Q39" s="78">
        <v>10.425000000000001</v>
      </c>
      <c r="R39" s="25"/>
      <c r="S39" s="25"/>
      <c r="T39" s="67">
        <v>1045.3</v>
      </c>
      <c r="U39" s="25"/>
      <c r="V39" s="25"/>
      <c r="W39" s="25"/>
      <c r="X39" s="25"/>
      <c r="Y39" s="25"/>
      <c r="Z39" s="67">
        <v>402.1</v>
      </c>
      <c r="AA39" s="25"/>
      <c r="AB39" s="25"/>
      <c r="AC39" s="25"/>
      <c r="AD39" s="25"/>
      <c r="AE39" s="25"/>
      <c r="AF39" s="67">
        <v>229.6</v>
      </c>
      <c r="AG39" s="25"/>
      <c r="AH39" s="88"/>
      <c r="AI39" s="25"/>
      <c r="AJ39" s="25"/>
      <c r="AK39" s="25"/>
      <c r="AL39" s="67">
        <f t="shared" si="13"/>
        <v>0</v>
      </c>
      <c r="AM39" s="67"/>
      <c r="AS39" s="1" t="s">
        <v>34</v>
      </c>
      <c r="AU39" s="1" t="s">
        <v>35</v>
      </c>
      <c r="AW39" s="1" t="s">
        <v>36</v>
      </c>
      <c r="AY39" s="1" t="s">
        <v>37</v>
      </c>
      <c r="BN39" s="1">
        <f>CORREL(BK14:BK18,BN14:BN18)</f>
        <v>0.82468969682007365</v>
      </c>
      <c r="CE39" s="1">
        <v>1.8</v>
      </c>
      <c r="CF39" s="1">
        <v>180</v>
      </c>
      <c r="CG39" s="1">
        <f t="shared" si="34"/>
        <v>49.182700405126603</v>
      </c>
      <c r="CH39" s="1">
        <f t="shared" si="35"/>
        <v>30.362867168706586</v>
      </c>
      <c r="CI39" s="1">
        <f t="shared" si="36"/>
        <v>426.46996562781908</v>
      </c>
      <c r="CR39" s="53"/>
      <c r="CS39" s="24"/>
      <c r="CT39" s="22">
        <v>970.2</v>
      </c>
      <c r="CU39" s="22">
        <f>AVERAGE(CT37:CT39)</f>
        <v>979.6</v>
      </c>
      <c r="CV39" s="127">
        <f>STDEV(CT37:CT39)</f>
        <v>19.755252466116428</v>
      </c>
      <c r="CW39" s="22">
        <v>256.3</v>
      </c>
      <c r="CX39" s="22">
        <f>AVERAGE(CW37:CW38)</f>
        <v>398.79999999999995</v>
      </c>
      <c r="CY39" s="127">
        <f>STDEV(CW37:CW38)</f>
        <v>1.2727922061357937</v>
      </c>
      <c r="CZ39" s="22">
        <v>202.3</v>
      </c>
      <c r="DA39" s="22">
        <f>AVERAGE(CZ37:CZ39)</f>
        <v>202.5</v>
      </c>
      <c r="DB39" s="127">
        <f>STDEV(CZ37:CZ39)</f>
        <v>2.905167809266795</v>
      </c>
      <c r="DC39" s="22">
        <v>16.45</v>
      </c>
      <c r="DD39" s="170">
        <f>AVERAGE(DC37:DC39)</f>
        <v>18.506666666666664</v>
      </c>
      <c r="DE39" s="170">
        <f>STDEV(DC37:DC39)</f>
        <v>1.9119187569908236</v>
      </c>
      <c r="DF39" s="22">
        <v>0.26</v>
      </c>
      <c r="DG39" s="170">
        <f>AVERAGE(DF37:DF39)</f>
        <v>0.28000000000000003</v>
      </c>
      <c r="DH39" s="22">
        <f>STDEV(DF37:DF39)</f>
        <v>1.999999999999999E-2</v>
      </c>
      <c r="DI39" s="22">
        <v>0.23899999999999999</v>
      </c>
      <c r="DJ39" s="93">
        <f>AVERAGE(DI37:DI39)</f>
        <v>0.23933333333333331</v>
      </c>
      <c r="DK39" s="94">
        <f>STDEV(DI37:DI39)</f>
        <v>1.5275252316519479E-3</v>
      </c>
      <c r="DL39" s="22">
        <v>1.542</v>
      </c>
      <c r="DM39" s="22">
        <f>AVERAGE(DL37:DL39)</f>
        <v>1.542</v>
      </c>
      <c r="DN39" s="94">
        <f>STDEV(DL37:DL39)</f>
        <v>0.11499999999999999</v>
      </c>
      <c r="DO39" s="22">
        <v>2.8000000000000001E-2</v>
      </c>
      <c r="DP39" s="93">
        <f>AVERAGE(DO37:DO39)</f>
        <v>3.0333333333333334E-2</v>
      </c>
      <c r="DQ39" s="94">
        <f>STDEV(DO37:DO39)</f>
        <v>2.0816659994661326E-3</v>
      </c>
      <c r="DR39" s="22"/>
      <c r="DS39" s="171" t="s">
        <v>172</v>
      </c>
      <c r="DT39" s="172"/>
      <c r="DU39" s="169">
        <v>100</v>
      </c>
      <c r="DV39" s="80">
        <f t="shared" ref="DV39:EF41" si="40">DV35-$EA$15</f>
        <v>13.665000000000001</v>
      </c>
      <c r="DW39" s="80">
        <f t="shared" ref="DW39:DW41" si="41">DW35</f>
        <v>1.7854446224960316</v>
      </c>
      <c r="DX39" s="80">
        <f t="shared" si="40"/>
        <v>13.077500000000002</v>
      </c>
      <c r="DY39" s="80">
        <f t="shared" ref="DY39:DY41" si="42">DY35</f>
        <v>1.1781374336213917</v>
      </c>
      <c r="DZ39" s="80">
        <f t="shared" si="40"/>
        <v>10.733749999999999</v>
      </c>
      <c r="EA39" s="80">
        <f t="shared" ref="EA39:EA41" si="43">EA35</f>
        <v>0.46845824253608875</v>
      </c>
      <c r="EB39" s="80">
        <f t="shared" si="40"/>
        <v>8.1379166666666638</v>
      </c>
      <c r="EC39" s="80">
        <f t="shared" ref="EC39:EC41" si="44">EC35</f>
        <v>1.2563640080937268</v>
      </c>
      <c r="ED39" s="80">
        <f t="shared" si="40"/>
        <v>10.973333333333331</v>
      </c>
      <c r="EE39" s="80">
        <f t="shared" ref="EE39:EE41" si="45">EE35</f>
        <v>3.6610296394366411</v>
      </c>
      <c r="EF39" s="80">
        <f t="shared" si="40"/>
        <v>12.729583333333332</v>
      </c>
      <c r="EG39" s="80">
        <f t="shared" ref="EG39:EG41" si="46">EG35</f>
        <v>3.0189268409210124</v>
      </c>
      <c r="EH39" s="136"/>
      <c r="EI39" s="137"/>
      <c r="EJ39" s="137"/>
      <c r="EK39" s="138"/>
      <c r="EL39" s="163"/>
      <c r="EM39" s="163"/>
      <c r="EN39" s="163"/>
      <c r="EO39" s="163"/>
    </row>
    <row r="40" spans="1:145" s="1" customFormat="1" ht="19">
      <c r="A40" s="25"/>
      <c r="B40" s="74"/>
      <c r="C40" s="75"/>
      <c r="D40" s="76"/>
      <c r="E40" s="76">
        <v>100</v>
      </c>
      <c r="F40" s="76"/>
      <c r="G40" s="77"/>
      <c r="H40" s="67">
        <v>0.89100000000000001</v>
      </c>
      <c r="I40" s="25"/>
      <c r="J40" s="25"/>
      <c r="K40" s="67">
        <v>0.221</v>
      </c>
      <c r="L40" s="25"/>
      <c r="M40" s="25"/>
      <c r="N40" s="114">
        <v>2.01E-2</v>
      </c>
      <c r="O40" s="25"/>
      <c r="P40" s="25"/>
      <c r="Q40" s="78">
        <v>10.314</v>
      </c>
      <c r="R40" s="25"/>
      <c r="S40" s="25"/>
      <c r="T40" s="67">
        <v>1004.1</v>
      </c>
      <c r="U40" s="25"/>
      <c r="V40" s="25"/>
      <c r="W40" s="25"/>
      <c r="X40" s="25"/>
      <c r="Y40" s="25"/>
      <c r="Z40" s="67">
        <v>325.89999999999998</v>
      </c>
      <c r="AA40" s="25"/>
      <c r="AB40" s="25"/>
      <c r="AC40" s="25"/>
      <c r="AD40" s="25"/>
      <c r="AE40" s="25"/>
      <c r="AF40" s="67">
        <v>212.7</v>
      </c>
      <c r="AG40" s="25"/>
      <c r="AH40" s="88"/>
      <c r="AI40" s="25"/>
      <c r="AJ40" s="25"/>
      <c r="AK40" s="25"/>
      <c r="AL40" s="67">
        <f t="shared" si="13"/>
        <v>0</v>
      </c>
      <c r="AM40" s="67"/>
      <c r="AQ40" s="1" t="s">
        <v>38</v>
      </c>
      <c r="AR40" s="1">
        <f>LN(AQ4/AR4)/10</f>
        <v>6.3956293442583884E-2</v>
      </c>
      <c r="AS40" s="1">
        <f>AR4*EXP(-$AR$46*122)</f>
        <v>3.9118526553064146</v>
      </c>
      <c r="AT40" s="1">
        <f>AR4*EXP(-AR40*122)</f>
        <v>0.14098195395017424</v>
      </c>
      <c r="AU40" s="1">
        <f>$AR4*EXP(-$AR$46*135)</f>
        <v>2.4270675633574532</v>
      </c>
      <c r="AV40" s="1">
        <f>AR4*EXP(-AR40*135)</f>
        <v>6.1387122461854758E-2</v>
      </c>
      <c r="AW40" s="1">
        <f>AR4*EXP(-$AR$46*100)</f>
        <v>8.7740261714675025</v>
      </c>
      <c r="AX40" s="1">
        <f>$AR4*EXP(-$AR$46*100)</f>
        <v>8.7740261714675025</v>
      </c>
      <c r="AY40" s="1">
        <f>AR4*EXP(-$AR$46*10)</f>
        <v>238.9775355230712</v>
      </c>
      <c r="CE40" s="1">
        <v>1.9000000000000001</v>
      </c>
      <c r="CF40" s="1">
        <v>190</v>
      </c>
      <c r="CG40" s="1">
        <f t="shared" si="34"/>
        <v>40.267389341098067</v>
      </c>
      <c r="CH40" s="1">
        <f t="shared" si="35"/>
        <v>22.493365230716556</v>
      </c>
      <c r="CI40" s="1">
        <f t="shared" si="36"/>
        <v>393.6813965139865</v>
      </c>
      <c r="CR40" s="53"/>
      <c r="CS40" s="24" t="s">
        <v>93</v>
      </c>
      <c r="CT40" s="22">
        <v>848.8</v>
      </c>
      <c r="CU40" s="22"/>
      <c r="CV40" s="22"/>
      <c r="CW40" s="22">
        <v>370.4</v>
      </c>
      <c r="CX40" s="22"/>
      <c r="CY40" s="22"/>
      <c r="CZ40" s="22">
        <v>178.4</v>
      </c>
      <c r="DA40" s="22"/>
      <c r="DB40" s="22"/>
      <c r="DC40" s="22">
        <v>14.36</v>
      </c>
      <c r="DD40" s="22"/>
      <c r="DE40" s="22"/>
      <c r="DF40" s="22">
        <v>0.25</v>
      </c>
      <c r="DG40" s="22"/>
      <c r="DH40" s="22"/>
      <c r="DI40" s="22">
        <v>0.22</v>
      </c>
      <c r="DJ40" s="22"/>
      <c r="DK40" s="22"/>
      <c r="DL40" s="22">
        <v>1.512</v>
      </c>
      <c r="DM40" s="22"/>
      <c r="DN40" s="22"/>
      <c r="DO40" s="22">
        <v>2.4E-2</v>
      </c>
      <c r="DP40" s="22"/>
      <c r="DQ40" s="22"/>
      <c r="DR40" s="22"/>
      <c r="DS40" s="173"/>
      <c r="DT40" s="172"/>
      <c r="DU40" s="169">
        <v>200</v>
      </c>
      <c r="DV40" s="80">
        <f t="shared" si="40"/>
        <v>17.612916666666663</v>
      </c>
      <c r="DW40" s="80">
        <f t="shared" si="41"/>
        <v>3.2560900472550398</v>
      </c>
      <c r="DX40" s="80">
        <f t="shared" si="40"/>
        <v>14.689999999999996</v>
      </c>
      <c r="DY40" s="80">
        <f t="shared" si="42"/>
        <v>8.8388347648320958E-2</v>
      </c>
      <c r="DZ40" s="80">
        <f t="shared" si="40"/>
        <v>6.2212499999999995</v>
      </c>
      <c r="EA40" s="80">
        <f t="shared" si="43"/>
        <v>1.7844488820081108</v>
      </c>
      <c r="EB40" s="80">
        <f t="shared" si="40"/>
        <v>5.5525000000000002</v>
      </c>
      <c r="EC40" s="80">
        <f t="shared" si="44"/>
        <v>1.7677669529663689</v>
      </c>
      <c r="ED40" s="80">
        <f t="shared" si="40"/>
        <v>6.6274999999999959</v>
      </c>
      <c r="EE40" s="80">
        <f t="shared" si="45"/>
        <v>1.0253048327204934</v>
      </c>
      <c r="EF40" s="80">
        <f t="shared" si="40"/>
        <v>9.7670833333333338</v>
      </c>
      <c r="EG40" s="80">
        <f t="shared" si="46"/>
        <v>1.1982463314499805</v>
      </c>
      <c r="EH40" s="136"/>
      <c r="EI40" s="137"/>
      <c r="EJ40" s="137"/>
      <c r="EK40" s="138"/>
      <c r="EL40" s="163"/>
      <c r="EM40" s="163"/>
      <c r="EN40" s="163"/>
      <c r="EO40" s="163"/>
    </row>
    <row r="41" spans="1:145" s="1" customFormat="1" ht="19">
      <c r="A41" s="25"/>
      <c r="B41" s="74"/>
      <c r="C41" s="75"/>
      <c r="D41" s="76"/>
      <c r="E41" s="76">
        <v>100</v>
      </c>
      <c r="F41" s="76"/>
      <c r="G41" s="77"/>
      <c r="H41" s="67">
        <v>0.88500000000000001</v>
      </c>
      <c r="I41" s="67">
        <f>AVERAGE(H39:H41)</f>
        <v>0.88233333333333341</v>
      </c>
      <c r="J41" s="67">
        <f>STDEV(H39:H41)</f>
        <v>1.0263202878893778E-2</v>
      </c>
      <c r="K41" s="67">
        <v>0.218</v>
      </c>
      <c r="L41" s="67">
        <f>AVERAGE(K39:K41)</f>
        <v>0.21333333333333335</v>
      </c>
      <c r="M41" s="67">
        <f>STDEV(K39:K41)</f>
        <v>1.0785793124908951E-2</v>
      </c>
      <c r="N41" s="114">
        <v>1.9699999999999999E-2</v>
      </c>
      <c r="O41" s="67">
        <f>AVERAGE(N39:N41)</f>
        <v>2.0099999999999996E-2</v>
      </c>
      <c r="P41" s="67">
        <f>STDEV(N39:N41)</f>
        <v>4.0000000000000105E-4</v>
      </c>
      <c r="Q41" s="78">
        <v>10.198</v>
      </c>
      <c r="R41" s="86">
        <f>AVERAGE(Q39:Q41)</f>
        <v>10.312333333333333</v>
      </c>
      <c r="S41" s="67">
        <f>STDEV(Q39:Q41)</f>
        <v>0.11350917730885626</v>
      </c>
      <c r="T41" s="67">
        <v>1015.6</v>
      </c>
      <c r="U41" s="67">
        <f>T39</f>
        <v>1045.3</v>
      </c>
      <c r="V41" s="67">
        <f>STDEV(T39:T41)</f>
        <v>21.259429280517661</v>
      </c>
      <c r="W41" s="67"/>
      <c r="X41" s="67"/>
      <c r="Y41" s="67"/>
      <c r="Z41" s="67">
        <v>368.2</v>
      </c>
      <c r="AA41" s="67">
        <f>AVERAGE(Z39)</f>
        <v>402.1</v>
      </c>
      <c r="AB41" s="67">
        <f>STDEV(Z39:Z41)</f>
        <v>38.177087369258565</v>
      </c>
      <c r="AC41" s="67"/>
      <c r="AD41" s="67"/>
      <c r="AE41" s="67"/>
      <c r="AF41" s="67">
        <v>221.8</v>
      </c>
      <c r="AG41" s="67">
        <f>AVERAGE(AF39:AF41)</f>
        <v>221.36666666666665</v>
      </c>
      <c r="AH41" s="68">
        <f>STDEV(AF39:AF41)</f>
        <v>8.458329228242027</v>
      </c>
      <c r="AI41" s="67"/>
      <c r="AJ41" s="67"/>
      <c r="AK41" s="67"/>
      <c r="AL41" s="67">
        <f t="shared" si="13"/>
        <v>1447.4</v>
      </c>
      <c r="AM41" s="67">
        <f t="shared" si="20"/>
        <v>0.38467425619439399</v>
      </c>
      <c r="AR41" s="1">
        <f>LN(AQ5/(AR5+200))/10</f>
        <v>4.2953629220360411E-2</v>
      </c>
      <c r="AS41" s="1">
        <f t="shared" ref="AS41:AS47" si="47">AR5*EXP(-$AR$46*122)</f>
        <v>4.5581587461831266</v>
      </c>
      <c r="AT41" s="1">
        <f t="shared" ref="AT41:AT47" si="48">AR5*EXP(-AR41*122)</f>
        <v>2.1299730429198012</v>
      </c>
      <c r="AU41" s="1">
        <f t="shared" ref="AU41:AU44" si="49">$AR5*EXP(-$AR$46*135)</f>
        <v>2.8280613346947714</v>
      </c>
      <c r="AV41" s="1">
        <f t="shared" ref="AV41:AV44" si="50">AR5*EXP(-AR41*135)</f>
        <v>1.2186115585222554</v>
      </c>
      <c r="AW41" s="1">
        <f t="shared" ref="AW41:AW44" si="51">AR5*EXP(-$AR$46*100)</f>
        <v>10.223647886753437</v>
      </c>
      <c r="AX41" s="1">
        <f t="shared" ref="AX41:AX44" si="52">$AR5*EXP(-$AR$46*100)</f>
        <v>10.223647886753437</v>
      </c>
      <c r="AY41" s="1">
        <f t="shared" ref="AY41:AY44" si="53">AR5*EXP(-$AR$46*10)</f>
        <v>278.46078052253512</v>
      </c>
      <c r="CE41" s="1">
        <v>2</v>
      </c>
      <c r="CF41" s="1">
        <v>200</v>
      </c>
      <c r="CG41" s="1">
        <f t="shared" si="34"/>
        <v>32.968149999721518</v>
      </c>
      <c r="CH41" s="1">
        <f t="shared" si="35"/>
        <v>16.66349480736346</v>
      </c>
      <c r="CI41" s="1">
        <f t="shared" si="36"/>
        <v>363.41373239037966</v>
      </c>
      <c r="CR41" s="53"/>
      <c r="CS41" s="24"/>
      <c r="CT41" s="22">
        <v>777.4</v>
      </c>
      <c r="CU41" s="22"/>
      <c r="CV41" s="22"/>
      <c r="CW41" s="22">
        <v>328.2</v>
      </c>
      <c r="CX41" s="22"/>
      <c r="CY41" s="22"/>
      <c r="CZ41" s="22">
        <v>162.80000000000001</v>
      </c>
      <c r="DA41" s="22"/>
      <c r="DB41" s="22"/>
      <c r="DC41" s="22">
        <v>16.64</v>
      </c>
      <c r="DD41" s="22"/>
      <c r="DE41" s="22"/>
      <c r="DF41" s="22">
        <v>0.25</v>
      </c>
      <c r="DG41" s="22"/>
      <c r="DH41" s="22"/>
      <c r="DI41" s="22">
        <v>0.21099999999999999</v>
      </c>
      <c r="DJ41" s="22"/>
      <c r="DK41" s="22"/>
      <c r="DL41" s="22">
        <v>1.498</v>
      </c>
      <c r="DM41" s="22"/>
      <c r="DN41" s="22"/>
      <c r="DO41" s="22">
        <v>1.7000000000000001E-2</v>
      </c>
      <c r="DP41" s="22"/>
      <c r="DQ41" s="22"/>
      <c r="DR41" s="22"/>
      <c r="DS41" s="174"/>
      <c r="DT41" s="175"/>
      <c r="DU41" s="169">
        <v>300</v>
      </c>
      <c r="DV41" s="80">
        <f t="shared" si="40"/>
        <v>23.794166666666669</v>
      </c>
      <c r="DW41" s="80">
        <f t="shared" si="41"/>
        <v>0.69398456995334934</v>
      </c>
      <c r="DX41" s="80">
        <f t="shared" si="40"/>
        <v>25.358750000000001</v>
      </c>
      <c r="DY41" s="80">
        <f t="shared" si="42"/>
        <v>2.067786784825743</v>
      </c>
      <c r="DZ41" s="80">
        <f t="shared" si="40"/>
        <v>28.373333333333328</v>
      </c>
      <c r="EA41" s="80">
        <f t="shared" si="43"/>
        <v>1.1076674064597776</v>
      </c>
      <c r="EB41" s="80">
        <f t="shared" si="40"/>
        <v>31.324374999999996</v>
      </c>
      <c r="EC41" s="80">
        <f t="shared" si="44"/>
        <v>1.0827572586919059</v>
      </c>
      <c r="ED41" s="80">
        <f t="shared" si="40"/>
        <v>12.881666666666662</v>
      </c>
      <c r="EE41" s="80">
        <f t="shared" si="45"/>
        <v>2.4474343496472657</v>
      </c>
      <c r="EF41" s="80">
        <f>MAX(0,EF37-$EA$15)</f>
        <v>0</v>
      </c>
      <c r="EG41" s="80">
        <f t="shared" si="46"/>
        <v>2.2977315579718991</v>
      </c>
      <c r="EH41" s="136"/>
      <c r="EI41" s="137"/>
      <c r="EJ41" s="137"/>
      <c r="EK41" s="138"/>
      <c r="EL41" s="163"/>
      <c r="EM41" s="163"/>
      <c r="EN41" s="163"/>
    </row>
    <row r="42" spans="1:145" s="1" customFormat="1" ht="19">
      <c r="A42" s="25"/>
      <c r="B42" s="74"/>
      <c r="C42" s="75"/>
      <c r="D42" s="76">
        <v>1728</v>
      </c>
      <c r="E42" s="76">
        <v>159</v>
      </c>
      <c r="F42" s="76"/>
      <c r="G42" s="77" t="s">
        <v>12</v>
      </c>
      <c r="H42" s="67">
        <v>0.99099999999999999</v>
      </c>
      <c r="I42" s="25"/>
      <c r="J42" s="25"/>
      <c r="K42" s="67">
        <v>0.215</v>
      </c>
      <c r="L42" s="25"/>
      <c r="M42" s="25"/>
      <c r="N42" s="114">
        <v>2.1649999999999999E-2</v>
      </c>
      <c r="O42" s="25"/>
      <c r="P42" s="25"/>
      <c r="Q42" s="78">
        <v>13.023999999999999</v>
      </c>
      <c r="R42" s="25"/>
      <c r="S42" s="25"/>
      <c r="T42" s="67">
        <v>1169.5</v>
      </c>
      <c r="U42" s="25"/>
      <c r="V42" s="25"/>
      <c r="W42" s="25"/>
      <c r="X42" s="25"/>
      <c r="Y42" s="25"/>
      <c r="Z42" s="67">
        <v>602.5</v>
      </c>
      <c r="AA42" s="25"/>
      <c r="AB42" s="25"/>
      <c r="AC42" s="25"/>
      <c r="AD42" s="25"/>
      <c r="AE42" s="25"/>
      <c r="AF42" s="67">
        <v>368.9</v>
      </c>
      <c r="AG42" s="25"/>
      <c r="AH42" s="88"/>
      <c r="AI42" s="25"/>
      <c r="AJ42" s="25"/>
      <c r="AK42" s="25"/>
      <c r="AL42" s="67">
        <f t="shared" si="13"/>
        <v>0</v>
      </c>
      <c r="AM42" s="67"/>
      <c r="AR42" s="1">
        <f t="shared" ref="AR42:AR44" si="54">LN(AQ6/AR6)/10</f>
        <v>2.5501653167818349E-2</v>
      </c>
      <c r="AS42" s="1">
        <f t="shared" si="47"/>
        <v>15.964894314989657</v>
      </c>
      <c r="AT42" s="1">
        <f t="shared" si="48"/>
        <v>62.722726761220692</v>
      </c>
      <c r="AU42" s="1">
        <f t="shared" si="49"/>
        <v>9.9052496498762146</v>
      </c>
      <c r="AV42" s="1">
        <f t="shared" si="50"/>
        <v>45.024300677153057</v>
      </c>
      <c r="AW42" s="1">
        <f>AR6*EXP(-$AR$46*100)</f>
        <v>35.808199563554325</v>
      </c>
      <c r="AX42" s="1">
        <f t="shared" si="52"/>
        <v>35.808199563554325</v>
      </c>
      <c r="AY42" s="1">
        <f t="shared" si="53"/>
        <v>975.3054203376355</v>
      </c>
      <c r="AZ42" s="1">
        <f>1800*EXP(-$AR$46*50)</f>
        <v>287.05321829243201</v>
      </c>
      <c r="CE42" s="1">
        <v>2.1</v>
      </c>
      <c r="CF42" s="1">
        <v>210</v>
      </c>
      <c r="CG42" s="1">
        <f t="shared" si="34"/>
        <v>26.992038276859866</v>
      </c>
      <c r="CH42" s="1">
        <f t="shared" si="35"/>
        <v>12.344620573530046</v>
      </c>
      <c r="CI42" s="1">
        <f t="shared" si="36"/>
        <v>335.47315687093788</v>
      </c>
      <c r="CR42" s="53"/>
      <c r="CS42" s="24"/>
      <c r="CT42" s="22">
        <v>815.6</v>
      </c>
      <c r="CU42" s="127">
        <f>AVERAGE(CT40:CT42)</f>
        <v>813.93333333333328</v>
      </c>
      <c r="CV42" s="127">
        <f>STDEV(CT40:CT42)</f>
        <v>35.729166423712329</v>
      </c>
      <c r="CW42" s="22">
        <v>337.6</v>
      </c>
      <c r="CX42" s="22">
        <f>AVERAGE(CW40:CW42)</f>
        <v>345.39999999999992</v>
      </c>
      <c r="CY42" s="127">
        <f>STDEV(CW40:CW42)</f>
        <v>22.154909162530988</v>
      </c>
      <c r="CZ42" s="22">
        <v>171.2</v>
      </c>
      <c r="DA42" s="22">
        <f>AVERAGE(CZ40:CZ42)</f>
        <v>170.80000000000004</v>
      </c>
      <c r="DB42" s="127">
        <f>STDEV(CZ40:CZ42)</f>
        <v>7.8076885183772502</v>
      </c>
      <c r="DC42" s="22">
        <v>10.119999999999999</v>
      </c>
      <c r="DD42" s="170">
        <f>AVERAGE(DC40:DC41)</f>
        <v>15.5</v>
      </c>
      <c r="DE42" s="170">
        <f>STDEV(DC40:DC41)</f>
        <v>1.6122034611053291</v>
      </c>
      <c r="DF42" s="22">
        <v>0.26</v>
      </c>
      <c r="DG42" s="170">
        <f>AVERAGE(DF40:DF42)</f>
        <v>0.25333333333333335</v>
      </c>
      <c r="DH42" s="93">
        <f>STDEV(DF40:DF42)</f>
        <v>5.7735026918962623E-3</v>
      </c>
      <c r="DI42" s="22">
        <v>0.216</v>
      </c>
      <c r="DJ42" s="93">
        <f>AVERAGE(DI40:DI42)</f>
        <v>0.21566666666666667</v>
      </c>
      <c r="DK42" s="94">
        <f>STDEV(DI40:DI42)</f>
        <v>4.5092497528228985E-3</v>
      </c>
      <c r="DL42" s="22">
        <v>1.5029999999999999</v>
      </c>
      <c r="DM42" s="93">
        <f>AVERAGE(DL40:DL42)</f>
        <v>1.5043333333333333</v>
      </c>
      <c r="DN42" s="94">
        <f>STDEV(DL40:DL42)</f>
        <v>7.0945988845976041E-3</v>
      </c>
      <c r="DO42" s="22">
        <v>0.03</v>
      </c>
      <c r="DP42" s="93">
        <f>AVERAGE(DO40:DO42)</f>
        <v>2.3666666666666669E-2</v>
      </c>
      <c r="DQ42" s="94">
        <f>STDEV(DO40:DO42)</f>
        <v>6.5064070986476964E-3</v>
      </c>
      <c r="DR42" s="22"/>
      <c r="DS42" s="162" t="s">
        <v>109</v>
      </c>
      <c r="DT42" s="162"/>
      <c r="DU42" s="150"/>
      <c r="DV42" s="150"/>
      <c r="DW42" s="140"/>
      <c r="DX42" s="150"/>
      <c r="DY42" s="140"/>
      <c r="DZ42" s="150"/>
      <c r="EA42" s="140"/>
      <c r="EB42" s="150"/>
      <c r="EC42" s="140"/>
      <c r="ED42" s="150"/>
      <c r="EE42" s="140"/>
      <c r="EF42" s="150"/>
      <c r="EG42" s="140"/>
      <c r="EH42" s="136"/>
      <c r="EI42" s="137"/>
      <c r="EJ42" s="137"/>
      <c r="EK42" s="138"/>
      <c r="EL42" s="163"/>
      <c r="EM42" s="163"/>
      <c r="EN42" s="163"/>
      <c r="EO42" s="176"/>
    </row>
    <row r="43" spans="1:145" s="1" customFormat="1" ht="16">
      <c r="A43" s="25"/>
      <c r="B43" s="74"/>
      <c r="C43" s="75"/>
      <c r="D43" s="76"/>
      <c r="E43" s="76">
        <v>159</v>
      </c>
      <c r="F43" s="76"/>
      <c r="G43" s="77"/>
      <c r="H43" s="67">
        <v>0.98199999999999998</v>
      </c>
      <c r="I43" s="25"/>
      <c r="J43" s="25"/>
      <c r="K43" s="67">
        <v>0.23699999999999999</v>
      </c>
      <c r="L43" s="25"/>
      <c r="M43" s="25"/>
      <c r="N43" s="114">
        <v>2.214E-2</v>
      </c>
      <c r="O43" s="25"/>
      <c r="P43" s="25"/>
      <c r="Q43" s="78">
        <v>13.214</v>
      </c>
      <c r="R43" s="25"/>
      <c r="S43" s="25"/>
      <c r="T43" s="67">
        <v>1101.4000000000001</v>
      </c>
      <c r="U43" s="25"/>
      <c r="V43" s="25"/>
      <c r="W43" s="25"/>
      <c r="X43" s="25"/>
      <c r="Y43" s="25"/>
      <c r="Z43" s="67">
        <v>574.79999999999995</v>
      </c>
      <c r="AA43" s="25"/>
      <c r="AB43" s="25"/>
      <c r="AC43" s="25"/>
      <c r="AD43" s="25"/>
      <c r="AE43" s="25"/>
      <c r="AF43" s="67">
        <v>346.5</v>
      </c>
      <c r="AG43" s="25"/>
      <c r="AH43" s="88"/>
      <c r="AI43" s="25"/>
      <c r="AJ43" s="25"/>
      <c r="AK43" s="25"/>
      <c r="AL43" s="67">
        <f t="shared" si="13"/>
        <v>0</v>
      </c>
      <c r="AM43" s="67"/>
      <c r="AR43" s="1">
        <f t="shared" si="54"/>
        <v>2.7454127889072255E-2</v>
      </c>
      <c r="AS43" s="1">
        <f t="shared" si="47"/>
        <v>13.028170147672668</v>
      </c>
      <c r="AT43" s="1">
        <f t="shared" si="48"/>
        <v>40.335971963923427</v>
      </c>
      <c r="AU43" s="1">
        <f t="shared" si="49"/>
        <v>8.0831902327469951</v>
      </c>
      <c r="AV43" s="1">
        <f t="shared" si="50"/>
        <v>28.228723201744025</v>
      </c>
      <c r="AW43" s="1">
        <f t="shared" si="51"/>
        <v>29.221321944974378</v>
      </c>
      <c r="AX43" s="1">
        <f t="shared" si="52"/>
        <v>29.221321944974378</v>
      </c>
      <c r="AY43" s="1">
        <f t="shared" si="53"/>
        <v>795.89909656814143</v>
      </c>
      <c r="CE43" s="1">
        <v>2.2000000000000002</v>
      </c>
      <c r="CF43" s="1">
        <v>220</v>
      </c>
      <c r="CG43" s="1">
        <f t="shared" si="34"/>
        <v>22.099211825523184</v>
      </c>
      <c r="CH43" s="1">
        <f t="shared" si="35"/>
        <v>9.1451198482734561</v>
      </c>
      <c r="CI43" s="1">
        <f t="shared" si="36"/>
        <v>309.68075488149088</v>
      </c>
      <c r="CR43" s="53"/>
      <c r="CS43" s="24" t="s">
        <v>94</v>
      </c>
      <c r="CT43" s="22">
        <v>582.79999999999995</v>
      </c>
      <c r="CU43" s="22"/>
      <c r="CV43" s="22"/>
      <c r="CW43" s="22">
        <v>287.3</v>
      </c>
      <c r="CX43" s="22"/>
      <c r="CY43" s="22"/>
      <c r="CZ43" s="22">
        <v>119.3</v>
      </c>
      <c r="DA43" s="22"/>
      <c r="DB43" s="22"/>
      <c r="DC43" s="22">
        <v>13.79</v>
      </c>
      <c r="DD43" s="22"/>
      <c r="DE43" s="22"/>
      <c r="DF43" s="22">
        <v>0.25</v>
      </c>
      <c r="DG43" s="22"/>
      <c r="DH43" s="22"/>
      <c r="DI43" s="22">
        <v>0.17499999999999999</v>
      </c>
      <c r="DJ43" s="22"/>
      <c r="DK43" s="22"/>
      <c r="DL43" s="22">
        <v>1.585</v>
      </c>
      <c r="DM43" s="22"/>
      <c r="DN43" s="22"/>
      <c r="DO43" s="22">
        <v>2.4E-2</v>
      </c>
      <c r="DP43" s="22"/>
      <c r="DQ43" s="22"/>
      <c r="DR43" s="22"/>
      <c r="DS43" s="89" t="s">
        <v>120</v>
      </c>
      <c r="DT43" s="151"/>
      <c r="DU43" s="123">
        <v>50</v>
      </c>
      <c r="DV43" s="50">
        <v>3.5539999999999998</v>
      </c>
      <c r="DW43" s="50">
        <v>0.11915116449284079</v>
      </c>
      <c r="DX43" s="50">
        <v>3.6133333333333333</v>
      </c>
      <c r="DY43" s="50">
        <v>0.13677109831149747</v>
      </c>
      <c r="DZ43" s="50">
        <v>3.6539999999999999</v>
      </c>
      <c r="EA43" s="50">
        <v>7.2642962494655905E-2</v>
      </c>
      <c r="EB43" s="50">
        <v>3.8073333333333337</v>
      </c>
      <c r="EC43" s="50">
        <v>0.10354870029765374</v>
      </c>
      <c r="ED43" s="50">
        <v>3.7913333333333337</v>
      </c>
      <c r="EE43" s="50">
        <v>3.0664855018951692E-2</v>
      </c>
      <c r="EF43" s="50">
        <v>3.3623333333333334</v>
      </c>
      <c r="EG43" s="50">
        <v>1.1060440015358147E-2</v>
      </c>
      <c r="EH43" s="136"/>
      <c r="EI43" s="137"/>
      <c r="EJ43" s="137"/>
      <c r="EK43" s="138"/>
      <c r="EL43" s="163"/>
      <c r="EO43" s="176"/>
    </row>
    <row r="44" spans="1:145" s="1" customFormat="1" ht="16">
      <c r="A44" s="25"/>
      <c r="B44" s="74"/>
      <c r="C44" s="75"/>
      <c r="D44" s="76"/>
      <c r="E44" s="76">
        <v>159</v>
      </c>
      <c r="F44" s="76"/>
      <c r="G44" s="77"/>
      <c r="H44" s="67">
        <v>0.97499999999999998</v>
      </c>
      <c r="I44" s="67">
        <f>AVERAGE(H42:H44)</f>
        <v>0.98266666666666669</v>
      </c>
      <c r="J44" s="67">
        <f>STDEV(H42:H44)</f>
        <v>8.0208062770106506E-3</v>
      </c>
      <c r="K44" s="67">
        <v>0.20899999999999999</v>
      </c>
      <c r="L44" s="67">
        <f>AVERAGE(K42:K44)</f>
        <v>0.2203333333333333</v>
      </c>
      <c r="M44" s="67">
        <f>STDEV(K42:K44)</f>
        <v>1.4742229591663984E-2</v>
      </c>
      <c r="N44" s="114">
        <v>2.1579999999999998E-2</v>
      </c>
      <c r="O44" s="67">
        <f>AVERAGE(N42:N44)</f>
        <v>2.179E-2</v>
      </c>
      <c r="P44" s="67">
        <f>STDEV(N42:N44)</f>
        <v>3.0512292604784784E-4</v>
      </c>
      <c r="Q44" s="78">
        <v>12.986000000000001</v>
      </c>
      <c r="R44" s="86">
        <f>AVERAGE(Q42:Q44)</f>
        <v>13.074666666666667</v>
      </c>
      <c r="S44" s="67">
        <f>STDEV(Q42:Q44)</f>
        <v>0.12215290963924427</v>
      </c>
      <c r="T44" s="67">
        <v>1126.5</v>
      </c>
      <c r="U44" s="67">
        <f>AVERAGE(T42:T44)</f>
        <v>1132.4666666666667</v>
      </c>
      <c r="V44" s="67">
        <f>STDEV(T42:T44)</f>
        <v>34.439850948186908</v>
      </c>
      <c r="W44" s="67"/>
      <c r="X44" s="67"/>
      <c r="Y44" s="67"/>
      <c r="Z44" s="67">
        <v>400.3</v>
      </c>
      <c r="AA44" s="67">
        <f>AVERAGE(Z42:Z43)</f>
        <v>588.65</v>
      </c>
      <c r="AB44" s="67">
        <f>STDEV(Z42:Z43)</f>
        <v>19.586857838867399</v>
      </c>
      <c r="AC44" s="67"/>
      <c r="AD44" s="67"/>
      <c r="AE44" s="67"/>
      <c r="AF44" s="67">
        <v>352.6</v>
      </c>
      <c r="AG44" s="67">
        <f>AVERAGE(AF42:AF44)</f>
        <v>356</v>
      </c>
      <c r="AH44" s="68">
        <f>STDEV(AF42:AF44)</f>
        <v>11.580587204455551</v>
      </c>
      <c r="AI44" s="67"/>
      <c r="AJ44" s="67"/>
      <c r="AK44" s="67"/>
      <c r="AL44" s="67">
        <f t="shared" si="13"/>
        <v>1721.1166666666668</v>
      </c>
      <c r="AM44" s="67">
        <f t="shared" si="20"/>
        <v>0.51979454877259079</v>
      </c>
      <c r="AR44" s="1">
        <f t="shared" si="54"/>
        <v>2.3721727852587172E-2</v>
      </c>
      <c r="AS44" s="1">
        <f t="shared" si="47"/>
        <v>1.4400153252867092</v>
      </c>
      <c r="AT44" s="1">
        <f t="shared" si="48"/>
        <v>7.0296455747559623</v>
      </c>
      <c r="AU44" s="1">
        <f t="shared" si="49"/>
        <v>0.89344226245332325</v>
      </c>
      <c r="AV44" s="1">
        <f t="shared" si="50"/>
        <v>5.1642187174598</v>
      </c>
      <c r="AW44" s="1">
        <f t="shared" si="51"/>
        <v>3.2298589094967327</v>
      </c>
      <c r="AX44" s="1">
        <f t="shared" si="52"/>
        <v>3.2298589094967327</v>
      </c>
      <c r="AY44" s="1">
        <f t="shared" si="53"/>
        <v>87.971440612840695</v>
      </c>
      <c r="CE44" s="1">
        <v>2.3000000000000003</v>
      </c>
      <c r="CF44" s="1">
        <v>230</v>
      </c>
      <c r="CG44" s="1">
        <f t="shared" si="34"/>
        <v>18.093304340340435</v>
      </c>
      <c r="CH44" s="1">
        <f t="shared" si="35"/>
        <v>6.7748714139190058</v>
      </c>
      <c r="CI44" s="1">
        <f t="shared" si="36"/>
        <v>285.87136699245718</v>
      </c>
      <c r="CR44" s="53"/>
      <c r="CS44" s="24"/>
      <c r="CT44" s="22">
        <v>592.5</v>
      </c>
      <c r="CU44" s="22"/>
      <c r="CV44" s="22"/>
      <c r="CW44" s="22">
        <v>319.60000000000002</v>
      </c>
      <c r="CX44" s="22"/>
      <c r="CY44" s="22"/>
      <c r="CZ44" s="22">
        <v>114.4</v>
      </c>
      <c r="DA44" s="22"/>
      <c r="DB44" s="22"/>
      <c r="DC44" s="22">
        <v>13.26</v>
      </c>
      <c r="DD44" s="22"/>
      <c r="DE44" s="22"/>
      <c r="DF44" s="22">
        <v>0.23</v>
      </c>
      <c r="DG44" s="22"/>
      <c r="DH44" s="22"/>
      <c r="DI44" s="22">
        <v>0.214</v>
      </c>
      <c r="DJ44" s="22"/>
      <c r="DK44" s="22"/>
      <c r="DL44" s="22">
        <v>1.274</v>
      </c>
      <c r="DM44" s="22"/>
      <c r="DN44" s="22"/>
      <c r="DO44" s="22">
        <v>1.9E-2</v>
      </c>
      <c r="DP44" s="22"/>
      <c r="DQ44" s="22"/>
      <c r="DR44" s="22"/>
      <c r="DS44" s="152"/>
      <c r="DT44" s="151"/>
      <c r="DU44" s="123">
        <v>100</v>
      </c>
      <c r="DV44" s="50">
        <v>3.6366666666666667</v>
      </c>
      <c r="DW44" s="50">
        <v>0.19900083751917547</v>
      </c>
      <c r="DX44" s="50">
        <v>3.5229999999999997</v>
      </c>
      <c r="DY44" s="50">
        <v>0.14424978336205582</v>
      </c>
      <c r="DZ44" s="50">
        <v>3.423</v>
      </c>
      <c r="EA44" s="50">
        <v>0.19619123323940854</v>
      </c>
      <c r="EB44" s="50">
        <v>3.2549999999999999</v>
      </c>
      <c r="EC44" s="50">
        <v>0.28001428534987277</v>
      </c>
      <c r="ED44" s="50">
        <v>3.7929999999999997</v>
      </c>
      <c r="EE44" s="50">
        <v>2.30651251893415E-2</v>
      </c>
      <c r="EF44" s="50">
        <v>4.1289999999999996</v>
      </c>
      <c r="EG44" s="50">
        <v>0.11742657280190014</v>
      </c>
      <c r="EH44" s="136"/>
      <c r="EI44" s="137"/>
      <c r="EJ44" s="137"/>
      <c r="EK44" s="138"/>
      <c r="EL44" s="163"/>
      <c r="EM44" s="163"/>
      <c r="EN44" s="163"/>
      <c r="EO44" s="176"/>
    </row>
    <row r="45" spans="1:145" s="1" customFormat="1" ht="16">
      <c r="A45" s="25"/>
      <c r="B45" s="74"/>
      <c r="C45" s="75"/>
      <c r="D45" s="76">
        <v>1594</v>
      </c>
      <c r="E45" s="76">
        <v>30</v>
      </c>
      <c r="F45" s="76"/>
      <c r="G45" s="77" t="s">
        <v>10</v>
      </c>
      <c r="H45" s="67">
        <v>1.048</v>
      </c>
      <c r="I45" s="25"/>
      <c r="J45" s="25"/>
      <c r="K45" s="67">
        <v>0.20100000000000001</v>
      </c>
      <c r="L45" s="25"/>
      <c r="M45" s="25"/>
      <c r="N45" s="114">
        <v>2.2589999999999999E-2</v>
      </c>
      <c r="O45" s="25"/>
      <c r="P45" s="25"/>
      <c r="Q45" s="78">
        <v>10.256</v>
      </c>
      <c r="R45" s="25"/>
      <c r="S45" s="25"/>
      <c r="T45" s="67">
        <v>1169.3</v>
      </c>
      <c r="U45" s="25"/>
      <c r="V45" s="25"/>
      <c r="W45" s="25"/>
      <c r="X45" s="25"/>
      <c r="Y45" s="25"/>
      <c r="Z45" s="67">
        <v>635.9</v>
      </c>
      <c r="AA45" s="25"/>
      <c r="AB45" s="25"/>
      <c r="AC45" s="25"/>
      <c r="AD45" s="25"/>
      <c r="AE45" s="25"/>
      <c r="AF45" s="67">
        <v>202.1</v>
      </c>
      <c r="AG45" s="25"/>
      <c r="AH45" s="88"/>
      <c r="AI45" s="25"/>
      <c r="AJ45" s="25"/>
      <c r="AK45" s="25"/>
      <c r="AL45" s="67">
        <f t="shared" si="13"/>
        <v>0</v>
      </c>
      <c r="AM45" s="67"/>
      <c r="AS45" s="1">
        <f t="shared" si="47"/>
        <v>0</v>
      </c>
      <c r="AT45" s="1">
        <f t="shared" si="48"/>
        <v>0</v>
      </c>
      <c r="CE45" s="1">
        <v>2.4</v>
      </c>
      <c r="CF45" s="1">
        <v>240</v>
      </c>
      <c r="CG45" s="1">
        <f t="shared" si="34"/>
        <v>14.813544688236055</v>
      </c>
      <c r="CH45" s="1">
        <f t="shared" si="35"/>
        <v>5.0189481862069076</v>
      </c>
      <c r="CI45" s="1">
        <f t="shared" si="36"/>
        <v>263.89253183463029</v>
      </c>
      <c r="CR45" s="53"/>
      <c r="CS45" s="24"/>
      <c r="CT45" s="22">
        <v>445.2</v>
      </c>
      <c r="CU45" s="127">
        <f>AVERAGE(CT43:CT44)</f>
        <v>587.65</v>
      </c>
      <c r="CV45" s="127">
        <f>STDEV(CT43:CT44)</f>
        <v>6.8589357775095436</v>
      </c>
      <c r="CW45" s="22">
        <v>302.3</v>
      </c>
      <c r="CX45" s="127">
        <f>AVERAGE(CW43:CW45)</f>
        <v>303.06666666666666</v>
      </c>
      <c r="CY45" s="127">
        <f>STDEV(CW43:CW45)</f>
        <v>16.163642328798716</v>
      </c>
      <c r="CZ45" s="22">
        <v>117.2</v>
      </c>
      <c r="DA45" s="127">
        <f>AVERAGE(CZ43:CZ45)</f>
        <v>116.96666666666665</v>
      </c>
      <c r="DB45" s="127">
        <f>STDEV(CZ43:CZ45)</f>
        <v>2.4583192089989683</v>
      </c>
      <c r="DC45" s="22">
        <v>13.52</v>
      </c>
      <c r="DD45" s="170">
        <f>AVERAGE(DC43:DC45)</f>
        <v>13.523333333333332</v>
      </c>
      <c r="DE45" s="170">
        <f>STDEV(DC43:DC45)</f>
        <v>0.26501572280401242</v>
      </c>
      <c r="DF45" s="22">
        <v>0.27</v>
      </c>
      <c r="DG45" s="170">
        <f>AVERAGE(DF43:DF45)</f>
        <v>0.25</v>
      </c>
      <c r="DH45" s="93">
        <f>STDEV(DF43:DF45)</f>
        <v>2.0000000000000004E-2</v>
      </c>
      <c r="DI45" s="22">
        <v>0.185</v>
      </c>
      <c r="DJ45" s="93">
        <f>AVERAGE(DI43:DI45)</f>
        <v>0.19133333333333336</v>
      </c>
      <c r="DK45" s="94">
        <f>STDEV(DI43:DI45)</f>
        <v>2.0256686138984663E-2</v>
      </c>
      <c r="DL45" s="22">
        <v>2.036</v>
      </c>
      <c r="DM45" s="93">
        <f>AVERAGE(DL43:DL44)</f>
        <v>1.4295</v>
      </c>
      <c r="DN45" s="94">
        <f>STDEV(DL43:DL44)</f>
        <v>0.21991020894901686</v>
      </c>
      <c r="DO45" s="22">
        <v>2.1999999999999999E-2</v>
      </c>
      <c r="DP45" s="93">
        <f>AVERAGE(DO43:DO45)</f>
        <v>2.1666666666666667E-2</v>
      </c>
      <c r="DQ45" s="94">
        <f>STDEV(DO43:DO45)</f>
        <v>2.5166114784235835E-3</v>
      </c>
      <c r="DR45" s="22"/>
      <c r="DS45" s="152"/>
      <c r="DT45" s="151"/>
      <c r="DU45" s="123">
        <v>200</v>
      </c>
      <c r="DV45" s="50">
        <v>3.9086666666666665</v>
      </c>
      <c r="DW45" s="50">
        <v>0.1085096001897219</v>
      </c>
      <c r="DX45" s="50">
        <v>4.12</v>
      </c>
      <c r="DY45" s="50">
        <v>0.13045688943095293</v>
      </c>
      <c r="DZ45" s="50">
        <v>4.2683333333333335</v>
      </c>
      <c r="EA45" s="50">
        <v>7.0237691685686044E-3</v>
      </c>
      <c r="EB45" s="50">
        <v>4.0296666666666665</v>
      </c>
      <c r="EC45" s="50">
        <v>0.13661747082029205</v>
      </c>
      <c r="ED45" s="50">
        <v>4.1819999999999995</v>
      </c>
      <c r="EE45" s="50">
        <v>5.0921508225896063E-2</v>
      </c>
      <c r="EF45" s="50">
        <v>4.0716666666666663</v>
      </c>
      <c r="EG45" s="50">
        <v>0.13387431917038192</v>
      </c>
      <c r="EH45" s="136"/>
      <c r="EI45" s="137"/>
      <c r="EJ45" s="137"/>
      <c r="EK45" s="138"/>
      <c r="EL45" s="163"/>
      <c r="EM45" s="163"/>
      <c r="EN45" s="163"/>
      <c r="EO45" s="176"/>
    </row>
    <row r="46" spans="1:145" s="1" customFormat="1" ht="16">
      <c r="A46" s="25"/>
      <c r="B46" s="74"/>
      <c r="C46" s="75"/>
      <c r="D46" s="76"/>
      <c r="E46" s="76">
        <v>30</v>
      </c>
      <c r="F46" s="76"/>
      <c r="G46" s="77"/>
      <c r="H46" s="67">
        <v>1.036</v>
      </c>
      <c r="I46" s="25"/>
      <c r="J46" s="25"/>
      <c r="K46" s="67">
        <v>0.23899999999999999</v>
      </c>
      <c r="L46" s="25"/>
      <c r="M46" s="25"/>
      <c r="N46" s="114">
        <v>2.3009999999999999E-2</v>
      </c>
      <c r="O46" s="25"/>
      <c r="P46" s="25"/>
      <c r="Q46" s="78">
        <v>10.032</v>
      </c>
      <c r="R46" s="25"/>
      <c r="S46" s="25"/>
      <c r="T46" s="67">
        <v>1114.0999999999999</v>
      </c>
      <c r="U46" s="25"/>
      <c r="V46" s="25"/>
      <c r="W46" s="25"/>
      <c r="X46" s="25"/>
      <c r="Y46" s="25"/>
      <c r="Z46" s="67">
        <v>611.4</v>
      </c>
      <c r="AA46" s="25"/>
      <c r="AB46" s="25"/>
      <c r="AC46" s="25"/>
      <c r="AD46" s="25"/>
      <c r="AE46" s="25"/>
      <c r="AF46" s="67">
        <v>325.8</v>
      </c>
      <c r="AG46" s="25"/>
      <c r="AH46" s="88"/>
      <c r="AI46" s="25"/>
      <c r="AJ46" s="25"/>
      <c r="AK46" s="25"/>
      <c r="AL46" s="67">
        <f t="shared" si="13"/>
        <v>0</v>
      </c>
      <c r="AM46" s="67"/>
      <c r="AR46" s="1">
        <f>AVERAGE(AR40:AR44)</f>
        <v>3.6717486314484418E-2</v>
      </c>
      <c r="AS46" s="1">
        <f t="shared" si="47"/>
        <v>0</v>
      </c>
      <c r="AT46" s="1">
        <f t="shared" si="48"/>
        <v>0</v>
      </c>
      <c r="CE46" s="1">
        <v>2.5</v>
      </c>
      <c r="CF46" s="1">
        <v>250</v>
      </c>
      <c r="CG46" s="1">
        <f t="shared" si="34"/>
        <v>12.128304598353841</v>
      </c>
      <c r="CH46" s="1">
        <f t="shared" si="35"/>
        <v>3.7181282649995375</v>
      </c>
      <c r="CI46" s="1">
        <f t="shared" si="36"/>
        <v>243.60350982590288</v>
      </c>
      <c r="CR46" s="53"/>
      <c r="CS46" s="24" t="s">
        <v>95</v>
      </c>
      <c r="CT46" s="22">
        <v>492.1</v>
      </c>
      <c r="CU46" s="22"/>
      <c r="CV46" s="22"/>
      <c r="CW46" s="22">
        <v>281.7</v>
      </c>
      <c r="CX46" s="22"/>
      <c r="CY46" s="22"/>
      <c r="CZ46" s="22">
        <v>77.8</v>
      </c>
      <c r="DA46" s="22"/>
      <c r="DB46" s="22"/>
      <c r="DC46" s="22">
        <v>14.14</v>
      </c>
      <c r="DD46" s="22"/>
      <c r="DE46" s="22"/>
      <c r="DF46" s="22">
        <v>0.21</v>
      </c>
      <c r="DG46" s="22"/>
      <c r="DH46" s="22"/>
      <c r="DI46" s="22">
        <v>0.182</v>
      </c>
      <c r="DJ46" s="22"/>
      <c r="DK46" s="22"/>
      <c r="DL46" s="22">
        <v>1.1759999999999999</v>
      </c>
      <c r="DM46" s="22"/>
      <c r="DN46" s="22"/>
      <c r="DO46" s="22">
        <v>1.6E-2</v>
      </c>
      <c r="DP46" s="22"/>
      <c r="DQ46" s="22"/>
      <c r="DR46" s="22"/>
      <c r="DS46" s="152"/>
      <c r="DT46" s="151"/>
      <c r="DU46" s="123">
        <v>300</v>
      </c>
      <c r="DV46" s="50">
        <v>3.8325</v>
      </c>
      <c r="DW46" s="50">
        <v>0.10677312395916853</v>
      </c>
      <c r="DX46" s="50">
        <v>3.7395</v>
      </c>
      <c r="DY46" s="50">
        <v>0.11101576464628798</v>
      </c>
      <c r="DZ46" s="50">
        <v>3.2925</v>
      </c>
      <c r="EA46" s="50">
        <v>1.4849242404917433E-2</v>
      </c>
      <c r="EB46" s="50">
        <v>3.0976666666666666</v>
      </c>
      <c r="EC46" s="50">
        <v>0.10775125675987882</v>
      </c>
      <c r="ED46" s="50">
        <v>2.7326666666666668</v>
      </c>
      <c r="EE46" s="50">
        <v>8.4559643644786991E-2</v>
      </c>
      <c r="EF46" s="50">
        <v>1.3634999999999999</v>
      </c>
      <c r="EG46" s="50">
        <v>6.8589357775095089E-2</v>
      </c>
      <c r="EH46" s="136"/>
      <c r="EI46" s="137"/>
      <c r="EJ46" s="137"/>
      <c r="EK46" s="138"/>
      <c r="EL46" s="163"/>
      <c r="EM46" s="163"/>
      <c r="EN46" s="163"/>
    </row>
    <row r="47" spans="1:145" s="1" customFormat="1" ht="19">
      <c r="A47" s="25"/>
      <c r="B47" s="74"/>
      <c r="C47" s="75"/>
      <c r="D47" s="76"/>
      <c r="E47" s="76">
        <v>30</v>
      </c>
      <c r="F47" s="76"/>
      <c r="G47" s="77"/>
      <c r="H47" s="67">
        <v>1.042</v>
      </c>
      <c r="I47" s="67">
        <f>AVERAGE(H45:H47)</f>
        <v>1.042</v>
      </c>
      <c r="J47" s="67">
        <f>STDEV(H45:H47)</f>
        <v>6.0000000000000053E-3</v>
      </c>
      <c r="K47" s="67">
        <v>0.23400000000000001</v>
      </c>
      <c r="L47" s="67">
        <f>AVERAGE(K46:K47)</f>
        <v>0.23649999999999999</v>
      </c>
      <c r="M47" s="25">
        <f>STDEV(K46:K47)</f>
        <v>3.5355339059327212E-3</v>
      </c>
      <c r="N47" s="114">
        <v>2.2870000000000001E-2</v>
      </c>
      <c r="O47" s="67">
        <f>AVERAGE(N45:N47)</f>
        <v>2.2823333333333334E-2</v>
      </c>
      <c r="P47" s="67">
        <f>STDEV(N45:N47)</f>
        <v>2.1385353243127291E-4</v>
      </c>
      <c r="Q47" s="78">
        <v>10.114000000000001</v>
      </c>
      <c r="R47" s="86">
        <f>AVERAGE(Q45:Q47)</f>
        <v>10.134</v>
      </c>
      <c r="S47" s="67">
        <f>STDEV(Q45:Q47)</f>
        <v>0.11333137253205755</v>
      </c>
      <c r="T47" s="67">
        <v>1139.5999999999999</v>
      </c>
      <c r="U47" s="67">
        <f>AVERAGE(T45:T47)</f>
        <v>1140.9999999999998</v>
      </c>
      <c r="V47" s="67">
        <f>STDEV(T45:T47)</f>
        <v>27.626617599699049</v>
      </c>
      <c r="W47" s="67"/>
      <c r="X47" s="67"/>
      <c r="Y47" s="67"/>
      <c r="Z47" s="67">
        <v>625.79999999999995</v>
      </c>
      <c r="AA47" s="67">
        <f>AVERAGE(Z45:Z47)</f>
        <v>624.36666666666667</v>
      </c>
      <c r="AB47" s="67">
        <f>STDEV(Z45:Z47)</f>
        <v>12.312730539296849</v>
      </c>
      <c r="AC47" s="67"/>
      <c r="AD47" s="67"/>
      <c r="AE47" s="67"/>
      <c r="AF47" s="67">
        <v>347.6</v>
      </c>
      <c r="AG47" s="25">
        <f>AVERAGE(AF46:AF47)</f>
        <v>336.70000000000005</v>
      </c>
      <c r="AH47" s="88">
        <f>STDEV(AF46:AF47)</f>
        <v>15.414927829866743</v>
      </c>
      <c r="AI47" s="25"/>
      <c r="AJ47" s="25"/>
      <c r="AK47" s="25"/>
      <c r="AL47" s="67">
        <f t="shared" si="13"/>
        <v>1765.3666666666663</v>
      </c>
      <c r="AM47" s="67">
        <f t="shared" si="20"/>
        <v>0.54721004966403752</v>
      </c>
      <c r="AS47" s="1">
        <f t="shared" si="47"/>
        <v>0</v>
      </c>
      <c r="AT47" s="1">
        <f t="shared" si="48"/>
        <v>0</v>
      </c>
      <c r="CE47" s="1">
        <v>2.6</v>
      </c>
      <c r="CF47" s="1">
        <v>260</v>
      </c>
      <c r="CG47" s="1">
        <f t="shared" si="34"/>
        <v>9.9298159573693887</v>
      </c>
      <c r="CH47" s="1">
        <f t="shared" si="35"/>
        <v>2.7544571655433607</v>
      </c>
      <c r="CI47" s="1">
        <f t="shared" si="36"/>
        <v>224.87438195744835</v>
      </c>
      <c r="CR47" s="53"/>
      <c r="CS47" s="24"/>
      <c r="CT47" s="22">
        <v>586.1</v>
      </c>
      <c r="CU47" s="22"/>
      <c r="CV47" s="22"/>
      <c r="CW47" s="22">
        <v>315.39999999999998</v>
      </c>
      <c r="CX47" s="22"/>
      <c r="CY47" s="22"/>
      <c r="CZ47" s="22">
        <v>92.3</v>
      </c>
      <c r="DA47" s="22"/>
      <c r="DB47" s="22"/>
      <c r="DC47" s="22">
        <v>14.92</v>
      </c>
      <c r="DD47" s="22"/>
      <c r="DE47" s="22"/>
      <c r="DF47" s="22">
        <v>0.2</v>
      </c>
      <c r="DG47" s="22"/>
      <c r="DH47" s="22"/>
      <c r="DI47" s="22">
        <v>0.186</v>
      </c>
      <c r="DJ47" s="22"/>
      <c r="DK47" s="22"/>
      <c r="DL47" s="22">
        <v>1.194</v>
      </c>
      <c r="DM47" s="22"/>
      <c r="DN47" s="22"/>
      <c r="DO47" s="22">
        <v>2.1999999999999999E-2</v>
      </c>
      <c r="DP47" s="22"/>
      <c r="DQ47" s="22"/>
      <c r="DR47" s="22"/>
      <c r="DS47" s="177" t="s">
        <v>110</v>
      </c>
      <c r="DT47" s="162"/>
      <c r="DU47" s="150"/>
      <c r="DV47" s="50"/>
      <c r="DW47" s="150"/>
      <c r="DX47" s="50"/>
      <c r="DY47" s="50"/>
      <c r="DZ47" s="50"/>
      <c r="EA47" s="50"/>
      <c r="EB47" s="50"/>
      <c r="EC47" s="150"/>
      <c r="ED47" s="50"/>
      <c r="EE47" s="150"/>
      <c r="EF47" s="50"/>
      <c r="EG47" s="150"/>
      <c r="EH47" s="136"/>
      <c r="EI47" s="137"/>
      <c r="EJ47" s="137"/>
      <c r="EK47" s="138"/>
      <c r="EL47" s="163"/>
      <c r="EM47" s="163"/>
      <c r="EN47" s="163"/>
    </row>
    <row r="48" spans="1:145" s="1" customFormat="1" ht="16">
      <c r="A48" s="25"/>
      <c r="B48" s="74"/>
      <c r="C48" s="75"/>
      <c r="D48" s="76">
        <v>155</v>
      </c>
      <c r="E48" s="76">
        <v>0</v>
      </c>
      <c r="F48" s="76"/>
      <c r="G48" s="77" t="s">
        <v>13</v>
      </c>
      <c r="H48" s="67">
        <v>0.65800000000000003</v>
      </c>
      <c r="I48" s="25"/>
      <c r="J48" s="25"/>
      <c r="K48" s="67">
        <v>0.20599999999999999</v>
      </c>
      <c r="L48" s="25"/>
      <c r="M48" s="25"/>
      <c r="N48" s="114">
        <v>2.1499999999999998E-2</v>
      </c>
      <c r="O48" s="25"/>
      <c r="P48" s="67">
        <f t="shared" ref="P48:P49" si="55">STDEV(N46:N48)</f>
        <v>8.3432607534464711E-4</v>
      </c>
      <c r="Q48" s="78">
        <v>8.2690000000000001</v>
      </c>
      <c r="R48" s="25"/>
      <c r="S48" s="25"/>
      <c r="T48" s="67">
        <v>958.3</v>
      </c>
      <c r="U48" s="25"/>
      <c r="V48" s="25"/>
      <c r="W48" s="25"/>
      <c r="X48" s="25"/>
      <c r="Y48" s="25"/>
      <c r="Z48" s="67">
        <v>301.2</v>
      </c>
      <c r="AA48" s="25"/>
      <c r="AB48" s="25"/>
      <c r="AC48" s="25"/>
      <c r="AD48" s="25"/>
      <c r="AE48" s="25"/>
      <c r="AF48" s="67">
        <v>226.3</v>
      </c>
      <c r="AG48" s="25"/>
      <c r="AH48" s="88"/>
      <c r="AI48" s="25"/>
      <c r="AJ48" s="25"/>
      <c r="AK48" s="25"/>
      <c r="AL48" s="67">
        <f t="shared" si="13"/>
        <v>0</v>
      </c>
      <c r="AM48" s="67"/>
      <c r="AQ48" s="1" t="s">
        <v>39</v>
      </c>
      <c r="AR48" s="1">
        <f>LN(AQ14/AR14)/10</f>
        <v>6.323469815329813E-2</v>
      </c>
      <c r="AS48" s="1">
        <f>AR14*EXP(-$AR$54*122)</f>
        <v>2.7921698869149663</v>
      </c>
      <c r="AT48" s="1">
        <f>AR14*EXP(-AR48*122)</f>
        <v>0.15886469024024982</v>
      </c>
      <c r="AU48" s="1">
        <f>AR14*EXP(-$AR$54*135)</f>
        <v>1.6656525430470421</v>
      </c>
      <c r="AV48" s="1">
        <f>AR14*EXP(-AR48*135)</f>
        <v>6.98256736265081E-2</v>
      </c>
      <c r="AW48" s="1">
        <f>AR14*EXP(-$AR$54*100)</f>
        <v>6.6930433541069467</v>
      </c>
      <c r="AX48" s="1">
        <f>AR14*EXP(-AR48*100)</f>
        <v>0.63856035325399985</v>
      </c>
      <c r="AY48" s="1">
        <f>AR14*EXP(-$AR$54*10)</f>
        <v>239.25849247218355</v>
      </c>
      <c r="CE48" s="1">
        <v>2.7</v>
      </c>
      <c r="CF48" s="1">
        <v>270</v>
      </c>
      <c r="CG48" s="1">
        <f t="shared" si="34"/>
        <v>8.1298456967027981</v>
      </c>
      <c r="CH48" s="1">
        <f t="shared" si="35"/>
        <v>2.0405520563218409</v>
      </c>
      <c r="CI48" s="1">
        <f t="shared" si="36"/>
        <v>207.58521786851253</v>
      </c>
      <c r="CR48" s="53"/>
      <c r="CS48" s="24"/>
      <c r="CT48" s="22">
        <v>543.6</v>
      </c>
      <c r="CU48" s="127">
        <f>AVERAGE(CT46:CT48)</f>
        <v>540.6</v>
      </c>
      <c r="CV48" s="127">
        <f>STDEV(CT46:CT48)</f>
        <v>47.071753738308921</v>
      </c>
      <c r="CW48" s="22">
        <v>301.2</v>
      </c>
      <c r="CX48" s="127">
        <f>AVERAGE(CW46:CW48)</f>
        <v>299.43333333333334</v>
      </c>
      <c r="CY48" s="127">
        <f>STDEV(CW46:CW48)</f>
        <v>16.919318347183292</v>
      </c>
      <c r="CZ48" s="22">
        <v>104.8</v>
      </c>
      <c r="DA48" s="127">
        <f>AVERAGE(CZ46:CZ48)</f>
        <v>91.633333333333326</v>
      </c>
      <c r="DB48" s="127">
        <f>STDEV(CZ46:CZ48)</f>
        <v>13.512340039139554</v>
      </c>
      <c r="DC48" s="22">
        <v>14.62</v>
      </c>
      <c r="DD48" s="22">
        <f>AVERAGE(DC46:DC48)</f>
        <v>14.56</v>
      </c>
      <c r="DE48" s="170">
        <f>STDEV(DC46:DC48)</f>
        <v>0.39344631145811965</v>
      </c>
      <c r="DF48" s="22">
        <v>0.22</v>
      </c>
      <c r="DG48" s="170">
        <f>AVERAGE(DF46:DF48)</f>
        <v>0.21</v>
      </c>
      <c r="DH48" s="93">
        <f>STDEV(DF46:DF48)</f>
        <v>9.999999999999995E-3</v>
      </c>
      <c r="DI48" s="22">
        <v>9.6000000000000002E-2</v>
      </c>
      <c r="DJ48" s="22">
        <f>AVERAGE(DI46:DI47)</f>
        <v>0.184</v>
      </c>
      <c r="DK48" s="94">
        <f>STDEV(DI46:DI47)</f>
        <v>2.8284271247461927E-3</v>
      </c>
      <c r="DL48" s="22">
        <v>1.1850000000000001</v>
      </c>
      <c r="DM48" s="22">
        <f>AVERAGE(DL46:DL48)</f>
        <v>1.1850000000000001</v>
      </c>
      <c r="DN48" s="94">
        <f>STDEV(DL46:DL48)</f>
        <v>9.000000000000008E-3</v>
      </c>
      <c r="DO48" s="22">
        <v>6.5000000000000002E-2</v>
      </c>
      <c r="DP48" s="22">
        <f>AVERAGE(DO46:DO47)</f>
        <v>1.9E-2</v>
      </c>
      <c r="DQ48" s="94">
        <f>STDEV(DO46:DO47)</f>
        <v>4.242640687119284E-3</v>
      </c>
      <c r="DR48" s="22"/>
      <c r="DS48" s="89" t="s">
        <v>120</v>
      </c>
      <c r="DT48" s="151"/>
      <c r="DU48" s="123">
        <v>50</v>
      </c>
      <c r="DV48" s="50">
        <v>0.48949999999999999</v>
      </c>
      <c r="DW48" s="50">
        <v>1.2020815280171319E-2</v>
      </c>
      <c r="DX48" s="50">
        <v>0.45033333333333331</v>
      </c>
      <c r="DY48" s="50">
        <v>5.131601439446889E-3</v>
      </c>
      <c r="DZ48" s="50">
        <v>0.41033333333333338</v>
      </c>
      <c r="EA48" s="50">
        <v>7.02376916856847E-3</v>
      </c>
      <c r="EB48" s="50">
        <v>0.39033333333333337</v>
      </c>
      <c r="EC48" s="50">
        <v>7.0945988845975937E-3</v>
      </c>
      <c r="ED48" s="50">
        <v>0.31</v>
      </c>
      <c r="EE48" s="50">
        <v>3.2419130154894629E-2</v>
      </c>
      <c r="EF48" s="50">
        <v>0.25</v>
      </c>
      <c r="EG48" s="50">
        <v>2.0074859899884737E-2</v>
      </c>
      <c r="EH48" s="136"/>
      <c r="EI48" s="137"/>
      <c r="EJ48" s="137"/>
      <c r="EK48" s="138"/>
      <c r="EL48" s="163"/>
      <c r="EO48" s="176"/>
    </row>
    <row r="49" spans="1:145" s="1" customFormat="1" ht="16">
      <c r="A49" s="25"/>
      <c r="B49" s="74"/>
      <c r="C49" s="75"/>
      <c r="D49" s="76"/>
      <c r="E49" s="76">
        <v>0</v>
      </c>
      <c r="F49" s="76"/>
      <c r="G49" s="77"/>
      <c r="H49" s="67">
        <v>0.64700000000000002</v>
      </c>
      <c r="I49" s="25"/>
      <c r="J49" s="25"/>
      <c r="K49" s="67">
        <v>0.214</v>
      </c>
      <c r="L49" s="25"/>
      <c r="M49" s="25"/>
      <c r="N49" s="114">
        <v>2.1899999999999999E-2</v>
      </c>
      <c r="O49" s="25"/>
      <c r="P49" s="67">
        <f t="shared" si="55"/>
        <v>7.044856279584433E-4</v>
      </c>
      <c r="Q49" s="78">
        <v>8.4649999999999999</v>
      </c>
      <c r="R49" s="25"/>
      <c r="S49" s="25"/>
      <c r="T49" s="67">
        <v>905.2</v>
      </c>
      <c r="U49" s="25"/>
      <c r="V49" s="25"/>
      <c r="W49" s="25"/>
      <c r="X49" s="25"/>
      <c r="Y49" s="25"/>
      <c r="Z49" s="67">
        <v>330.9</v>
      </c>
      <c r="AA49" s="25"/>
      <c r="AB49" s="25"/>
      <c r="AC49" s="25"/>
      <c r="AD49" s="25"/>
      <c r="AE49" s="25"/>
      <c r="AF49" s="67">
        <v>202.9</v>
      </c>
      <c r="AG49" s="25"/>
      <c r="AH49" s="88"/>
      <c r="AI49" s="25"/>
      <c r="AJ49" s="25"/>
      <c r="AK49" s="25"/>
      <c r="AL49" s="67">
        <f t="shared" si="13"/>
        <v>0</v>
      </c>
      <c r="AM49" s="67"/>
      <c r="AR49" s="1">
        <f>LN(AQ15/AR15)/10</f>
        <v>3.6915488405157133E-2</v>
      </c>
      <c r="AS49" s="1">
        <f t="shared" ref="AS49:AS52" si="56">AR15*EXP(-$AR$54*122)</f>
        <v>5.0588471265734638</v>
      </c>
      <c r="AT49" s="1">
        <f t="shared" ref="AT49:AT52" si="57">AR15*EXP(-AR49*122)</f>
        <v>7.1389144813338037</v>
      </c>
      <c r="AU49" s="1">
        <f t="shared" ref="AU49:AU52" si="58">AR15*EXP(-$AR$54*135)</f>
        <v>3.0178255344532086</v>
      </c>
      <c r="AV49" s="1">
        <f t="shared" ref="AV49:AV52" si="59">AR15*EXP(-AR49*135)</f>
        <v>4.4178775219327493</v>
      </c>
      <c r="AW49" s="1">
        <f t="shared" ref="AW49:AW52" si="60">AR15*EXP(-$AR$54*100)</f>
        <v>12.126440908424103</v>
      </c>
      <c r="AX49" s="1">
        <f t="shared" ref="AX49:AX52" si="61">AR15*EXP(-AR49*100)</f>
        <v>16.082013543527964</v>
      </c>
      <c r="AY49" s="1">
        <f t="shared" ref="AY49:AY52" si="62">AR15*EXP(-$AR$54*10)</f>
        <v>433.48799900156848</v>
      </c>
      <c r="CE49" s="1">
        <v>2.8000000000000003</v>
      </c>
      <c r="CF49" s="1">
        <v>280</v>
      </c>
      <c r="CG49" s="1">
        <f t="shared" si="34"/>
        <v>6.6561546896692718</v>
      </c>
      <c r="CH49" s="1">
        <f t="shared" si="35"/>
        <v>1.5116781435727671</v>
      </c>
      <c r="CI49" s="1">
        <f t="shared" si="36"/>
        <v>191.62530788265505</v>
      </c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152"/>
      <c r="DT49" s="151"/>
      <c r="DU49" s="123">
        <v>100</v>
      </c>
      <c r="DV49" s="50">
        <v>0.63366666666666671</v>
      </c>
      <c r="DW49" s="50">
        <v>9.7125348562223188E-3</v>
      </c>
      <c r="DX49" s="50">
        <v>0.52966666666666673</v>
      </c>
      <c r="DY49" s="50">
        <v>1.9756855350316609E-2</v>
      </c>
      <c r="DZ49" s="50">
        <v>0.45500000000000002</v>
      </c>
      <c r="EA49" s="50">
        <v>9.8994949366116736E-3</v>
      </c>
      <c r="EB49" s="50">
        <v>0.45966666666666667</v>
      </c>
      <c r="EC49" s="50">
        <v>1.3613718571108073E-2</v>
      </c>
      <c r="ED49" s="50">
        <v>0.47400000000000003</v>
      </c>
      <c r="EE49" s="50">
        <v>3.4828149534535995E-2</v>
      </c>
      <c r="EF49" s="50">
        <v>0.33599999999999997</v>
      </c>
      <c r="EG49" s="50">
        <v>3.1112698372208078E-2</v>
      </c>
      <c r="EH49" s="136"/>
      <c r="EI49" s="137"/>
      <c r="EJ49" s="137"/>
      <c r="EK49" s="138"/>
      <c r="EL49" s="176"/>
      <c r="EM49" s="176"/>
      <c r="EN49" s="176"/>
      <c r="EO49" s="176"/>
    </row>
    <row r="50" spans="1:145" s="1" customFormat="1" ht="21" customHeight="1">
      <c r="A50" s="25"/>
      <c r="B50" s="74"/>
      <c r="C50" s="75"/>
      <c r="D50" s="25"/>
      <c r="E50" s="76">
        <v>0</v>
      </c>
      <c r="F50" s="76"/>
      <c r="G50" s="178"/>
      <c r="H50" s="67">
        <v>0.66300000000000003</v>
      </c>
      <c r="I50" s="67">
        <f>AVERAGE(H48:H50)</f>
        <v>0.65600000000000003</v>
      </c>
      <c r="J50" s="67">
        <f>STDEV(H48:H50)</f>
        <v>8.1853527718724565E-3</v>
      </c>
      <c r="K50" s="67">
        <v>0.20100000000000001</v>
      </c>
      <c r="L50" s="67">
        <f>AVERAGE(K48:K50)</f>
        <v>0.20699999999999999</v>
      </c>
      <c r="M50" s="67">
        <f>STDEV(K48:K50)</f>
        <v>6.5574385243019938E-3</v>
      </c>
      <c r="N50" s="114">
        <v>2.2499999999999999E-2</v>
      </c>
      <c r="O50" s="67">
        <f>AVERAGE(N48:N50)</f>
        <v>2.1966666666666662E-2</v>
      </c>
      <c r="P50" s="67">
        <f>STDEV(N48:N50)</f>
        <v>5.0332229568471711E-4</v>
      </c>
      <c r="Q50" s="78">
        <v>7.0209999999999999</v>
      </c>
      <c r="R50" s="86">
        <f>AVERAGE(Q48:Q49)</f>
        <v>8.3670000000000009</v>
      </c>
      <c r="S50" s="67">
        <f>STDEV(Q48:Q49)</f>
        <v>0.13859292911256313</v>
      </c>
      <c r="T50" s="67">
        <v>1341.2</v>
      </c>
      <c r="U50" s="25">
        <f>AVERAGE(T48:T49)</f>
        <v>931.75</v>
      </c>
      <c r="V50" s="25">
        <f>STDEV(T48:T49)</f>
        <v>37.54737008100561</v>
      </c>
      <c r="W50" s="25"/>
      <c r="X50" s="25"/>
      <c r="Y50" s="25"/>
      <c r="Z50" s="67">
        <v>314.10000000000002</v>
      </c>
      <c r="AA50" s="67">
        <f>AVERAGE(Z48:Z50)</f>
        <v>315.39999999999998</v>
      </c>
      <c r="AB50" s="67">
        <f>STDEV(Z48:Z50)</f>
        <v>14.892615619829842</v>
      </c>
      <c r="AC50" s="67"/>
      <c r="AD50" s="67"/>
      <c r="AE50" s="67"/>
      <c r="AF50" s="67">
        <v>214.1</v>
      </c>
      <c r="AG50" s="67">
        <f>AVERAGE(AF48:AF50)</f>
        <v>214.43333333333337</v>
      </c>
      <c r="AH50" s="68">
        <f>STDEV(AF48:AF50)</f>
        <v>11.703560711737834</v>
      </c>
      <c r="AI50" s="67"/>
      <c r="AJ50" s="67"/>
      <c r="AK50" s="67"/>
      <c r="AL50" s="67">
        <f t="shared" si="13"/>
        <v>1247.1500000000001</v>
      </c>
      <c r="AM50" s="67">
        <f t="shared" si="20"/>
        <v>0.33850281727931308</v>
      </c>
      <c r="AR50" s="1">
        <f>LN(AQ16/(AR16-400))/10</f>
        <v>3.2622400368396448E-2</v>
      </c>
      <c r="AS50" s="1">
        <f t="shared" si="56"/>
        <v>12.917707313901543</v>
      </c>
      <c r="AT50" s="1">
        <f t="shared" si="57"/>
        <v>30.777314772133405</v>
      </c>
      <c r="AU50" s="1">
        <f t="shared" si="58"/>
        <v>7.7059824112316813</v>
      </c>
      <c r="AV50" s="1">
        <f t="shared" si="59"/>
        <v>20.139572898644349</v>
      </c>
      <c r="AW50" s="1">
        <f t="shared" si="60"/>
        <v>30.964725854534102</v>
      </c>
      <c r="AX50" s="1">
        <f t="shared" si="61"/>
        <v>63.084222164114159</v>
      </c>
      <c r="AY50" s="1">
        <f t="shared" si="62"/>
        <v>1106.9065648923772</v>
      </c>
      <c r="CE50" s="1">
        <v>2.9</v>
      </c>
      <c r="CF50" s="1">
        <v>290</v>
      </c>
      <c r="CG50" s="1">
        <f t="shared" si="34"/>
        <v>5.4495985416764672</v>
      </c>
      <c r="CH50" s="1">
        <f t="shared" si="35"/>
        <v>1.1198787125650198</v>
      </c>
      <c r="CI50" s="1">
        <f t="shared" si="36"/>
        <v>176.89245408785078</v>
      </c>
      <c r="CR50" s="131" t="s">
        <v>78</v>
      </c>
      <c r="CS50" s="132" t="s">
        <v>97</v>
      </c>
      <c r="CT50" s="133" t="s">
        <v>98</v>
      </c>
      <c r="CU50" s="133"/>
      <c r="CV50" s="133" t="s">
        <v>99</v>
      </c>
      <c r="CW50" s="133"/>
      <c r="CX50" s="133" t="s">
        <v>100</v>
      </c>
      <c r="CY50" s="133"/>
      <c r="CZ50" s="133" t="s">
        <v>101</v>
      </c>
      <c r="DA50" s="133"/>
      <c r="DB50" s="133" t="s">
        <v>102</v>
      </c>
      <c r="DC50" s="133"/>
      <c r="DD50" s="134" t="s">
        <v>103</v>
      </c>
      <c r="DE50" s="135"/>
      <c r="DF50" s="134" t="s">
        <v>104</v>
      </c>
      <c r="DG50" s="135"/>
      <c r="DH50" s="134" t="s">
        <v>105</v>
      </c>
      <c r="DI50" s="135"/>
      <c r="DJ50" s="22"/>
      <c r="DK50" s="22"/>
      <c r="DL50" s="22"/>
      <c r="DM50" s="22"/>
      <c r="DN50" s="22"/>
      <c r="DO50" s="22"/>
      <c r="DP50" s="22"/>
      <c r="DQ50" s="22"/>
      <c r="DR50" s="22"/>
      <c r="DS50" s="152"/>
      <c r="DT50" s="151"/>
      <c r="DU50" s="123">
        <v>200</v>
      </c>
      <c r="DV50" s="50">
        <v>0.71766666666666667</v>
      </c>
      <c r="DW50" s="50">
        <v>1.8230011885167104E-2</v>
      </c>
      <c r="DX50" s="50">
        <v>0.621</v>
      </c>
      <c r="DY50" s="50">
        <v>4.2426406871192892E-3</v>
      </c>
      <c r="DZ50" s="50">
        <v>0.64966666666666673</v>
      </c>
      <c r="EA50" s="50">
        <v>3.3246553706111182E-2</v>
      </c>
      <c r="EB50" s="50">
        <v>0.6</v>
      </c>
      <c r="EC50" s="50">
        <v>5.5677643628300267E-3</v>
      </c>
      <c r="ED50" s="50">
        <v>0.42099999999999999</v>
      </c>
      <c r="EE50" s="50">
        <v>7.5498344352707561E-3</v>
      </c>
      <c r="EF50" s="50">
        <v>0.32200000000000001</v>
      </c>
      <c r="EG50" s="50">
        <v>4.5825756949558439E-3</v>
      </c>
      <c r="EH50" s="136"/>
      <c r="EI50" s="137"/>
      <c r="EJ50" s="137"/>
      <c r="EK50" s="138"/>
      <c r="EL50" s="176"/>
      <c r="EM50" s="176"/>
      <c r="EN50" s="176"/>
      <c r="EO50" s="179"/>
    </row>
    <row r="51" spans="1:145" s="1" customFormat="1" ht="19">
      <c r="A51" s="25"/>
      <c r="B51" s="74" t="s">
        <v>6</v>
      </c>
      <c r="C51" s="75" t="s">
        <v>42</v>
      </c>
      <c r="D51" s="76"/>
      <c r="E51" s="76">
        <v>0</v>
      </c>
      <c r="F51" s="76">
        <v>6</v>
      </c>
      <c r="G51" s="77" t="s">
        <v>14</v>
      </c>
      <c r="H51" s="67">
        <v>0.79900000000000004</v>
      </c>
      <c r="I51" s="25"/>
      <c r="J51" s="25"/>
      <c r="K51" s="67">
        <v>0.19819999999999999</v>
      </c>
      <c r="L51" s="25"/>
      <c r="M51" s="25"/>
      <c r="N51" s="67">
        <v>1.8700000000000001E-2</v>
      </c>
      <c r="O51" s="25"/>
      <c r="P51" s="25"/>
      <c r="Q51" s="78">
        <v>7.6580000000000004</v>
      </c>
      <c r="R51" s="25"/>
      <c r="S51" s="25"/>
      <c r="T51" s="67">
        <v>997.2</v>
      </c>
      <c r="U51" s="25"/>
      <c r="V51" s="25"/>
      <c r="W51" s="25"/>
      <c r="X51" s="25"/>
      <c r="Y51" s="25"/>
      <c r="Z51" s="67">
        <v>476.9</v>
      </c>
      <c r="AA51" s="25"/>
      <c r="AB51" s="25"/>
      <c r="AC51" s="25"/>
      <c r="AD51" s="25"/>
      <c r="AE51" s="25"/>
      <c r="AF51" s="67">
        <v>289.2</v>
      </c>
      <c r="AG51" s="25"/>
      <c r="AH51" s="88"/>
      <c r="AI51" s="25"/>
      <c r="AJ51" s="25"/>
      <c r="AK51" s="25"/>
      <c r="AL51" s="67">
        <f t="shared" si="13"/>
        <v>0</v>
      </c>
      <c r="AM51" s="67"/>
      <c r="AR51" s="1">
        <f>LN(AQ17/AR17)/10</f>
        <v>4.0327178120663484E-2</v>
      </c>
      <c r="AS51" s="1">
        <f t="shared" si="56"/>
        <v>8.3529801392259522</v>
      </c>
      <c r="AT51" s="1">
        <f t="shared" si="57"/>
        <v>7.7742294529382132</v>
      </c>
      <c r="AU51" s="1">
        <f t="shared" si="58"/>
        <v>4.9829212313064604</v>
      </c>
      <c r="AV51" s="1">
        <f t="shared" si="59"/>
        <v>4.6023223364762069</v>
      </c>
      <c r="AW51" s="1">
        <f t="shared" si="60"/>
        <v>20.022728011583983</v>
      </c>
      <c r="AX51" s="1">
        <f t="shared" si="61"/>
        <v>18.878283987182815</v>
      </c>
      <c r="AY51" s="1">
        <f t="shared" si="62"/>
        <v>715.75925416538053</v>
      </c>
      <c r="CE51" s="1">
        <v>3</v>
      </c>
      <c r="CF51" s="1">
        <v>300</v>
      </c>
      <c r="CG51" s="1">
        <f t="shared" si="34"/>
        <v>4.4617539179994452</v>
      </c>
      <c r="CH51" s="1">
        <f t="shared" si="35"/>
        <v>0.82962655522175044</v>
      </c>
      <c r="CI51" s="1">
        <f t="shared" si="36"/>
        <v>163.29231592094246</v>
      </c>
      <c r="CR51" s="131"/>
      <c r="CS51" s="139"/>
      <c r="CT51" s="140" t="s">
        <v>91</v>
      </c>
      <c r="CU51" s="140" t="s">
        <v>2</v>
      </c>
      <c r="CV51" s="140" t="s">
        <v>91</v>
      </c>
      <c r="CW51" s="140" t="s">
        <v>2</v>
      </c>
      <c r="CX51" s="141" t="s">
        <v>91</v>
      </c>
      <c r="CY51" s="141" t="s">
        <v>2</v>
      </c>
      <c r="CZ51" s="141" t="s">
        <v>91</v>
      </c>
      <c r="DA51" s="141" t="s">
        <v>2</v>
      </c>
      <c r="DB51" s="141" t="s">
        <v>91</v>
      </c>
      <c r="DC51" s="141" t="s">
        <v>2</v>
      </c>
      <c r="DD51" s="141" t="s">
        <v>91</v>
      </c>
      <c r="DE51" s="141" t="s">
        <v>2</v>
      </c>
      <c r="DF51" s="141" t="s">
        <v>91</v>
      </c>
      <c r="DG51" s="141" t="s">
        <v>2</v>
      </c>
      <c r="DH51" s="141" t="s">
        <v>91</v>
      </c>
      <c r="DI51" s="141" t="s">
        <v>2</v>
      </c>
      <c r="DJ51" s="22"/>
      <c r="DK51" s="22"/>
      <c r="DL51" s="22"/>
      <c r="DM51" s="22"/>
      <c r="DN51" s="22"/>
      <c r="DO51" s="22"/>
      <c r="DP51" s="22"/>
      <c r="DQ51" s="22"/>
      <c r="DR51" s="22"/>
      <c r="DS51" s="152"/>
      <c r="DT51" s="151"/>
      <c r="DU51" s="123">
        <v>300</v>
      </c>
      <c r="DV51" s="50">
        <v>0.44</v>
      </c>
      <c r="DW51" s="50">
        <v>1.5132745950421569E-2</v>
      </c>
      <c r="DX51" s="50">
        <v>0.39033333333333337</v>
      </c>
      <c r="DY51" s="50">
        <v>2.3352373184182658E-2</v>
      </c>
      <c r="DZ51" s="50">
        <v>0.36000000000000004</v>
      </c>
      <c r="EA51" s="50">
        <v>1.1532562594670807E-2</v>
      </c>
      <c r="EB51" s="50">
        <v>0.32</v>
      </c>
      <c r="EC51" s="50">
        <v>1.555634918610406E-2</v>
      </c>
      <c r="ED51" s="50">
        <v>0.20950000000000002</v>
      </c>
      <c r="EE51" s="50">
        <v>9.1923881554251061E-3</v>
      </c>
      <c r="EF51" s="50">
        <v>0.19033333333333333</v>
      </c>
      <c r="EG51" s="50">
        <v>9.0184995056457971E-3</v>
      </c>
      <c r="EH51" s="136"/>
      <c r="EI51" s="137"/>
      <c r="EJ51" s="137"/>
      <c r="EK51" s="138"/>
      <c r="EL51" s="176"/>
      <c r="EM51" s="176"/>
      <c r="EN51" s="176"/>
      <c r="EO51" s="180"/>
    </row>
    <row r="52" spans="1:145" s="1" customFormat="1" ht="19">
      <c r="A52" s="25"/>
      <c r="B52" s="74"/>
      <c r="C52" s="75"/>
      <c r="D52" s="76"/>
      <c r="E52" s="76">
        <v>0</v>
      </c>
      <c r="F52" s="76">
        <v>6</v>
      </c>
      <c r="G52" s="77"/>
      <c r="H52" s="67">
        <v>0.78500000000000003</v>
      </c>
      <c r="I52" s="25"/>
      <c r="J52" s="25"/>
      <c r="K52" s="67">
        <v>0.18959999999999999</v>
      </c>
      <c r="L52" s="25"/>
      <c r="M52" s="25"/>
      <c r="N52" s="67">
        <v>1.9199999999999998E-2</v>
      </c>
      <c r="O52" s="25"/>
      <c r="P52" s="25"/>
      <c r="Q52" s="78">
        <v>8.3409999999999993</v>
      </c>
      <c r="R52" s="25"/>
      <c r="S52" s="25"/>
      <c r="T52" s="67">
        <v>917.2</v>
      </c>
      <c r="U52" s="25"/>
      <c r="V52" s="25"/>
      <c r="W52" s="25"/>
      <c r="X52" s="25"/>
      <c r="Y52" s="25"/>
      <c r="Z52" s="67">
        <v>436.1</v>
      </c>
      <c r="AA52" s="25"/>
      <c r="AB52" s="25"/>
      <c r="AC52" s="25"/>
      <c r="AD52" s="25"/>
      <c r="AE52" s="25"/>
      <c r="AF52" s="67">
        <v>251.3</v>
      </c>
      <c r="AG52" s="25"/>
      <c r="AH52" s="88"/>
      <c r="AI52" s="25"/>
      <c r="AJ52" s="25"/>
      <c r="AK52" s="25"/>
      <c r="AL52" s="67">
        <f t="shared" si="13"/>
        <v>0</v>
      </c>
      <c r="AM52" s="67"/>
      <c r="AR52" s="1">
        <f>LN(AQ18/AR18)/10</f>
        <v>2.5593337413720069E-2</v>
      </c>
      <c r="AS52" s="1">
        <f t="shared" si="56"/>
        <v>0.94118086075785379</v>
      </c>
      <c r="AT52" s="1">
        <f t="shared" si="57"/>
        <v>5.2862260454316221</v>
      </c>
      <c r="AU52" s="1">
        <f t="shared" si="58"/>
        <v>0.56145591338664347</v>
      </c>
      <c r="AV52" s="1">
        <f t="shared" si="59"/>
        <v>3.7900954062473686</v>
      </c>
      <c r="AW52" s="1">
        <f t="shared" si="60"/>
        <v>2.2560820294742516</v>
      </c>
      <c r="AX52" s="1">
        <f t="shared" si="61"/>
        <v>9.2827515066269726</v>
      </c>
      <c r="AY52" s="1">
        <f t="shared" si="62"/>
        <v>80.648930046803443</v>
      </c>
      <c r="CR52" s="131"/>
      <c r="CS52" s="142" t="str">
        <f>CS37</f>
        <v>control</v>
      </c>
      <c r="CT52" s="143">
        <f>CU39</f>
        <v>979.6</v>
      </c>
      <c r="CU52" s="143">
        <f>CV39</f>
        <v>19.755252466116428</v>
      </c>
      <c r="CV52" s="141">
        <f>CX39</f>
        <v>398.79999999999995</v>
      </c>
      <c r="CW52" s="143">
        <f>CY39</f>
        <v>1.2727922061357937</v>
      </c>
      <c r="CX52" s="143">
        <f>DA39</f>
        <v>202.5</v>
      </c>
      <c r="CY52" s="143">
        <f>DB39</f>
        <v>2.905167809266795</v>
      </c>
      <c r="CZ52" s="81">
        <f>DD39</f>
        <v>18.506666666666664</v>
      </c>
      <c r="DA52" s="143">
        <f>DE39</f>
        <v>1.9119187569908236</v>
      </c>
      <c r="DB52" s="144">
        <f>DG39</f>
        <v>0.28000000000000003</v>
      </c>
      <c r="DC52" s="141">
        <f>DH39</f>
        <v>1.999999999999999E-2</v>
      </c>
      <c r="DD52" s="143">
        <f>DJ39</f>
        <v>0.23933333333333331</v>
      </c>
      <c r="DE52" s="143">
        <f>DK39</f>
        <v>1.5275252316519479E-3</v>
      </c>
      <c r="DF52" s="143">
        <f>DM39</f>
        <v>1.542</v>
      </c>
      <c r="DG52" s="143">
        <f>DN39</f>
        <v>0.11499999999999999</v>
      </c>
      <c r="DH52" s="145">
        <f>DP39</f>
        <v>3.0333333333333334E-2</v>
      </c>
      <c r="DI52" s="181">
        <f>DQ39</f>
        <v>2.0816659994661326E-3</v>
      </c>
      <c r="DJ52" s="22"/>
      <c r="DK52" s="22"/>
      <c r="DL52" s="22"/>
      <c r="DM52" s="22"/>
      <c r="DN52" s="22"/>
      <c r="DO52" s="22"/>
      <c r="DP52" s="22"/>
      <c r="DQ52" s="22"/>
      <c r="DR52" s="22"/>
      <c r="DS52" s="177" t="s">
        <v>111</v>
      </c>
      <c r="DT52" s="162"/>
      <c r="DU52" s="150"/>
      <c r="DV52" s="50"/>
      <c r="DW52" s="150"/>
      <c r="DX52" s="50"/>
      <c r="DY52" s="50"/>
      <c r="DZ52" s="50"/>
      <c r="EA52" s="50"/>
      <c r="EB52" s="50"/>
      <c r="EC52" s="150"/>
      <c r="ED52" s="50"/>
      <c r="EE52" s="150"/>
      <c r="EF52" s="50"/>
      <c r="EG52" s="150"/>
      <c r="EH52" s="182"/>
      <c r="EI52" s="183"/>
      <c r="EJ52" s="183"/>
      <c r="EK52" s="184"/>
      <c r="EL52" s="176"/>
      <c r="EM52" s="176"/>
      <c r="EN52" s="176"/>
      <c r="EO52" s="180"/>
    </row>
    <row r="53" spans="1:145" s="1" customFormat="1" ht="19">
      <c r="A53" s="25"/>
      <c r="B53" s="74"/>
      <c r="C53" s="75"/>
      <c r="D53" s="76"/>
      <c r="E53" s="76">
        <v>0</v>
      </c>
      <c r="F53" s="76">
        <v>6</v>
      </c>
      <c r="G53" s="77"/>
      <c r="H53" s="67">
        <v>0.80600000000000005</v>
      </c>
      <c r="I53" s="67">
        <f>AVERAGE(H51:H53)</f>
        <v>0.79666666666666675</v>
      </c>
      <c r="J53" s="67">
        <f>STDEV(H51:H53)</f>
        <v>1.0692676621563636E-2</v>
      </c>
      <c r="K53" s="67">
        <v>0.19450000000000001</v>
      </c>
      <c r="L53" s="67">
        <f>AVERAGE(K51:K53)</f>
        <v>0.19410000000000002</v>
      </c>
      <c r="M53" s="67">
        <f>STDEV(K51:K53)</f>
        <v>4.313930922024597E-3</v>
      </c>
      <c r="N53" s="67">
        <v>1.9E-2</v>
      </c>
      <c r="O53" s="67">
        <f>AVERAGE(N51:N53)</f>
        <v>1.896666666666667E-2</v>
      </c>
      <c r="P53" s="67">
        <f>STDEV(N51:N53)</f>
        <v>2.5166114784235682E-4</v>
      </c>
      <c r="Q53" s="78">
        <v>7.9560000000000004</v>
      </c>
      <c r="R53" s="86">
        <f>AVERAGE(Q51:Q53)</f>
        <v>7.9849999999999994</v>
      </c>
      <c r="S53" s="67">
        <f>STDEV(Q51:Q53)</f>
        <v>0.34242225394970993</v>
      </c>
      <c r="T53" s="67">
        <v>948.9</v>
      </c>
      <c r="U53" s="67">
        <f>AVERAGE(T51:T53)</f>
        <v>954.43333333333339</v>
      </c>
      <c r="V53" s="67">
        <f>STDEV(T51:T53)</f>
        <v>40.286019080238418</v>
      </c>
      <c r="W53" s="67"/>
      <c r="X53" s="67"/>
      <c r="Y53" s="67"/>
      <c r="Z53" s="67">
        <v>302.10000000000002</v>
      </c>
      <c r="AA53" s="67">
        <f>AVERAGE(Z51:Z52)</f>
        <v>456.5</v>
      </c>
      <c r="AB53" s="67">
        <f>STDEV(Z51:Z52)</f>
        <v>28.849956672411107</v>
      </c>
      <c r="AC53" s="67"/>
      <c r="AD53" s="67"/>
      <c r="AE53" s="67"/>
      <c r="AF53" s="67">
        <v>265</v>
      </c>
      <c r="AG53" s="67">
        <f>AVERAGE(AF51:AF53)</f>
        <v>268.5</v>
      </c>
      <c r="AH53" s="68">
        <f>STDEV(AF51:AF53)</f>
        <v>19.190883252211183</v>
      </c>
      <c r="AI53" s="67"/>
      <c r="AJ53" s="67"/>
      <c r="AK53" s="67"/>
      <c r="AL53" s="67">
        <f t="shared" si="13"/>
        <v>1410.9333333333334</v>
      </c>
      <c r="AM53" s="67">
        <f t="shared" si="20"/>
        <v>0.47829427583557432</v>
      </c>
      <c r="CR53" s="131"/>
      <c r="CS53" s="142" t="str">
        <f>CS40</f>
        <v>5ppt</v>
      </c>
      <c r="CT53" s="143">
        <f>CU42</f>
        <v>813.93333333333328</v>
      </c>
      <c r="CU53" s="143">
        <f>CV42</f>
        <v>35.729166423712329</v>
      </c>
      <c r="CV53" s="141">
        <f>CX42</f>
        <v>345.39999999999992</v>
      </c>
      <c r="CW53" s="143">
        <f>CY42</f>
        <v>22.154909162530988</v>
      </c>
      <c r="CX53" s="143">
        <f>DA42</f>
        <v>170.80000000000004</v>
      </c>
      <c r="CY53" s="143">
        <f>DB42</f>
        <v>7.8076885183772502</v>
      </c>
      <c r="CZ53" s="81">
        <f>DD42</f>
        <v>15.5</v>
      </c>
      <c r="DA53" s="143">
        <f>DE42</f>
        <v>1.6122034611053291</v>
      </c>
      <c r="DB53" s="144">
        <f>DG42</f>
        <v>0.25333333333333335</v>
      </c>
      <c r="DC53" s="81">
        <f>DH42</f>
        <v>5.7735026918962623E-3</v>
      </c>
      <c r="DD53" s="143">
        <f>DJ42</f>
        <v>0.21566666666666667</v>
      </c>
      <c r="DE53" s="143">
        <f>DK42</f>
        <v>4.5092497528228985E-3</v>
      </c>
      <c r="DF53" s="143">
        <f>DM42</f>
        <v>1.5043333333333333</v>
      </c>
      <c r="DG53" s="143">
        <f>DN42</f>
        <v>7.0945988845976041E-3</v>
      </c>
      <c r="DH53" s="145">
        <f>DP42</f>
        <v>2.3666666666666669E-2</v>
      </c>
      <c r="DI53" s="181">
        <f>DQ42</f>
        <v>6.5064070986476964E-3</v>
      </c>
      <c r="DJ53" s="22"/>
      <c r="DK53" s="22"/>
      <c r="DL53" s="22"/>
      <c r="DM53" s="22"/>
      <c r="DN53" s="22"/>
      <c r="DO53" s="22"/>
      <c r="DP53" s="22"/>
      <c r="DQ53" s="22"/>
      <c r="DR53" s="22"/>
      <c r="DS53" s="89" t="s">
        <v>120</v>
      </c>
      <c r="DT53" s="151"/>
      <c r="DU53" s="123">
        <v>50</v>
      </c>
      <c r="DV53" s="49">
        <v>1.0233333333333332E-2</v>
      </c>
      <c r="DW53" s="50">
        <v>6.6583281184793967E-4</v>
      </c>
      <c r="DX53" s="49">
        <v>1.3366666666666666E-2</v>
      </c>
      <c r="DY53" s="51">
        <v>8.0208062770106467E-4</v>
      </c>
      <c r="DZ53" s="49">
        <v>1.4166666666666666E-2</v>
      </c>
      <c r="EA53" s="51">
        <v>6.1101009266077851E-4</v>
      </c>
      <c r="EB53" s="49">
        <v>1.375E-2</v>
      </c>
      <c r="EC53" s="51">
        <v>7.7781745930520247E-4</v>
      </c>
      <c r="ED53" s="49">
        <v>1.3033333333333333E-2</v>
      </c>
      <c r="EE53" s="51">
        <v>4.5092497528228929E-4</v>
      </c>
      <c r="EF53" s="49">
        <v>1.0866666666666669E-2</v>
      </c>
      <c r="EG53" s="51">
        <v>7.0237691685684847E-4</v>
      </c>
      <c r="EH53" s="185"/>
      <c r="EI53" s="185"/>
      <c r="EJ53" s="185"/>
      <c r="EK53" s="185"/>
      <c r="EL53" s="176"/>
      <c r="EM53" s="176"/>
      <c r="EN53" s="176"/>
      <c r="EO53" s="180"/>
    </row>
    <row r="54" spans="1:145" s="1" customFormat="1" ht="19">
      <c r="A54" s="25"/>
      <c r="B54" s="74"/>
      <c r="C54" s="75"/>
      <c r="D54" s="76"/>
      <c r="E54" s="76">
        <v>0</v>
      </c>
      <c r="F54" s="76">
        <v>9</v>
      </c>
      <c r="G54" s="77" t="s">
        <v>11</v>
      </c>
      <c r="H54" s="67">
        <v>0.83699999999999997</v>
      </c>
      <c r="I54" s="25"/>
      <c r="J54" s="25"/>
      <c r="K54" s="67">
        <v>0.189</v>
      </c>
      <c r="L54" s="25"/>
      <c r="M54" s="25"/>
      <c r="N54" s="67">
        <v>1.9199999999999998E-2</v>
      </c>
      <c r="O54" s="25"/>
      <c r="P54" s="25"/>
      <c r="Q54" s="78">
        <v>8.1210000000000004</v>
      </c>
      <c r="R54" s="25"/>
      <c r="S54" s="25"/>
      <c r="T54" s="67">
        <v>1098.3</v>
      </c>
      <c r="U54" s="25"/>
      <c r="V54" s="25"/>
      <c r="W54" s="25"/>
      <c r="X54" s="25"/>
      <c r="Y54" s="25"/>
      <c r="Z54" s="67">
        <v>522.29999999999995</v>
      </c>
      <c r="AA54" s="25"/>
      <c r="AB54" s="25"/>
      <c r="AC54" s="25"/>
      <c r="AD54" s="25"/>
      <c r="AE54" s="25"/>
      <c r="AF54" s="67">
        <v>302.60000000000002</v>
      </c>
      <c r="AG54" s="25"/>
      <c r="AH54" s="88"/>
      <c r="AI54" s="25"/>
      <c r="AJ54" s="25"/>
      <c r="AK54" s="25"/>
      <c r="AL54" s="67">
        <f t="shared" si="13"/>
        <v>0</v>
      </c>
      <c r="AM54" s="67"/>
      <c r="AR54" s="1">
        <f>AVERAGE(AR48:AR52)</f>
        <v>3.9738620492247051E-2</v>
      </c>
      <c r="CR54" s="131"/>
      <c r="CS54" s="142" t="str">
        <f>CS43</f>
        <v>10ppt</v>
      </c>
      <c r="CT54" s="143">
        <f>CU45</f>
        <v>587.65</v>
      </c>
      <c r="CU54" s="143">
        <f>CV45</f>
        <v>6.8589357775095436</v>
      </c>
      <c r="CV54" s="80">
        <f>CX45</f>
        <v>303.06666666666666</v>
      </c>
      <c r="CW54" s="143">
        <f>CY45</f>
        <v>16.163642328798716</v>
      </c>
      <c r="CX54" s="143">
        <f>DA45</f>
        <v>116.96666666666665</v>
      </c>
      <c r="CY54" s="143">
        <f>DB45</f>
        <v>2.4583192089989683</v>
      </c>
      <c r="CZ54" s="81">
        <f>DD45</f>
        <v>13.523333333333332</v>
      </c>
      <c r="DA54" s="143">
        <f>DE45</f>
        <v>0.26501572280401242</v>
      </c>
      <c r="DB54" s="144">
        <f>DG45</f>
        <v>0.25</v>
      </c>
      <c r="DC54" s="81">
        <f>DH45</f>
        <v>2.0000000000000004E-2</v>
      </c>
      <c r="DD54" s="143">
        <f>DJ45</f>
        <v>0.19133333333333336</v>
      </c>
      <c r="DE54" s="143">
        <f>DK45</f>
        <v>2.0256686138984663E-2</v>
      </c>
      <c r="DF54" s="143">
        <f>DM45</f>
        <v>1.4295</v>
      </c>
      <c r="DG54" s="143">
        <f>DN45</f>
        <v>0.21991020894901686</v>
      </c>
      <c r="DH54" s="145">
        <f>DP45</f>
        <v>2.1666666666666667E-2</v>
      </c>
      <c r="DI54" s="181">
        <f>DQ45</f>
        <v>2.5166114784235835E-3</v>
      </c>
      <c r="DJ54" s="22"/>
      <c r="DK54" s="22"/>
      <c r="DL54" s="22"/>
      <c r="DM54" s="22"/>
      <c r="DN54" s="22"/>
      <c r="DO54" s="22"/>
      <c r="DP54" s="22"/>
      <c r="DQ54" s="22"/>
      <c r="DR54" s="22"/>
      <c r="DS54" s="152"/>
      <c r="DT54" s="151"/>
      <c r="DU54" s="123">
        <v>100</v>
      </c>
      <c r="DV54" s="49">
        <v>1.5066666666666667E-2</v>
      </c>
      <c r="DW54" s="50">
        <v>4.5092497528228934E-4</v>
      </c>
      <c r="DX54" s="49">
        <v>1.6466666666666668E-2</v>
      </c>
      <c r="DY54" s="51">
        <v>7.0237691685684836E-4</v>
      </c>
      <c r="DZ54" s="49">
        <v>1.67E-2</v>
      </c>
      <c r="EA54" s="51">
        <v>8.1853527718724344E-4</v>
      </c>
      <c r="EB54" s="49">
        <v>1.7000000000000001E-2</v>
      </c>
      <c r="EC54" s="51">
        <v>5.0000000000000044E-4</v>
      </c>
      <c r="ED54" s="49">
        <v>1.5366666666666667E-2</v>
      </c>
      <c r="EE54" s="51">
        <v>5.0332229568471711E-4</v>
      </c>
      <c r="EF54" s="49">
        <v>1.4766666666666666E-2</v>
      </c>
      <c r="EG54" s="51">
        <v>5.6862407030773294E-4</v>
      </c>
      <c r="EH54" s="185"/>
      <c r="EI54" s="185"/>
      <c r="EJ54" s="185"/>
      <c r="EK54" s="185"/>
      <c r="EL54" s="176"/>
      <c r="EM54" s="176"/>
      <c r="EN54" s="176"/>
      <c r="EO54" s="180"/>
    </row>
    <row r="55" spans="1:145" s="1" customFormat="1" ht="19">
      <c r="A55" s="25"/>
      <c r="B55" s="74"/>
      <c r="C55" s="75"/>
      <c r="D55" s="76"/>
      <c r="E55" s="76">
        <v>0</v>
      </c>
      <c r="F55" s="76">
        <v>9</v>
      </c>
      <c r="G55" s="77"/>
      <c r="H55" s="67">
        <v>0.81599999999999995</v>
      </c>
      <c r="I55" s="25"/>
      <c r="J55" s="25"/>
      <c r="K55" s="67">
        <v>0.192</v>
      </c>
      <c r="L55" s="25"/>
      <c r="M55" s="25"/>
      <c r="N55" s="67">
        <v>1.95E-2</v>
      </c>
      <c r="O55" s="25"/>
      <c r="P55" s="25"/>
      <c r="Q55" s="78">
        <v>8.2560000000000002</v>
      </c>
      <c r="R55" s="25"/>
      <c r="S55" s="25"/>
      <c r="T55" s="67">
        <v>845.6</v>
      </c>
      <c r="U55" s="25"/>
      <c r="V55" s="25"/>
      <c r="W55" s="25"/>
      <c r="X55" s="25"/>
      <c r="Y55" s="25"/>
      <c r="Z55" s="67">
        <v>501.8</v>
      </c>
      <c r="AA55" s="25"/>
      <c r="AB55" s="25"/>
      <c r="AC55" s="25"/>
      <c r="AD55" s="25"/>
      <c r="AE55" s="25"/>
      <c r="AF55" s="67">
        <v>287.39999999999998</v>
      </c>
      <c r="AG55" s="25"/>
      <c r="AH55" s="88"/>
      <c r="AI55" s="25"/>
      <c r="AJ55" s="25"/>
      <c r="AK55" s="25"/>
      <c r="AL55" s="67">
        <f t="shared" si="13"/>
        <v>0</v>
      </c>
      <c r="AM55" s="67"/>
      <c r="CR55" s="131"/>
      <c r="CS55" s="142" t="str">
        <f>CS46</f>
        <v>15ppt</v>
      </c>
      <c r="CT55" s="143">
        <f>CU48</f>
        <v>540.6</v>
      </c>
      <c r="CU55" s="143">
        <f>CV48</f>
        <v>47.071753738308921</v>
      </c>
      <c r="CV55" s="143">
        <f>CX48</f>
        <v>299.43333333333334</v>
      </c>
      <c r="CW55" s="143">
        <f>CY48</f>
        <v>16.919318347183292</v>
      </c>
      <c r="CX55" s="143">
        <f>DA48</f>
        <v>91.633333333333326</v>
      </c>
      <c r="CY55" s="143">
        <f>DB48</f>
        <v>13.512340039139554</v>
      </c>
      <c r="CZ55" s="141">
        <f>DD48</f>
        <v>14.56</v>
      </c>
      <c r="DA55" s="143">
        <f>DE48</f>
        <v>0.39344631145811965</v>
      </c>
      <c r="DB55" s="144">
        <f>DG48</f>
        <v>0.21</v>
      </c>
      <c r="DC55" s="81">
        <f>DH48</f>
        <v>9.999999999999995E-3</v>
      </c>
      <c r="DD55" s="143">
        <f>DJ48</f>
        <v>0.184</v>
      </c>
      <c r="DE55" s="143">
        <f>DK48</f>
        <v>2.8284271247461927E-3</v>
      </c>
      <c r="DF55" s="143">
        <f>DM48</f>
        <v>1.1850000000000001</v>
      </c>
      <c r="DG55" s="143">
        <f>DN48</f>
        <v>9.000000000000008E-3</v>
      </c>
      <c r="DH55" s="186">
        <f>DP48</f>
        <v>1.9E-2</v>
      </c>
      <c r="DI55" s="181">
        <f>DQ48</f>
        <v>4.242640687119284E-3</v>
      </c>
      <c r="DJ55" s="22"/>
      <c r="DK55" s="22"/>
      <c r="DL55" s="22"/>
      <c r="DM55" s="22"/>
      <c r="DN55" s="22"/>
      <c r="DO55" s="22"/>
      <c r="DP55" s="22"/>
      <c r="DQ55" s="22"/>
      <c r="DR55" s="22"/>
      <c r="DS55" s="152"/>
      <c r="DT55" s="151"/>
      <c r="DU55" s="123">
        <v>200</v>
      </c>
      <c r="DV55" s="49">
        <v>1.7366666666666666E-2</v>
      </c>
      <c r="DW55" s="50">
        <v>5.0332229568471711E-4</v>
      </c>
      <c r="DX55" s="49">
        <v>1.8499999999999999E-2</v>
      </c>
      <c r="DY55" s="51">
        <v>7.0710678118654816E-4</v>
      </c>
      <c r="DZ55" s="49">
        <v>1.78E-2</v>
      </c>
      <c r="EA55" s="51">
        <v>2.4269322199023196E-3</v>
      </c>
      <c r="EB55" s="49">
        <v>1.8533333333333332E-2</v>
      </c>
      <c r="EC55" s="51">
        <v>1.1015141094572207E-3</v>
      </c>
      <c r="ED55" s="49">
        <v>1.6333333333333335E-2</v>
      </c>
      <c r="EE55" s="51">
        <v>5.5075705472860861E-4</v>
      </c>
      <c r="EF55" s="49">
        <v>1.7033333333333331E-2</v>
      </c>
      <c r="EG55" s="51">
        <v>2.5166114784235839E-4</v>
      </c>
      <c r="EH55" s="185"/>
      <c r="EI55" s="185"/>
      <c r="EJ55" s="185"/>
      <c r="EK55" s="185"/>
      <c r="EL55" s="176"/>
      <c r="EM55" s="176"/>
      <c r="EN55" s="176"/>
      <c r="EO55" s="180"/>
    </row>
    <row r="56" spans="1:145" s="1" customFormat="1" ht="19">
      <c r="A56" s="25"/>
      <c r="B56" s="74"/>
      <c r="C56" s="75"/>
      <c r="D56" s="76"/>
      <c r="E56" s="76">
        <v>0</v>
      </c>
      <c r="F56" s="76">
        <v>9</v>
      </c>
      <c r="G56" s="77"/>
      <c r="H56" s="67">
        <v>0.82099999999999995</v>
      </c>
      <c r="I56" s="67">
        <f>AVERAGE(H54:H56)</f>
        <v>0.82466666666666677</v>
      </c>
      <c r="J56" s="67">
        <f>STDEV(H54:H56)</f>
        <v>1.09696551146029E-2</v>
      </c>
      <c r="K56" s="67">
        <v>0.21099999999999999</v>
      </c>
      <c r="L56" s="67">
        <f>AVERAGE(K54,K55)</f>
        <v>0.1905</v>
      </c>
      <c r="M56" s="25">
        <f>STDEV(K54:K55)</f>
        <v>2.1213203435596446E-3</v>
      </c>
      <c r="N56" s="67">
        <v>2.1499999999999998E-2</v>
      </c>
      <c r="O56" s="67">
        <f>AVERAGE(N54:N55)</f>
        <v>1.9349999999999999E-2</v>
      </c>
      <c r="P56" s="67">
        <f>STDEV(N54:N55)</f>
        <v>2.1213203435596541E-4</v>
      </c>
      <c r="Q56" s="78">
        <v>8.3019999999999996</v>
      </c>
      <c r="R56" s="86">
        <f>AVERAGE(Q54:Q56)</f>
        <v>8.2263333333333346</v>
      </c>
      <c r="S56" s="67">
        <f>STDEV(Q54:Q56)</f>
        <v>9.4076210241129832E-2</v>
      </c>
      <c r="T56" s="67">
        <v>1040.9000000000001</v>
      </c>
      <c r="U56" s="25">
        <f>AVERAGE(T54,T55)</f>
        <v>971.95</v>
      </c>
      <c r="V56" s="25">
        <f>STDEV(T54,T56)</f>
        <v>40.587929240107734</v>
      </c>
      <c r="W56" s="25"/>
      <c r="X56" s="25"/>
      <c r="Y56" s="25"/>
      <c r="Z56" s="67">
        <v>517.9</v>
      </c>
      <c r="AA56" s="67">
        <f>AVERAGE(Z54:Z56)</f>
        <v>514</v>
      </c>
      <c r="AB56" s="67">
        <f>STDEV(Z54:Z56)</f>
        <v>10.79212675981891</v>
      </c>
      <c r="AC56" s="67"/>
      <c r="AD56" s="67"/>
      <c r="AE56" s="67"/>
      <c r="AF56" s="67">
        <v>304.2</v>
      </c>
      <c r="AG56" s="67">
        <f>AVERAGE(AF54:AF56)</f>
        <v>298.06666666666666</v>
      </c>
      <c r="AH56" s="68">
        <f>STDEV(AF54:AF56)</f>
        <v>9.2721806137139939</v>
      </c>
      <c r="AI56" s="67"/>
      <c r="AJ56" s="67"/>
      <c r="AK56" s="67"/>
      <c r="AL56" s="67">
        <f t="shared" si="13"/>
        <v>1485.95</v>
      </c>
      <c r="AM56" s="67">
        <f t="shared" si="20"/>
        <v>0.5288337877462832</v>
      </c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 t="s">
        <v>194</v>
      </c>
      <c r="DM56" s="22"/>
      <c r="DN56" s="22" t="s">
        <v>169</v>
      </c>
      <c r="DO56" s="1" t="s">
        <v>193</v>
      </c>
      <c r="DP56" s="22" t="s">
        <v>184</v>
      </c>
      <c r="DQ56" s="22" t="s">
        <v>191</v>
      </c>
      <c r="DR56" s="22"/>
      <c r="DS56" s="152"/>
      <c r="DT56" s="151"/>
      <c r="DU56" s="123">
        <v>300</v>
      </c>
      <c r="DV56" s="49">
        <v>1.1699999999999999E-2</v>
      </c>
      <c r="DW56" s="50">
        <v>5.6568542494923836E-4</v>
      </c>
      <c r="DX56" s="49">
        <v>1.2733333333333333E-2</v>
      </c>
      <c r="DY56" s="51">
        <v>3.511884584284251E-4</v>
      </c>
      <c r="DZ56" s="49">
        <v>1.2766666666666667E-2</v>
      </c>
      <c r="EA56" s="51">
        <v>8.082903768654756E-4</v>
      </c>
      <c r="EB56" s="49">
        <v>1.1066666666666667E-2</v>
      </c>
      <c r="EC56" s="51">
        <v>6.1101009266077862E-4</v>
      </c>
      <c r="ED56" s="49">
        <v>1.0066666666666666E-2</v>
      </c>
      <c r="EE56" s="51">
        <v>4.5092497528229016E-4</v>
      </c>
      <c r="EF56" s="49">
        <v>9.2666666666666661E-3</v>
      </c>
      <c r="EG56" s="51">
        <v>3.055050463303892E-4</v>
      </c>
      <c r="EO56" s="180"/>
    </row>
    <row r="57" spans="1:145" s="1" customFormat="1" ht="21" customHeight="1">
      <c r="A57" s="25"/>
      <c r="B57" s="74"/>
      <c r="C57" s="75"/>
      <c r="D57" s="76"/>
      <c r="E57" s="76">
        <v>0</v>
      </c>
      <c r="F57" s="76">
        <v>12</v>
      </c>
      <c r="G57" s="77" t="s">
        <v>12</v>
      </c>
      <c r="H57" s="67">
        <v>0.79479999999999995</v>
      </c>
      <c r="I57" s="25"/>
      <c r="J57" s="25"/>
      <c r="K57" s="67">
        <v>0.20200000000000001</v>
      </c>
      <c r="L57" s="25"/>
      <c r="M57" s="25"/>
      <c r="N57" s="67">
        <v>2.0400000000000001E-2</v>
      </c>
      <c r="O57" s="25"/>
      <c r="P57" s="25"/>
      <c r="Q57" s="78">
        <v>8.1120000000000001</v>
      </c>
      <c r="R57" s="25"/>
      <c r="S57" s="25"/>
      <c r="T57" s="67">
        <v>1025.5999999999999</v>
      </c>
      <c r="U57" s="25"/>
      <c r="V57" s="25"/>
      <c r="W57" s="25"/>
      <c r="X57" s="25"/>
      <c r="Y57" s="25"/>
      <c r="Z57" s="67">
        <v>415.7</v>
      </c>
      <c r="AA57" s="25"/>
      <c r="AB57" s="25"/>
      <c r="AC57" s="25"/>
      <c r="AD57" s="25"/>
      <c r="AE57" s="25"/>
      <c r="AF57" s="67">
        <v>308.60000000000002</v>
      </c>
      <c r="AG57" s="25"/>
      <c r="AH57" s="88"/>
      <c r="AI57" s="25"/>
      <c r="AJ57" s="25"/>
      <c r="AK57" s="25"/>
      <c r="AL57" s="67">
        <f t="shared" si="13"/>
        <v>0</v>
      </c>
      <c r="AM57" s="67"/>
      <c r="AS57" s="1" t="s">
        <v>86</v>
      </c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 t="s">
        <v>185</v>
      </c>
      <c r="DL57" s="1">
        <v>50</v>
      </c>
      <c r="DM57" s="22"/>
      <c r="DN57" s="22">
        <v>35.014583333333334</v>
      </c>
      <c r="DO57" s="1">
        <v>20.504583333333336</v>
      </c>
      <c r="DP57" s="187">
        <v>1008.6666666666665</v>
      </c>
      <c r="DQ57" s="22">
        <v>114.14505333333334</v>
      </c>
      <c r="DR57" s="22"/>
      <c r="DU57" s="62" t="s">
        <v>174</v>
      </c>
      <c r="EB57" s="62" t="s">
        <v>173</v>
      </c>
      <c r="EO57" s="180"/>
    </row>
    <row r="58" spans="1:145" s="1" customFormat="1" ht="19">
      <c r="A58" s="25"/>
      <c r="B58" s="74"/>
      <c r="C58" s="75"/>
      <c r="D58" s="76"/>
      <c r="E58" s="76">
        <v>0</v>
      </c>
      <c r="F58" s="76">
        <v>12</v>
      </c>
      <c r="G58" s="77"/>
      <c r="H58" s="67">
        <v>0.78559999999999997</v>
      </c>
      <c r="I58" s="25"/>
      <c r="J58" s="25"/>
      <c r="K58" s="67">
        <v>0.19700000000000001</v>
      </c>
      <c r="L58" s="25"/>
      <c r="M58" s="25"/>
      <c r="N58" s="67">
        <v>1.9900000000000001E-2</v>
      </c>
      <c r="O58" s="25"/>
      <c r="P58" s="25"/>
      <c r="Q58" s="78">
        <v>8.2010000000000005</v>
      </c>
      <c r="R58" s="25"/>
      <c r="S58" s="25"/>
      <c r="T58" s="67">
        <v>1203.4000000000001</v>
      </c>
      <c r="U58" s="25"/>
      <c r="V58" s="25"/>
      <c r="W58" s="25"/>
      <c r="X58" s="25"/>
      <c r="Y58" s="25"/>
      <c r="Z58" s="67">
        <v>389.3</v>
      </c>
      <c r="AA58" s="25"/>
      <c r="AB58" s="25"/>
      <c r="AC58" s="25"/>
      <c r="AD58" s="25"/>
      <c r="AE58" s="25"/>
      <c r="AF58" s="67">
        <v>292.5</v>
      </c>
      <c r="AG58" s="25"/>
      <c r="AH58" s="88"/>
      <c r="AI58" s="25"/>
      <c r="AJ58" s="25"/>
      <c r="AK58" s="25"/>
      <c r="AL58" s="67">
        <f t="shared" si="13"/>
        <v>0</v>
      </c>
      <c r="AM58" s="67"/>
      <c r="AQ58" s="1">
        <f>AR58*0.01</f>
        <v>0.1</v>
      </c>
      <c r="AR58" s="1">
        <v>10</v>
      </c>
      <c r="AS58" s="1">
        <f>1500*EXP(-0.03*AR58)</f>
        <v>1111.2273310225769</v>
      </c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>
        <v>100</v>
      </c>
      <c r="DM58" s="22"/>
      <c r="DN58" s="22">
        <v>28.175000000000001</v>
      </c>
      <c r="DO58" s="1">
        <v>13.665000000000001</v>
      </c>
      <c r="DP58" s="187">
        <v>1190.0333333333335</v>
      </c>
      <c r="DQ58" s="22">
        <v>122.12418666666667</v>
      </c>
      <c r="DR58" s="22"/>
      <c r="DS58" s="188"/>
      <c r="DT58" s="188"/>
      <c r="DU58" s="45">
        <v>0</v>
      </c>
      <c r="DV58" s="189">
        <v>5</v>
      </c>
      <c r="DW58" s="189">
        <v>10</v>
      </c>
      <c r="DX58" s="189">
        <v>15</v>
      </c>
      <c r="DY58" s="189">
        <v>20</v>
      </c>
      <c r="DZ58" s="189">
        <v>25</v>
      </c>
      <c r="EA58" s="189">
        <v>30</v>
      </c>
      <c r="EB58" s="189">
        <v>5</v>
      </c>
      <c r="EC58" s="189">
        <v>10</v>
      </c>
      <c r="ED58" s="189">
        <v>15</v>
      </c>
      <c r="EE58" s="189">
        <v>20</v>
      </c>
      <c r="EF58" s="189">
        <v>25</v>
      </c>
      <c r="EG58" s="189">
        <v>30</v>
      </c>
      <c r="EO58" s="180"/>
    </row>
    <row r="59" spans="1:145" s="1" customFormat="1" ht="19">
      <c r="A59" s="25"/>
      <c r="B59" s="74"/>
      <c r="C59" s="75"/>
      <c r="D59" s="76"/>
      <c r="E59" s="76">
        <v>0</v>
      </c>
      <c r="F59" s="76">
        <v>12</v>
      </c>
      <c r="G59" s="77"/>
      <c r="H59" s="67">
        <v>0.77239999999999998</v>
      </c>
      <c r="I59" s="67">
        <f>AVERAGE(H57:H59)</f>
        <v>0.78426666666666678</v>
      </c>
      <c r="J59" s="67">
        <f>STDEV(H57:H59)</f>
        <v>1.1259366471224438E-2</v>
      </c>
      <c r="K59" s="67">
        <v>0.20399999999999999</v>
      </c>
      <c r="L59" s="67">
        <f>AVERAGE(K57:K59)</f>
        <v>0.20099999999999998</v>
      </c>
      <c r="M59" s="67">
        <f>STDEV(K57:K59)</f>
        <v>3.6055512754639809E-3</v>
      </c>
      <c r="N59" s="67">
        <v>2.0299999999999999E-2</v>
      </c>
      <c r="O59" s="67">
        <f>AVERAGE(N57:N59)</f>
        <v>2.0199999999999999E-2</v>
      </c>
      <c r="P59" s="67">
        <f>STDEV(N57:N59)</f>
        <v>2.6457513110645877E-4</v>
      </c>
      <c r="Q59" s="78">
        <v>8.1690000000000005</v>
      </c>
      <c r="R59" s="86">
        <f>AVERAGE(Q57:Q59)</f>
        <v>8.1606666666666676</v>
      </c>
      <c r="S59" s="67">
        <f>STDEV(Q57:Q59)</f>
        <v>4.5081407845511581E-2</v>
      </c>
      <c r="T59" s="67">
        <v>1142.7</v>
      </c>
      <c r="U59" s="67">
        <f>AVERAGE(T57,T59)</f>
        <v>1084.1500000000001</v>
      </c>
      <c r="V59" s="67">
        <f>STDEV(T57:T59)</f>
        <v>90.378592598026316</v>
      </c>
      <c r="W59" s="67"/>
      <c r="X59" s="67"/>
      <c r="Y59" s="67"/>
      <c r="Z59" s="67">
        <v>402.1</v>
      </c>
      <c r="AA59" s="67">
        <f>AVERAGE(Z57:Z59)</f>
        <v>402.36666666666662</v>
      </c>
      <c r="AB59" s="67">
        <f>STDEV(Z57:Z59)</f>
        <v>13.202020047452324</v>
      </c>
      <c r="AC59" s="67"/>
      <c r="AD59" s="67"/>
      <c r="AE59" s="67"/>
      <c r="AF59" s="67">
        <v>302.8</v>
      </c>
      <c r="AG59" s="67">
        <f>AVERAGE(AF57:AF59)</f>
        <v>301.3</v>
      </c>
      <c r="AH59" s="68">
        <f>STDEV(AF57:AF59)</f>
        <v>8.1541400527584873</v>
      </c>
      <c r="AI59" s="67"/>
      <c r="AJ59" s="67"/>
      <c r="AK59" s="67"/>
      <c r="AL59" s="67">
        <f t="shared" si="13"/>
        <v>1486.5166666666667</v>
      </c>
      <c r="AM59" s="67">
        <f t="shared" si="20"/>
        <v>0.37113560546664814</v>
      </c>
      <c r="AQ59" s="1">
        <f t="shared" ref="AQ59:AQ87" si="63">AR59*0.01</f>
        <v>0.2</v>
      </c>
      <c r="AR59" s="1">
        <v>20</v>
      </c>
      <c r="AS59" s="1">
        <f t="shared" ref="AS59:AS87" si="64">1500*EXP(-0.03*AR59)</f>
        <v>823.21745414103964</v>
      </c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>
        <v>200</v>
      </c>
      <c r="DM59" s="22"/>
      <c r="DN59" s="22">
        <v>32.122916666666661</v>
      </c>
      <c r="DO59" s="1">
        <v>17.612916666666663</v>
      </c>
      <c r="DP59" s="187">
        <v>1229.4000000000001</v>
      </c>
      <c r="DQ59" s="22">
        <v>132.72582666666668</v>
      </c>
      <c r="DR59" s="22"/>
      <c r="DS59" s="190" t="s">
        <v>169</v>
      </c>
      <c r="DT59" s="123">
        <v>50</v>
      </c>
      <c r="DU59" s="191">
        <v>14.5</v>
      </c>
      <c r="DV59" s="80">
        <f>DV34</f>
        <v>30.014583333333299</v>
      </c>
      <c r="DW59" s="80">
        <f>DX34</f>
        <v>32.96875</v>
      </c>
      <c r="DX59" s="80">
        <f>DZ34</f>
        <v>25.5208333333333</v>
      </c>
      <c r="DY59" s="80">
        <f>EB34</f>
        <v>26.1458333333333</v>
      </c>
      <c r="DZ59" s="80">
        <f>ED34</f>
        <v>27.037500000000001</v>
      </c>
      <c r="EA59" s="80">
        <f>EF34</f>
        <v>27.993749999999999</v>
      </c>
      <c r="EB59" s="1">
        <v>0.48437836020339503</v>
      </c>
      <c r="EC59" s="1">
        <v>0.39774756441743803</v>
      </c>
      <c r="ED59" s="49">
        <v>0.96891799618612373</v>
      </c>
      <c r="EE59" s="49">
        <v>0.93819418743314009</v>
      </c>
      <c r="EF59" s="49">
        <v>0.80721841065476285</v>
      </c>
      <c r="EG59" s="49">
        <v>1.5226031369007476</v>
      </c>
      <c r="EO59" s="180"/>
    </row>
    <row r="60" spans="1:145" s="1" customFormat="1" ht="19">
      <c r="A60" s="25"/>
      <c r="B60" s="74"/>
      <c r="C60" s="75"/>
      <c r="D60" s="76"/>
      <c r="E60" s="76">
        <v>0</v>
      </c>
      <c r="F60" s="76">
        <v>15</v>
      </c>
      <c r="G60" s="77" t="s">
        <v>10</v>
      </c>
      <c r="H60" s="67">
        <v>0.80120000000000002</v>
      </c>
      <c r="I60" s="25"/>
      <c r="J60" s="25"/>
      <c r="K60" s="67">
        <v>0.19839999999999999</v>
      </c>
      <c r="L60" s="25"/>
      <c r="M60" s="25"/>
      <c r="N60" s="67">
        <v>2.0899999999999998E-2</v>
      </c>
      <c r="O60" s="25"/>
      <c r="P60" s="25"/>
      <c r="Q60" s="78">
        <v>7.42</v>
      </c>
      <c r="R60" s="25"/>
      <c r="S60" s="25"/>
      <c r="T60" s="67">
        <v>1058.0999999999999</v>
      </c>
      <c r="U60" s="25"/>
      <c r="V60" s="25"/>
      <c r="W60" s="25"/>
      <c r="X60" s="25"/>
      <c r="Y60" s="25"/>
      <c r="Z60" s="67">
        <v>478.2</v>
      </c>
      <c r="AA60" s="25"/>
      <c r="AB60" s="25"/>
      <c r="AC60" s="25"/>
      <c r="AD60" s="25"/>
      <c r="AE60" s="25"/>
      <c r="AF60" s="67">
        <v>375.2</v>
      </c>
      <c r="AG60" s="25"/>
      <c r="AH60" s="88"/>
      <c r="AI60" s="25"/>
      <c r="AJ60" s="25"/>
      <c r="AK60" s="25"/>
      <c r="AL60" s="67">
        <f t="shared" si="13"/>
        <v>0</v>
      </c>
      <c r="AM60" s="67"/>
      <c r="AQ60" s="1">
        <f t="shared" si="63"/>
        <v>0.3</v>
      </c>
      <c r="AR60" s="1">
        <v>30</v>
      </c>
      <c r="AS60" s="1">
        <f t="shared" si="64"/>
        <v>609.85448961089878</v>
      </c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>
        <v>300</v>
      </c>
      <c r="DM60" s="22"/>
      <c r="DN60" s="22">
        <v>38.304166666666667</v>
      </c>
      <c r="DO60" s="1">
        <v>23.794166666666669</v>
      </c>
      <c r="DP60" s="187">
        <v>1056.5666666666666</v>
      </c>
      <c r="DQ60" s="22">
        <v>119.57726</v>
      </c>
      <c r="DR60" s="22"/>
      <c r="DS60" s="188"/>
      <c r="DT60" s="123">
        <v>100</v>
      </c>
      <c r="DU60" s="191">
        <v>14.5</v>
      </c>
      <c r="DV60" s="80">
        <v>28.175000000000001</v>
      </c>
      <c r="DW60" s="80">
        <v>27.587500000000002</v>
      </c>
      <c r="DX60" s="80">
        <v>25.243749999999999</v>
      </c>
      <c r="DY60" s="80">
        <v>22.647916666666664</v>
      </c>
      <c r="DZ60" s="80">
        <v>25.483333333333331</v>
      </c>
      <c r="EA60" s="80">
        <v>27.239583333333332</v>
      </c>
      <c r="EB60" s="1">
        <v>1.7854446224960316</v>
      </c>
      <c r="EC60" s="1">
        <v>1.1781374336213917</v>
      </c>
      <c r="ED60" s="49">
        <v>0.46845824253608875</v>
      </c>
      <c r="EE60" s="49">
        <v>1.2563640080937268</v>
      </c>
      <c r="EF60" s="49">
        <v>3.6610296394366411</v>
      </c>
      <c r="EG60" s="49">
        <v>3.0189268409210124</v>
      </c>
      <c r="EO60" s="180"/>
    </row>
    <row r="61" spans="1:145" s="1" customFormat="1" ht="17.25" customHeight="1">
      <c r="A61" s="25"/>
      <c r="B61" s="74"/>
      <c r="C61" s="75"/>
      <c r="D61" s="76"/>
      <c r="E61" s="76">
        <v>0</v>
      </c>
      <c r="F61" s="76">
        <v>15</v>
      </c>
      <c r="G61" s="77"/>
      <c r="H61" s="67">
        <v>0.79679999999999995</v>
      </c>
      <c r="I61" s="25"/>
      <c r="J61" s="25"/>
      <c r="K61" s="67">
        <v>0.1968</v>
      </c>
      <c r="L61" s="25"/>
      <c r="M61" s="25"/>
      <c r="N61" s="67">
        <v>2.1399999999999999E-2</v>
      </c>
      <c r="O61" s="25"/>
      <c r="P61" s="25"/>
      <c r="Q61" s="78">
        <v>7.38</v>
      </c>
      <c r="R61" s="25"/>
      <c r="S61" s="25"/>
      <c r="T61" s="67">
        <v>1112.3</v>
      </c>
      <c r="U61" s="25"/>
      <c r="V61" s="25"/>
      <c r="W61" s="25"/>
      <c r="X61" s="25"/>
      <c r="Y61" s="25"/>
      <c r="Z61" s="67">
        <v>598.6</v>
      </c>
      <c r="AA61" s="25"/>
      <c r="AB61" s="25"/>
      <c r="AC61" s="25"/>
      <c r="AD61" s="25"/>
      <c r="AE61" s="25"/>
      <c r="AF61" s="67">
        <v>430.9</v>
      </c>
      <c r="AG61" s="25"/>
      <c r="AH61" s="88"/>
      <c r="AI61" s="25"/>
      <c r="AJ61" s="25"/>
      <c r="AK61" s="25"/>
      <c r="AL61" s="67">
        <f t="shared" si="13"/>
        <v>0</v>
      </c>
      <c r="AM61" s="67"/>
      <c r="AQ61" s="1">
        <f t="shared" si="63"/>
        <v>0.4</v>
      </c>
      <c r="AR61" s="1">
        <v>40</v>
      </c>
      <c r="AS61" s="1">
        <f t="shared" si="64"/>
        <v>451.79131786830322</v>
      </c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P61" s="192"/>
      <c r="DQ61" s="22"/>
      <c r="DR61" s="22"/>
      <c r="DS61" s="188"/>
      <c r="DT61" s="123">
        <v>200</v>
      </c>
      <c r="DU61" s="191">
        <v>14.5</v>
      </c>
      <c r="DV61" s="80">
        <v>32.122916666666661</v>
      </c>
      <c r="DW61" s="80">
        <v>29.199999999999996</v>
      </c>
      <c r="DX61" s="80">
        <v>20.731249999999999</v>
      </c>
      <c r="DY61" s="80">
        <v>20.0625</v>
      </c>
      <c r="DZ61" s="80">
        <v>21.137499999999996</v>
      </c>
      <c r="EA61" s="80">
        <v>24.277083333333334</v>
      </c>
      <c r="EB61" s="1">
        <v>3.2560900472550398</v>
      </c>
      <c r="EC61" s="1">
        <v>8.8388347648320958E-2</v>
      </c>
      <c r="ED61" s="49">
        <v>1.7844488820081108</v>
      </c>
      <c r="EE61" s="49">
        <v>1.7677669529663689</v>
      </c>
      <c r="EF61" s="49">
        <v>1.0253048327204934</v>
      </c>
      <c r="EG61" s="49">
        <v>1.1982463314499805</v>
      </c>
      <c r="EO61" s="180"/>
    </row>
    <row r="62" spans="1:145" s="1" customFormat="1" ht="19">
      <c r="A62" s="25"/>
      <c r="B62" s="74"/>
      <c r="C62" s="75"/>
      <c r="D62" s="76"/>
      <c r="E62" s="76">
        <v>0</v>
      </c>
      <c r="F62" s="76">
        <v>15</v>
      </c>
      <c r="G62" s="77"/>
      <c r="H62" s="67">
        <v>0.78449999999999998</v>
      </c>
      <c r="I62" s="67">
        <f>AVERAGE(H60:H62)</f>
        <v>0.79416666666666658</v>
      </c>
      <c r="J62" s="67">
        <f>STDEV(H60:H62)</f>
        <v>8.6558265540232267E-3</v>
      </c>
      <c r="K62" s="67">
        <v>0.19969999999999999</v>
      </c>
      <c r="L62" s="67">
        <f>AVERAGE(K60:K62)</f>
        <v>0.1983</v>
      </c>
      <c r="M62" s="67">
        <f>STDEV(K60:K62)</f>
        <v>1.4525839046333879E-3</v>
      </c>
      <c r="N62" s="67">
        <v>2.1100000000000001E-2</v>
      </c>
      <c r="O62" s="67">
        <f>AVERAGE(N60:N62)</f>
        <v>2.1133333333333334E-2</v>
      </c>
      <c r="P62" s="67">
        <f>STDEV(N60:N62)</f>
        <v>2.5166114784235845E-4</v>
      </c>
      <c r="Q62" s="78">
        <v>8.69</v>
      </c>
      <c r="R62" s="86">
        <f>AVERAGE(Q60:Q61)</f>
        <v>7.4</v>
      </c>
      <c r="S62" s="67">
        <f>STDEV(Q60:Q61)</f>
        <v>2.8284271247461926E-2</v>
      </c>
      <c r="T62" s="67">
        <v>1086.4000000000001</v>
      </c>
      <c r="U62" s="67">
        <f>AVERAGE(T60:T62)</f>
        <v>1085.5999999999999</v>
      </c>
      <c r="V62" s="67">
        <f>STDEV(T60:T62)</f>
        <v>27.108854641980013</v>
      </c>
      <c r="W62" s="67"/>
      <c r="X62" s="67"/>
      <c r="Y62" s="67"/>
      <c r="Z62" s="67">
        <v>436.1</v>
      </c>
      <c r="AA62" s="25">
        <f>AVERAGE(Z60,Z62)</f>
        <v>457.15</v>
      </c>
      <c r="AB62" s="25">
        <f>STDEV(Z60,Z62)</f>
        <v>29.769195487953628</v>
      </c>
      <c r="AC62" s="25"/>
      <c r="AD62" s="25"/>
      <c r="AE62" s="25"/>
      <c r="AF62" s="67">
        <v>389.6</v>
      </c>
      <c r="AG62" s="25">
        <f>AVERAGE(AF60:AF62)</f>
        <v>398.56666666666661</v>
      </c>
      <c r="AH62" s="88">
        <f>STDEV(AF60:AF62)</f>
        <v>28.912338773148957</v>
      </c>
      <c r="AI62" s="25"/>
      <c r="AJ62" s="25"/>
      <c r="AK62" s="25"/>
      <c r="AL62" s="67">
        <f t="shared" si="13"/>
        <v>1542.75</v>
      </c>
      <c r="AM62" s="67">
        <f t="shared" si="20"/>
        <v>0.42110353721444366</v>
      </c>
      <c r="AQ62" s="1">
        <f t="shared" si="63"/>
        <v>0.5</v>
      </c>
      <c r="AR62" s="1">
        <v>50</v>
      </c>
      <c r="AS62" s="1">
        <f t="shared" si="64"/>
        <v>334.69524022264471</v>
      </c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>
        <v>50</v>
      </c>
      <c r="DM62" s="22"/>
      <c r="DN62" s="80">
        <v>37.96875</v>
      </c>
      <c r="DO62" s="1">
        <v>23.458750000000002</v>
      </c>
      <c r="DP62" s="155">
        <v>1126.4666666666665</v>
      </c>
      <c r="DQ62" s="22">
        <v>114.16542666666666</v>
      </c>
      <c r="DR62" s="22"/>
      <c r="DS62" s="188"/>
      <c r="DT62" s="123">
        <v>300</v>
      </c>
      <c r="DU62" s="191">
        <v>14.5</v>
      </c>
      <c r="DV62" s="80">
        <v>38.304166666666667</v>
      </c>
      <c r="DW62" s="80">
        <v>39.868749999999999</v>
      </c>
      <c r="DX62" s="80">
        <v>42.883333333333326</v>
      </c>
      <c r="DY62" s="80">
        <v>45.834374999999994</v>
      </c>
      <c r="DZ62" s="80">
        <v>27.391666666666662</v>
      </c>
      <c r="EA62" s="80">
        <v>13.875</v>
      </c>
      <c r="EB62" s="1">
        <v>0.69398456995334934</v>
      </c>
      <c r="EC62" s="1">
        <v>2.067786784825743</v>
      </c>
      <c r="ED62" s="49">
        <v>1.1076674064597776</v>
      </c>
      <c r="EE62" s="49">
        <v>1.0827572586919059</v>
      </c>
      <c r="EF62" s="49">
        <v>2.4474343496472657</v>
      </c>
      <c r="EG62" s="49">
        <v>2.2977315579718991</v>
      </c>
      <c r="EO62" s="180"/>
    </row>
    <row r="63" spans="1:145" s="1" customFormat="1" ht="19">
      <c r="A63" s="25"/>
      <c r="B63" s="74"/>
      <c r="C63" s="75"/>
      <c r="D63" s="76"/>
      <c r="E63" s="76">
        <v>0</v>
      </c>
      <c r="F63" s="76">
        <v>18</v>
      </c>
      <c r="G63" s="77" t="s">
        <v>13</v>
      </c>
      <c r="H63" s="67">
        <v>0.76600000000000001</v>
      </c>
      <c r="I63" s="25"/>
      <c r="J63" s="25"/>
      <c r="K63" s="67">
        <v>0.189</v>
      </c>
      <c r="L63" s="25"/>
      <c r="M63" s="25"/>
      <c r="N63" s="67">
        <v>1.8700000000000001E-2</v>
      </c>
      <c r="O63" s="25"/>
      <c r="P63" s="25"/>
      <c r="Q63" s="78">
        <v>7.62</v>
      </c>
      <c r="R63" s="25"/>
      <c r="S63" s="25"/>
      <c r="T63" s="67">
        <v>936.5</v>
      </c>
      <c r="U63" s="25"/>
      <c r="V63" s="25"/>
      <c r="W63" s="25"/>
      <c r="X63" s="25"/>
      <c r="Y63" s="25"/>
      <c r="Z63" s="67">
        <v>378.5</v>
      </c>
      <c r="AA63" s="25"/>
      <c r="AB63" s="25"/>
      <c r="AC63" s="25"/>
      <c r="AD63" s="25"/>
      <c r="AE63" s="25"/>
      <c r="AF63" s="67">
        <v>288.5</v>
      </c>
      <c r="AG63" s="25"/>
      <c r="AH63" s="88"/>
      <c r="AI63" s="25"/>
      <c r="AJ63" s="25"/>
      <c r="AK63" s="25"/>
      <c r="AL63" s="67">
        <f t="shared" si="13"/>
        <v>0</v>
      </c>
      <c r="AM63" s="67"/>
      <c r="AQ63" s="1">
        <f t="shared" si="63"/>
        <v>0.6</v>
      </c>
      <c r="AR63" s="1">
        <v>60</v>
      </c>
      <c r="AS63" s="1">
        <f t="shared" si="64"/>
        <v>247.94833233237983</v>
      </c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>
        <v>100</v>
      </c>
      <c r="DM63" s="22"/>
      <c r="DN63" s="80">
        <v>27.587500000000002</v>
      </c>
      <c r="DO63" s="1">
        <v>13.077500000000002</v>
      </c>
      <c r="DP63" s="155">
        <v>1402.0500000000002</v>
      </c>
      <c r="DQ63" s="22">
        <v>114.94457333333332</v>
      </c>
      <c r="DR63" s="22"/>
      <c r="DS63" s="188"/>
      <c r="DT63" s="169">
        <v>50</v>
      </c>
      <c r="DU63" s="1">
        <v>14.5</v>
      </c>
      <c r="DV63" s="80">
        <f>DV38</f>
        <v>15.504583333333299</v>
      </c>
      <c r="DW63" s="80">
        <f>DX38</f>
        <v>18.458750000000002</v>
      </c>
      <c r="DX63" s="80">
        <f>DZ38</f>
        <v>11.0108333333333</v>
      </c>
      <c r="DY63" s="80">
        <f>EB38</f>
        <v>6.6358333333333004</v>
      </c>
      <c r="DZ63" s="80">
        <f>ED38</f>
        <v>12.527500000000002</v>
      </c>
      <c r="EA63" s="80">
        <f>EF38</f>
        <v>13.483749999999999</v>
      </c>
      <c r="EB63" s="1">
        <v>0.48437836020339503</v>
      </c>
      <c r="EC63" s="1">
        <v>0.39774756441743803</v>
      </c>
      <c r="ED63" s="80">
        <f>ED59</f>
        <v>0.96891799618612373</v>
      </c>
      <c r="EE63" s="80">
        <f>EE59</f>
        <v>0.93819418743314009</v>
      </c>
      <c r="EF63" s="80">
        <f>EF59</f>
        <v>0.80721841065476285</v>
      </c>
      <c r="EG63" s="80">
        <f>EG59</f>
        <v>1.5226031369007476</v>
      </c>
      <c r="EO63" s="180"/>
    </row>
    <row r="64" spans="1:145" s="1" customFormat="1" ht="19">
      <c r="A64" s="25"/>
      <c r="B64" s="74"/>
      <c r="C64" s="75"/>
      <c r="D64" s="76"/>
      <c r="E64" s="76">
        <v>0</v>
      </c>
      <c r="F64" s="76">
        <v>18</v>
      </c>
      <c r="G64" s="77"/>
      <c r="H64" s="67">
        <v>0.77400000000000002</v>
      </c>
      <c r="I64" s="25"/>
      <c r="J64" s="25"/>
      <c r="K64" s="67">
        <v>0.19400000000000001</v>
      </c>
      <c r="L64" s="25"/>
      <c r="M64" s="25"/>
      <c r="N64" s="67">
        <v>1.9300000000000001E-2</v>
      </c>
      <c r="O64" s="25"/>
      <c r="P64" s="25"/>
      <c r="Q64" s="78">
        <v>7.54</v>
      </c>
      <c r="R64" s="78">
        <v>5.21</v>
      </c>
      <c r="S64" s="25"/>
      <c r="T64" s="67">
        <v>998.7</v>
      </c>
      <c r="U64" s="25"/>
      <c r="V64" s="25"/>
      <c r="W64" s="25"/>
      <c r="X64" s="25"/>
      <c r="Y64" s="25"/>
      <c r="Z64" s="67">
        <v>355.1</v>
      </c>
      <c r="AA64" s="25"/>
      <c r="AB64" s="25"/>
      <c r="AC64" s="25"/>
      <c r="AD64" s="25"/>
      <c r="AE64" s="25"/>
      <c r="AF64" s="67">
        <v>158.30000000000001</v>
      </c>
      <c r="AG64" s="25"/>
      <c r="AH64" s="88"/>
      <c r="AI64" s="25"/>
      <c r="AJ64" s="25"/>
      <c r="AK64" s="25"/>
      <c r="AL64" s="67">
        <f t="shared" si="13"/>
        <v>0</v>
      </c>
      <c r="AM64" s="67"/>
      <c r="AQ64" s="1">
        <f t="shared" si="63"/>
        <v>0.70000000000000007</v>
      </c>
      <c r="AR64" s="1">
        <v>70</v>
      </c>
      <c r="AS64" s="1">
        <f t="shared" si="64"/>
        <v>183.68464237947285</v>
      </c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>
        <v>200</v>
      </c>
      <c r="DM64" s="22"/>
      <c r="DN64" s="80">
        <v>29.199999999999996</v>
      </c>
      <c r="DO64" s="1">
        <v>14.689999999999996</v>
      </c>
      <c r="DP64" s="155">
        <v>1502</v>
      </c>
      <c r="DQ64" s="22">
        <v>134.4838</v>
      </c>
      <c r="DR64" s="22"/>
      <c r="DS64" s="188"/>
      <c r="DT64" s="169">
        <v>100</v>
      </c>
      <c r="DU64" s="1">
        <v>14.5</v>
      </c>
      <c r="DV64" s="80">
        <f t="shared" ref="DV64" si="65">DV60-$EA$15</f>
        <v>13.665000000000001</v>
      </c>
      <c r="DW64" s="80">
        <f t="shared" ref="DW64:EA65" si="66">DW60-$EA$15</f>
        <v>13.077500000000002</v>
      </c>
      <c r="DX64" s="80">
        <f t="shared" si="66"/>
        <v>10.733749999999999</v>
      </c>
      <c r="DY64" s="80">
        <f t="shared" si="66"/>
        <v>8.1379166666666638</v>
      </c>
      <c r="DZ64" s="80">
        <f t="shared" si="66"/>
        <v>10.973333333333331</v>
      </c>
      <c r="EA64" s="80">
        <f t="shared" si="66"/>
        <v>12.729583333333332</v>
      </c>
      <c r="EB64" s="1">
        <v>1.7854446224960316</v>
      </c>
      <c r="EC64" s="1">
        <v>1.1781374336213917</v>
      </c>
      <c r="ED64" s="80">
        <f t="shared" ref="ED64:ED66" si="67">ED60</f>
        <v>0.46845824253608875</v>
      </c>
      <c r="EE64" s="80">
        <f t="shared" ref="EE64:EE66" si="68">EE60</f>
        <v>1.2563640080937268</v>
      </c>
      <c r="EF64" s="80">
        <f t="shared" ref="EF64:EF66" si="69">EF60</f>
        <v>3.6610296394366411</v>
      </c>
      <c r="EG64" s="80">
        <f t="shared" ref="EG64:EG66" si="70">EG60</f>
        <v>3.0189268409210124</v>
      </c>
      <c r="EO64" s="180"/>
    </row>
    <row r="65" spans="1:149" s="1" customFormat="1" ht="19">
      <c r="A65" s="25"/>
      <c r="B65" s="74"/>
      <c r="C65" s="75"/>
      <c r="D65" s="76"/>
      <c r="E65" s="76">
        <v>0</v>
      </c>
      <c r="F65" s="76">
        <v>18</v>
      </c>
      <c r="G65" s="178"/>
      <c r="H65" s="67">
        <v>0.75600000000000001</v>
      </c>
      <c r="I65" s="67">
        <f>AVERAGE(H63:H65)</f>
        <v>0.76533333333333342</v>
      </c>
      <c r="J65" s="67">
        <f>STDEV(H63:H65)</f>
        <v>9.0184995056457971E-3</v>
      </c>
      <c r="K65" s="67">
        <v>0.19800000000000001</v>
      </c>
      <c r="L65" s="67">
        <f>AVERAGE(K63:K65)</f>
        <v>0.19366666666666665</v>
      </c>
      <c r="M65" s="67">
        <f>STDEV(K63:K65)</f>
        <v>4.5092497528228985E-3</v>
      </c>
      <c r="N65" s="67">
        <v>2.01E-2</v>
      </c>
      <c r="O65" s="67">
        <f>AVERAGE(N63:N65)</f>
        <v>1.9366666666666667E-2</v>
      </c>
      <c r="P65" s="67">
        <f>STDEV(N63:N65)</f>
        <v>7.0237691685684847E-4</v>
      </c>
      <c r="Q65" s="3">
        <v>8.2100000000000009</v>
      </c>
      <c r="R65" s="86">
        <f>AVERAGE(Q63:Q64)</f>
        <v>7.58</v>
      </c>
      <c r="S65" s="67">
        <f>STDEV(Q63:Q64)</f>
        <v>5.6568542494923851E-2</v>
      </c>
      <c r="T65" s="67">
        <v>959.8</v>
      </c>
      <c r="U65" s="67">
        <f>AVERAGE(T63:T65)</f>
        <v>965</v>
      </c>
      <c r="V65" s="67">
        <f>STDEV(T63:T65)</f>
        <v>31.424353613081713</v>
      </c>
      <c r="W65" s="67"/>
      <c r="X65" s="67"/>
      <c r="Y65" s="67"/>
      <c r="Z65" s="67">
        <v>375.3</v>
      </c>
      <c r="AA65" s="67">
        <f>AVERAGE(Z63:Z65)</f>
        <v>369.63333333333338</v>
      </c>
      <c r="AB65" s="67">
        <f>STDEV(Z63:Z65)</f>
        <v>12.687526683058959</v>
      </c>
      <c r="AC65" s="67"/>
      <c r="AD65" s="67"/>
      <c r="AE65" s="67"/>
      <c r="AF65" s="67">
        <v>268.2</v>
      </c>
      <c r="AG65" s="25">
        <f>AVERAGE(AF63,AF65)</f>
        <v>278.35000000000002</v>
      </c>
      <c r="AH65" s="88">
        <f>STDEV(AF63,AF65)</f>
        <v>14.354267658086924</v>
      </c>
      <c r="AI65" s="25"/>
      <c r="AJ65" s="25"/>
      <c r="AK65" s="25"/>
      <c r="AL65" s="67">
        <f t="shared" si="13"/>
        <v>1334.6333333333334</v>
      </c>
      <c r="AM65" s="67">
        <f t="shared" si="20"/>
        <v>0.38303972366148537</v>
      </c>
      <c r="AQ65" s="1">
        <f t="shared" si="63"/>
        <v>0.8</v>
      </c>
      <c r="AR65" s="1">
        <v>80</v>
      </c>
      <c r="AS65" s="1">
        <f t="shared" si="64"/>
        <v>136.07692993411877</v>
      </c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>
        <v>300</v>
      </c>
      <c r="DM65" s="22"/>
      <c r="DN65" s="80">
        <v>39.868749999999999</v>
      </c>
      <c r="DO65" s="1">
        <v>25.358750000000001</v>
      </c>
      <c r="DP65" s="155">
        <v>875.4</v>
      </c>
      <c r="DQ65" s="22">
        <v>115.11968666666667</v>
      </c>
      <c r="DR65" s="22"/>
      <c r="DS65" s="188"/>
      <c r="DT65" s="169">
        <v>200</v>
      </c>
      <c r="DU65" s="1">
        <v>14.5</v>
      </c>
      <c r="DV65" s="80">
        <f t="shared" ref="DV65" si="71">DV61-$EA$15</f>
        <v>17.612916666666663</v>
      </c>
      <c r="DW65" s="80">
        <f t="shared" si="66"/>
        <v>14.689999999999996</v>
      </c>
      <c r="DX65" s="80">
        <f t="shared" si="66"/>
        <v>6.2212499999999995</v>
      </c>
      <c r="DY65" s="80">
        <f t="shared" si="66"/>
        <v>5.5525000000000002</v>
      </c>
      <c r="DZ65" s="80">
        <f t="shared" si="66"/>
        <v>6.6274999999999959</v>
      </c>
      <c r="EA65" s="80">
        <f t="shared" si="66"/>
        <v>9.7670833333333338</v>
      </c>
      <c r="EB65" s="1">
        <v>3.2560900472550398</v>
      </c>
      <c r="EC65" s="1">
        <v>8.8388347648320958E-2</v>
      </c>
      <c r="ED65" s="80">
        <f t="shared" si="67"/>
        <v>1.7844488820081108</v>
      </c>
      <c r="EE65" s="80">
        <f t="shared" si="68"/>
        <v>1.7677669529663689</v>
      </c>
      <c r="EF65" s="80">
        <f t="shared" si="69"/>
        <v>1.0253048327204934</v>
      </c>
      <c r="EG65" s="80">
        <f t="shared" si="70"/>
        <v>1.1982463314499805</v>
      </c>
      <c r="EO65" s="180"/>
    </row>
    <row r="66" spans="1:149" s="1" customFormat="1" ht="19">
      <c r="A66" s="25"/>
      <c r="B66" s="74" t="s">
        <v>5</v>
      </c>
      <c r="C66" s="75" t="s">
        <v>40</v>
      </c>
      <c r="D66" s="76">
        <v>670</v>
      </c>
      <c r="E66" s="76"/>
      <c r="F66" s="76"/>
      <c r="G66" s="77" t="s">
        <v>14</v>
      </c>
      <c r="H66" s="67">
        <v>0.40799999999999997</v>
      </c>
      <c r="I66" s="25"/>
      <c r="J66" s="25"/>
      <c r="K66" s="67">
        <v>0.17199999999999999</v>
      </c>
      <c r="L66" s="25"/>
      <c r="M66" s="25"/>
      <c r="N66" s="67">
        <v>1.84E-2</v>
      </c>
      <c r="O66" s="25"/>
      <c r="P66" s="25"/>
      <c r="Q66" s="78">
        <v>6.1120000000000001</v>
      </c>
      <c r="R66" s="25"/>
      <c r="S66" s="25"/>
      <c r="T66" s="67">
        <v>632.1</v>
      </c>
      <c r="U66" s="25"/>
      <c r="V66" s="25"/>
      <c r="W66" s="25"/>
      <c r="X66" s="25"/>
      <c r="Y66" s="25"/>
      <c r="Z66" s="67">
        <v>315.39999999999998</v>
      </c>
      <c r="AA66" s="25"/>
      <c r="AB66" s="25"/>
      <c r="AC66" s="25"/>
      <c r="AD66" s="25"/>
      <c r="AE66" s="25"/>
      <c r="AF66" s="67">
        <v>214.3</v>
      </c>
      <c r="AG66" s="25"/>
      <c r="AH66" s="88"/>
      <c r="AI66" s="25"/>
      <c r="AJ66" s="25"/>
      <c r="AK66" s="25"/>
      <c r="AL66" s="67">
        <f t="shared" si="13"/>
        <v>0</v>
      </c>
      <c r="AM66" s="67"/>
      <c r="AQ66" s="1">
        <f t="shared" si="63"/>
        <v>0.9</v>
      </c>
      <c r="AR66" s="1">
        <v>90</v>
      </c>
      <c r="AS66" s="1">
        <f t="shared" si="64"/>
        <v>100.80826910962467</v>
      </c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P66" s="192"/>
      <c r="DQ66" s="22"/>
      <c r="DR66" s="22"/>
      <c r="DS66" s="188"/>
      <c r="DT66" s="169">
        <v>300</v>
      </c>
      <c r="DU66" s="1">
        <v>14.5</v>
      </c>
      <c r="DV66" s="80">
        <f t="shared" ref="DV66" si="72">DV62-$EA$15</f>
        <v>23.794166666666669</v>
      </c>
      <c r="DW66" s="80">
        <f>DW62-$EA$15</f>
        <v>25.358750000000001</v>
      </c>
      <c r="DX66" s="80">
        <f>DX62-$EA$15</f>
        <v>28.373333333333328</v>
      </c>
      <c r="DY66" s="80">
        <f>DY62-$EA$15</f>
        <v>31.324374999999996</v>
      </c>
      <c r="DZ66" s="80">
        <f>DZ62-$EA$15</f>
        <v>12.881666666666662</v>
      </c>
      <c r="EA66" s="80">
        <f>MAX(0,EA62-$EA$15)</f>
        <v>0</v>
      </c>
      <c r="EB66" s="1">
        <v>0.69398456995334934</v>
      </c>
      <c r="EC66" s="1">
        <v>2.067786784825743</v>
      </c>
      <c r="ED66" s="80">
        <f t="shared" si="67"/>
        <v>1.1076674064597776</v>
      </c>
      <c r="EE66" s="80">
        <f t="shared" si="68"/>
        <v>1.0827572586919059</v>
      </c>
      <c r="EF66" s="80">
        <f t="shared" si="69"/>
        <v>2.4474343496472657</v>
      </c>
      <c r="EG66" s="80">
        <f t="shared" si="70"/>
        <v>2.2977315579718991</v>
      </c>
      <c r="EO66" s="180"/>
    </row>
    <row r="67" spans="1:149" s="1" customFormat="1" ht="19">
      <c r="A67" s="25"/>
      <c r="B67" s="74"/>
      <c r="C67" s="75"/>
      <c r="D67" s="76"/>
      <c r="E67" s="76"/>
      <c r="F67" s="76"/>
      <c r="G67" s="77"/>
      <c r="H67" s="67">
        <v>0.38700000000000001</v>
      </c>
      <c r="I67" s="25"/>
      <c r="J67" s="25"/>
      <c r="K67" s="67">
        <v>0.17499999999999999</v>
      </c>
      <c r="L67" s="25"/>
      <c r="M67" s="25"/>
      <c r="N67" s="67">
        <v>1.7899999999999999E-2</v>
      </c>
      <c r="O67" s="25"/>
      <c r="P67" s="25"/>
      <c r="Q67" s="78">
        <v>6.0209999999999999</v>
      </c>
      <c r="R67" s="25"/>
      <c r="S67" s="25"/>
      <c r="T67" s="67">
        <v>642.5</v>
      </c>
      <c r="U67" s="25"/>
      <c r="V67" s="25"/>
      <c r="W67" s="25"/>
      <c r="X67" s="25"/>
      <c r="Y67" s="25"/>
      <c r="Z67" s="67">
        <v>289.3</v>
      </c>
      <c r="AA67" s="25"/>
      <c r="AB67" s="25"/>
      <c r="AC67" s="25"/>
      <c r="AD67" s="25"/>
      <c r="AE67" s="25"/>
      <c r="AF67" s="67">
        <v>204.1</v>
      </c>
      <c r="AG67" s="25"/>
      <c r="AH67" s="88"/>
      <c r="AI67" s="25"/>
      <c r="AJ67" s="25"/>
      <c r="AK67" s="25"/>
      <c r="AL67" s="67">
        <f t="shared" si="13"/>
        <v>0</v>
      </c>
      <c r="AM67" s="67"/>
      <c r="AQ67" s="1">
        <f t="shared" si="63"/>
        <v>1</v>
      </c>
      <c r="AR67" s="1">
        <v>100</v>
      </c>
      <c r="AS67" s="1">
        <f t="shared" si="64"/>
        <v>74.680602551795914</v>
      </c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>
        <v>50</v>
      </c>
      <c r="DM67" s="22"/>
      <c r="DN67" s="80">
        <v>30.520833333333329</v>
      </c>
      <c r="DO67" s="1">
        <v>16.010833333333331</v>
      </c>
      <c r="DP67" s="192">
        <v>1126.4666666666665</v>
      </c>
      <c r="DQ67" s="22">
        <v>113.6494</v>
      </c>
      <c r="DR67" s="22"/>
      <c r="DS67" s="190" t="s">
        <v>177</v>
      </c>
      <c r="DT67" s="123">
        <v>50</v>
      </c>
      <c r="DU67" s="164">
        <f>DU6</f>
        <v>1227.3233333333335</v>
      </c>
      <c r="DV67" s="155">
        <f>DV19</f>
        <v>1008.6666666666665</v>
      </c>
      <c r="DW67" s="155">
        <f>DX19</f>
        <v>1126.4666666666665</v>
      </c>
      <c r="DX67" s="155">
        <f>DZ19</f>
        <v>1101.7333333333333</v>
      </c>
      <c r="DY67" s="155">
        <f>EB19</f>
        <v>1204.5333333333331</v>
      </c>
      <c r="DZ67" s="164">
        <f>ED19</f>
        <v>1557.8999999999999</v>
      </c>
      <c r="EA67" s="155">
        <f>EF19</f>
        <v>1389.7333333333333</v>
      </c>
      <c r="EB67" s="164">
        <f>DW19</f>
        <v>103.44691069980448</v>
      </c>
      <c r="EC67" s="164">
        <f>DY19</f>
        <v>90.718539082887204</v>
      </c>
      <c r="ED67" s="155">
        <f>EA19</f>
        <v>14.56102102647119</v>
      </c>
      <c r="EE67" s="155">
        <f>EC19</f>
        <v>191.250734203386</v>
      </c>
      <c r="EF67" s="155">
        <f>EE19</f>
        <v>81.565985557706554</v>
      </c>
      <c r="EG67" s="155">
        <f>EG19</f>
        <v>28.358831663757432</v>
      </c>
      <c r="EO67" s="180"/>
    </row>
    <row r="68" spans="1:149" s="1" customFormat="1" ht="19">
      <c r="A68" s="25"/>
      <c r="B68" s="74"/>
      <c r="C68" s="75"/>
      <c r="D68" s="76"/>
      <c r="E68" s="76"/>
      <c r="F68" s="76"/>
      <c r="G68" s="77"/>
      <c r="H68" s="67">
        <v>0.39500000000000002</v>
      </c>
      <c r="I68" s="67">
        <f>AVERAGE(H66:H68)</f>
        <v>0.39666666666666667</v>
      </c>
      <c r="J68" s="67">
        <f>STDEV(H66:H68)</f>
        <v>1.0598742063723077E-2</v>
      </c>
      <c r="K68" s="67">
        <v>0.16800000000000001</v>
      </c>
      <c r="L68" s="67">
        <f>AVERAGE(K66:K68)</f>
        <v>0.17166666666666666</v>
      </c>
      <c r="M68" s="67">
        <f>STDEV(K66:K68)</f>
        <v>3.511884584284235E-3</v>
      </c>
      <c r="N68" s="67">
        <v>1.8499999999999999E-2</v>
      </c>
      <c r="O68" s="67">
        <f>AVERAGE(N66:N68)</f>
        <v>1.8266666666666667E-2</v>
      </c>
      <c r="P68" s="67">
        <f>STDEV(N66:N68)</f>
        <v>3.2145502536643189E-4</v>
      </c>
      <c r="Q68" s="78">
        <v>6.0449999999999999</v>
      </c>
      <c r="R68" s="86">
        <f>AVERAGE(Q66:Q68)</f>
        <v>6.0593333333333321</v>
      </c>
      <c r="S68" s="67">
        <f>STDEV(Q66:Q68)</f>
        <v>4.7162838478333163E-2</v>
      </c>
      <c r="T68" s="67">
        <v>1089.3</v>
      </c>
      <c r="U68" s="67">
        <f>AVERAGE(T66:T67)</f>
        <v>637.29999999999995</v>
      </c>
      <c r="V68" s="67">
        <f>STDEV(T66:T67)</f>
        <v>7.353910524340078</v>
      </c>
      <c r="W68" s="67"/>
      <c r="X68" s="67"/>
      <c r="Y68" s="67"/>
      <c r="Z68" s="67">
        <v>301.8</v>
      </c>
      <c r="AA68" s="67">
        <f>AVERAGE(Z66:Z68)</f>
        <v>302.16666666666669</v>
      </c>
      <c r="AB68" s="67">
        <f>STDEV(Z66:Z68)</f>
        <v>13.05386277441788</v>
      </c>
      <c r="AC68" s="67"/>
      <c r="AD68" s="67"/>
      <c r="AE68" s="67"/>
      <c r="AF68" s="67">
        <v>198.6</v>
      </c>
      <c r="AG68" s="67">
        <f>AVERAGE(AF66:AF68)</f>
        <v>205.66666666666666</v>
      </c>
      <c r="AH68" s="68">
        <f>STDEV(AF66:AF68)</f>
        <v>7.966387721755293</v>
      </c>
      <c r="AI68" s="67"/>
      <c r="AJ68" s="67"/>
      <c r="AK68" s="67"/>
      <c r="AL68" s="67">
        <f t="shared" si="13"/>
        <v>939.4666666666667</v>
      </c>
      <c r="AM68" s="67">
        <f t="shared" si="20"/>
        <v>0.47413567655212097</v>
      </c>
      <c r="AQ68" s="1">
        <f t="shared" si="63"/>
        <v>1.1000000000000001</v>
      </c>
      <c r="AR68" s="1">
        <v>110</v>
      </c>
      <c r="AS68" s="1">
        <f t="shared" si="64"/>
        <v>55.324751101860024</v>
      </c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>
        <v>100</v>
      </c>
      <c r="DM68" s="22"/>
      <c r="DN68" s="80">
        <v>25.243749999999999</v>
      </c>
      <c r="DO68" s="1">
        <v>10.733749999999999</v>
      </c>
      <c r="DP68" s="192">
        <v>1402.0500000000002</v>
      </c>
      <c r="DQ68" s="22">
        <v>109.29856000000001</v>
      </c>
      <c r="DR68" s="22"/>
      <c r="DS68" s="188"/>
      <c r="DT68" s="123">
        <v>100</v>
      </c>
      <c r="DU68" s="164">
        <f t="shared" ref="DU68:DU69" si="73">DU7</f>
        <v>1282.1500000000001</v>
      </c>
      <c r="DV68" s="155">
        <f t="shared" ref="DV68:DV70" si="74">DV20</f>
        <v>1190.0333333333335</v>
      </c>
      <c r="DW68" s="155">
        <f t="shared" ref="DW68:DW70" si="75">DX20</f>
        <v>1402.0500000000002</v>
      </c>
      <c r="DX68" s="155">
        <f t="shared" ref="DX68:DX70" si="76">DZ20</f>
        <v>1401.0500000000002</v>
      </c>
      <c r="DY68" s="155">
        <f t="shared" ref="DY68:DY70" si="77">EB20</f>
        <v>1601.8666666666668</v>
      </c>
      <c r="DZ68" s="164">
        <f t="shared" ref="DZ68:DZ70" si="78">ED20</f>
        <v>1456.1333333333332</v>
      </c>
      <c r="EA68" s="155">
        <f t="shared" ref="EA68:EA70" si="79">EF20</f>
        <v>1344.5666666666666</v>
      </c>
      <c r="EB68" s="164">
        <f t="shared" ref="EB68:EB70" si="80">DW20</f>
        <v>93.855704852360176</v>
      </c>
      <c r="EC68" s="164">
        <f t="shared" ref="EC68:EC70" si="81">DY20</f>
        <v>21.425335469952358</v>
      </c>
      <c r="ED68" s="155">
        <f t="shared" ref="ED68:ED70" si="82">EA20</f>
        <v>77.993877964876162</v>
      </c>
      <c r="EE68" s="155">
        <f t="shared" ref="EE68:EE70" si="83">EC20</f>
        <v>34.293196604185667</v>
      </c>
      <c r="EF68" s="155">
        <f t="shared" ref="EF68:EF70" si="84">EE20</f>
        <v>127.63660655679199</v>
      </c>
      <c r="EG68" s="155">
        <f t="shared" ref="EG68:EG70" si="85">EG20</f>
        <v>30.166593001751679</v>
      </c>
      <c r="EO68" s="180"/>
    </row>
    <row r="69" spans="1:149" s="1" customFormat="1" ht="19">
      <c r="A69" s="25"/>
      <c r="B69" s="74"/>
      <c r="C69" s="75"/>
      <c r="D69" s="76">
        <v>933</v>
      </c>
      <c r="E69" s="76"/>
      <c r="F69" s="76"/>
      <c r="G69" s="77" t="s">
        <v>11</v>
      </c>
      <c r="H69" s="67">
        <v>0.65400000000000003</v>
      </c>
      <c r="I69" s="25"/>
      <c r="J69" s="25"/>
      <c r="K69" s="67">
        <v>0.17599999999999999</v>
      </c>
      <c r="L69" s="25"/>
      <c r="M69" s="25"/>
      <c r="N69" s="67">
        <v>1.9199999999999998E-2</v>
      </c>
      <c r="O69" s="25"/>
      <c r="P69" s="25"/>
      <c r="Q69" s="78">
        <v>6.8049999999999997</v>
      </c>
      <c r="R69" s="25"/>
      <c r="S69" s="25"/>
      <c r="T69" s="67">
        <v>698.2</v>
      </c>
      <c r="U69" s="25"/>
      <c r="V69" s="25"/>
      <c r="W69" s="25"/>
      <c r="X69" s="25"/>
      <c r="Y69" s="25"/>
      <c r="Z69" s="67">
        <v>250.9</v>
      </c>
      <c r="AA69" s="25"/>
      <c r="AB69" s="25"/>
      <c r="AC69" s="25"/>
      <c r="AD69" s="25"/>
      <c r="AE69" s="25"/>
      <c r="AF69" s="67">
        <v>206.5</v>
      </c>
      <c r="AG69" s="25"/>
      <c r="AH69" s="88"/>
      <c r="AI69" s="25"/>
      <c r="AJ69" s="25"/>
      <c r="AK69" s="25"/>
      <c r="AL69" s="67">
        <f t="shared" si="13"/>
        <v>0</v>
      </c>
      <c r="AM69" s="67"/>
      <c r="AQ69" s="1">
        <f t="shared" si="63"/>
        <v>1.2</v>
      </c>
      <c r="AR69" s="1">
        <v>120</v>
      </c>
      <c r="AS69" s="1">
        <f t="shared" si="64"/>
        <v>40.985583670938851</v>
      </c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>
        <v>200</v>
      </c>
      <c r="DM69" s="22"/>
      <c r="DN69" s="80">
        <v>20.731249999999999</v>
      </c>
      <c r="DO69" s="1">
        <v>6.2212499999999995</v>
      </c>
      <c r="DP69" s="192">
        <v>1502</v>
      </c>
      <c r="DQ69" s="22">
        <v>139.57417333333333</v>
      </c>
      <c r="DR69" s="22"/>
      <c r="DS69" s="188"/>
      <c r="DT69" s="123">
        <v>200</v>
      </c>
      <c r="DU69" s="164">
        <f t="shared" si="73"/>
        <v>1125.0666666666666</v>
      </c>
      <c r="DV69" s="155">
        <f t="shared" si="74"/>
        <v>1229.4000000000001</v>
      </c>
      <c r="DW69" s="155">
        <f t="shared" si="75"/>
        <v>1502</v>
      </c>
      <c r="DX69" s="155">
        <f t="shared" si="76"/>
        <v>1525.5999999999997</v>
      </c>
      <c r="DY69" s="155">
        <f t="shared" si="77"/>
        <v>1657.9</v>
      </c>
      <c r="DZ69" s="164">
        <f t="shared" si="78"/>
        <v>1702.3666666666666</v>
      </c>
      <c r="EA69" s="155">
        <f t="shared" si="79"/>
        <v>1736.35</v>
      </c>
      <c r="EB69" s="164">
        <f t="shared" si="80"/>
        <v>59.11412690719547</v>
      </c>
      <c r="EC69" s="164">
        <f t="shared" si="81"/>
        <v>43.27493500861658</v>
      </c>
      <c r="ED69" s="155">
        <f t="shared" si="82"/>
        <v>39.950469333914036</v>
      </c>
      <c r="EE69" s="155">
        <f t="shared" si="83"/>
        <v>37.193816690412497</v>
      </c>
      <c r="EF69" s="155">
        <f t="shared" si="84"/>
        <v>18.200091574861123</v>
      </c>
      <c r="EG69" s="155">
        <f t="shared" si="85"/>
        <v>158.74547237637992</v>
      </c>
      <c r="EO69" s="180"/>
    </row>
    <row r="70" spans="1:149" s="1" customFormat="1" ht="22.5" customHeight="1">
      <c r="A70" s="25"/>
      <c r="B70" s="74"/>
      <c r="C70" s="75"/>
      <c r="D70" s="76"/>
      <c r="E70" s="76"/>
      <c r="F70" s="76"/>
      <c r="G70" s="77"/>
      <c r="H70" s="67">
        <v>0.59599999999999997</v>
      </c>
      <c r="I70" s="25"/>
      <c r="J70" s="25"/>
      <c r="K70" s="67">
        <v>0.17100000000000001</v>
      </c>
      <c r="L70" s="25"/>
      <c r="M70" s="25"/>
      <c r="N70" s="67">
        <v>1.9400000000000001E-2</v>
      </c>
      <c r="O70" s="25"/>
      <c r="P70" s="25"/>
      <c r="Q70" s="86">
        <v>6.9240000000000004</v>
      </c>
      <c r="R70" s="25"/>
      <c r="S70" s="25"/>
      <c r="T70" s="67">
        <v>653.4</v>
      </c>
      <c r="U70" s="25"/>
      <c r="V70" s="25"/>
      <c r="W70" s="25"/>
      <c r="X70" s="25"/>
      <c r="Y70" s="25"/>
      <c r="Z70" s="67">
        <v>205.9</v>
      </c>
      <c r="AA70" s="25"/>
      <c r="AB70" s="66"/>
      <c r="AC70" s="66"/>
      <c r="AD70" s="66"/>
      <c r="AE70" s="66"/>
      <c r="AF70" s="67">
        <v>207.4</v>
      </c>
      <c r="AG70" s="25"/>
      <c r="AH70" s="88"/>
      <c r="AI70" s="25"/>
      <c r="AJ70" s="25"/>
      <c r="AK70" s="25"/>
      <c r="AL70" s="67">
        <f t="shared" si="13"/>
        <v>0</v>
      </c>
      <c r="AM70" s="67"/>
      <c r="AQ70" s="1">
        <f t="shared" si="63"/>
        <v>1.3</v>
      </c>
      <c r="AR70" s="1">
        <v>130</v>
      </c>
      <c r="AS70" s="1">
        <f t="shared" si="64"/>
        <v>30.362867168706586</v>
      </c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>
        <v>300</v>
      </c>
      <c r="DM70" s="22"/>
      <c r="DN70" s="80">
        <v>42.883333333333326</v>
      </c>
      <c r="DO70" s="1">
        <v>28.373333333333328</v>
      </c>
      <c r="DP70" s="192">
        <v>875.4</v>
      </c>
      <c r="DQ70" s="22">
        <v>102.01624666666667</v>
      </c>
      <c r="DR70" s="22"/>
      <c r="DS70" s="188"/>
      <c r="DT70" s="123">
        <v>300</v>
      </c>
      <c r="DU70" s="164">
        <f>DU9</f>
        <v>756.23333333333323</v>
      </c>
      <c r="DV70" s="155">
        <f t="shared" si="74"/>
        <v>1056.5666666666666</v>
      </c>
      <c r="DW70" s="155">
        <f t="shared" si="75"/>
        <v>875.4</v>
      </c>
      <c r="DX70" s="155">
        <f t="shared" si="76"/>
        <v>758.73333333333323</v>
      </c>
      <c r="DY70" s="155">
        <f t="shared" si="77"/>
        <v>553.86666666666667</v>
      </c>
      <c r="DZ70" s="164">
        <f t="shared" si="78"/>
        <v>502.13333333333327</v>
      </c>
      <c r="EA70" s="155">
        <f t="shared" si="79"/>
        <v>420.89999999999992</v>
      </c>
      <c r="EB70" s="164">
        <f t="shared" si="80"/>
        <v>89.608556139095015</v>
      </c>
      <c r="EC70" s="164">
        <f t="shared" si="81"/>
        <v>56.027760976144656</v>
      </c>
      <c r="ED70" s="155">
        <f t="shared" si="82"/>
        <v>10.174641680832483</v>
      </c>
      <c r="EE70" s="155">
        <f t="shared" si="83"/>
        <v>39.273443105148466</v>
      </c>
      <c r="EF70" s="155">
        <f t="shared" si="84"/>
        <v>54.050377735343638</v>
      </c>
      <c r="EG70" s="155">
        <f t="shared" si="85"/>
        <v>12.230699080592261</v>
      </c>
      <c r="EO70" s="180"/>
    </row>
    <row r="71" spans="1:149" s="1" customFormat="1" ht="19">
      <c r="A71" s="25"/>
      <c r="B71" s="74"/>
      <c r="C71" s="75"/>
      <c r="D71" s="76"/>
      <c r="E71" s="76"/>
      <c r="F71" s="76"/>
      <c r="G71" s="77"/>
      <c r="H71" s="67">
        <v>0.58599999999999997</v>
      </c>
      <c r="I71" s="67">
        <f>AVERAGE(H70:H71)</f>
        <v>0.59099999999999997</v>
      </c>
      <c r="J71" s="67">
        <f>STDEV(H70:H71)</f>
        <v>7.0710678118654814E-3</v>
      </c>
      <c r="K71" s="67">
        <v>0.17299999999999999</v>
      </c>
      <c r="L71" s="67">
        <f>AVERAGE(K69:K71)</f>
        <v>0.17333333333333334</v>
      </c>
      <c r="M71" s="67">
        <f>STDEV(K69:K71)</f>
        <v>2.5166114784235727E-3</v>
      </c>
      <c r="N71" s="67">
        <v>1.8800000000000001E-2</v>
      </c>
      <c r="O71" s="67">
        <f>AVERAGE(N69:N71)</f>
        <v>1.9133333333333332E-2</v>
      </c>
      <c r="P71" s="67">
        <f>STDEV(N69:N71)</f>
        <v>3.0550504633038904E-4</v>
      </c>
      <c r="Q71" s="86">
        <v>7.21</v>
      </c>
      <c r="R71" s="86">
        <f>AVERAGE(Q69:Q70)</f>
        <v>6.8644999999999996</v>
      </c>
      <c r="S71" s="67">
        <f>STDEV(Q69:Q70)</f>
        <v>8.4145706961199621E-2</v>
      </c>
      <c r="T71" s="67">
        <v>672.3</v>
      </c>
      <c r="U71" s="67">
        <f>AVERAGE(T69:T71)</f>
        <v>674.63333333333333</v>
      </c>
      <c r="V71" s="67">
        <f>STDEV(T69:T71)</f>
        <v>22.490961147388408</v>
      </c>
      <c r="W71" s="67"/>
      <c r="X71" s="67"/>
      <c r="Y71" s="67"/>
      <c r="Z71" s="67">
        <v>224.3</v>
      </c>
      <c r="AA71" s="67">
        <f>AVERAGE(Z69:Z71)</f>
        <v>227.03333333333333</v>
      </c>
      <c r="AB71" s="67">
        <f>STDEV(Z69:Z71)</f>
        <v>22.624175859759692</v>
      </c>
      <c r="AC71" s="67"/>
      <c r="AD71" s="67"/>
      <c r="AE71" s="67"/>
      <c r="AF71" s="67">
        <v>190.6</v>
      </c>
      <c r="AG71" s="67">
        <f>AVERAGE(AF69:AF71)</f>
        <v>201.5</v>
      </c>
      <c r="AH71" s="68">
        <f>STDEV(AF69:AF71)</f>
        <v>9.450396817065414</v>
      </c>
      <c r="AI71" s="67"/>
      <c r="AJ71" s="67"/>
      <c r="AK71" s="67"/>
      <c r="AL71" s="67">
        <f t="shared" si="13"/>
        <v>901.66666666666663</v>
      </c>
      <c r="AM71" s="67">
        <f t="shared" si="20"/>
        <v>0.33652848460892337</v>
      </c>
      <c r="AQ71" s="1">
        <f t="shared" si="63"/>
        <v>1.4000000000000001</v>
      </c>
      <c r="AR71" s="1">
        <v>140</v>
      </c>
      <c r="AS71" s="1">
        <f t="shared" si="64"/>
        <v>22.493365230716556</v>
      </c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P71" s="192"/>
      <c r="DQ71" s="22"/>
      <c r="DR71" s="22"/>
      <c r="DS71" s="188" t="s">
        <v>232</v>
      </c>
      <c r="DT71" s="123">
        <v>50</v>
      </c>
      <c r="DU71" s="193">
        <f>EC$15*26.6+EE$15*40+EG$15*2.8</f>
        <v>50.488400000000006</v>
      </c>
      <c r="DV71" s="155">
        <f>26.6*DV43+40*DV48+2.8*DV53</f>
        <v>114.14505333333334</v>
      </c>
      <c r="DW71" s="155">
        <f>26.6*DX43+40*DX48+2.8*DX53</f>
        <v>114.16542666666666</v>
      </c>
      <c r="DX71" s="155">
        <f>26.6*DZ43+40*DZ48+2.8*DZ53</f>
        <v>113.6494</v>
      </c>
      <c r="DY71" s="155">
        <f>26.6*EB43+40*EB48+2.8*EB53</f>
        <v>116.9269</v>
      </c>
      <c r="DZ71" s="155">
        <f>26.6*ED43+40*ED48+2.8*ED53</f>
        <v>113.28596000000003</v>
      </c>
      <c r="EA71" s="155">
        <f t="shared" ref="EA71:EB74" si="86">26.6*EF43+40*EF48+2.8*EF53</f>
        <v>99.468493333333342</v>
      </c>
      <c r="EB71" s="155">
        <f t="shared" si="86"/>
        <v>1.0991687557711152</v>
      </c>
      <c r="EC71" s="155">
        <f t="shared" ref="EC71:EE71" si="87">26.6*EC43+40*EC48+2.8*EC53</f>
        <v>3.0403572721875478</v>
      </c>
      <c r="ED71" s="155">
        <f>26.6*DW43+40*DW48+2.8*DW53</f>
        <v>3.652117918589592</v>
      </c>
      <c r="EE71" s="155">
        <f t="shared" si="87"/>
        <v>2.1137129396306906</v>
      </c>
      <c r="EF71" s="155">
        <f>26.6*DY43+40*DY48+2.8*DY53</f>
        <v>3.8456210984212715</v>
      </c>
      <c r="EG71" s="155">
        <f>26.6*EA43+40*EA48+2.8*EA53</f>
        <v>2.2149643973600361</v>
      </c>
      <c r="EO71" s="180"/>
      <c r="ER71" s="1">
        <v>22</v>
      </c>
      <c r="ES71" s="25">
        <v>14</v>
      </c>
    </row>
    <row r="72" spans="1:149" s="1" customFormat="1" ht="19">
      <c r="A72" s="25"/>
      <c r="B72" s="74"/>
      <c r="C72" s="75"/>
      <c r="D72" s="76">
        <v>1728</v>
      </c>
      <c r="E72" s="76"/>
      <c r="F72" s="76"/>
      <c r="G72" s="77" t="s">
        <v>12</v>
      </c>
      <c r="H72" s="67">
        <v>0.69079999999999997</v>
      </c>
      <c r="I72" s="25"/>
      <c r="J72" s="25"/>
      <c r="K72" s="67">
        <v>0.10199999999999999</v>
      </c>
      <c r="L72" s="25"/>
      <c r="M72" s="25"/>
      <c r="N72" s="67">
        <v>1.9900000000000001E-2</v>
      </c>
      <c r="O72" s="25"/>
      <c r="P72" s="25"/>
      <c r="Q72" s="86">
        <v>9.0210000000000008</v>
      </c>
      <c r="R72" s="25"/>
      <c r="S72" s="25"/>
      <c r="T72" s="67">
        <v>829.5</v>
      </c>
      <c r="U72" s="25"/>
      <c r="V72" s="25"/>
      <c r="W72" s="25"/>
      <c r="X72" s="25"/>
      <c r="Y72" s="25"/>
      <c r="Z72" s="67">
        <v>374.2</v>
      </c>
      <c r="AA72" s="25"/>
      <c r="AB72" s="66"/>
      <c r="AC72" s="66"/>
      <c r="AD72" s="66"/>
      <c r="AE72" s="66"/>
      <c r="AF72" s="67">
        <v>265.39999999999998</v>
      </c>
      <c r="AG72" s="25"/>
      <c r="AH72" s="88"/>
      <c r="AI72" s="25"/>
      <c r="AJ72" s="25"/>
      <c r="AK72" s="25"/>
      <c r="AL72" s="67">
        <f t="shared" si="13"/>
        <v>0</v>
      </c>
      <c r="AM72" s="67"/>
      <c r="AQ72" s="1">
        <f t="shared" si="63"/>
        <v>1.5</v>
      </c>
      <c r="AR72" s="1">
        <v>150</v>
      </c>
      <c r="AS72" s="1">
        <f t="shared" si="64"/>
        <v>16.66349480736346</v>
      </c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>
        <v>50</v>
      </c>
      <c r="DM72" s="22"/>
      <c r="DN72" s="80">
        <v>31.145833333333329</v>
      </c>
      <c r="DO72" s="1">
        <v>16.635833333333331</v>
      </c>
      <c r="DP72" s="192">
        <v>1204.5333333333331</v>
      </c>
      <c r="DQ72" s="22">
        <v>116.9269</v>
      </c>
      <c r="DR72" s="22"/>
      <c r="DS72" s="188"/>
      <c r="DT72" s="123">
        <v>100</v>
      </c>
      <c r="DU72" s="193">
        <f t="shared" ref="DU72:DU74" si="88">EC$15*26.6+EE$15*40+EG$15*2.8</f>
        <v>50.488400000000006</v>
      </c>
      <c r="DV72" s="155">
        <f t="shared" ref="DV72:EE74" si="89">26.6*DV44+40*DV49+2.8*DV54</f>
        <v>122.12418666666667</v>
      </c>
      <c r="DW72" s="155">
        <f>26.6*DX44+40*DX49+2.8*DX54</f>
        <v>114.94457333333332</v>
      </c>
      <c r="DX72" s="155">
        <f>26.6*DZ44+40*DZ49+2.8*DZ54</f>
        <v>109.29856000000001</v>
      </c>
      <c r="DY72" s="155">
        <f>26.6*EB44+40*EB49+2.8*EB54</f>
        <v>105.01726666666667</v>
      </c>
      <c r="DZ72" s="155">
        <f>26.6*ED44+40*ED49+2.8*ED54</f>
        <v>119.89682666666667</v>
      </c>
      <c r="EA72" s="155">
        <f t="shared" si="86"/>
        <v>123.31274666666665</v>
      </c>
      <c r="EB72" s="155">
        <f t="shared" si="86"/>
        <v>4.3696469188157288</v>
      </c>
      <c r="EC72" s="155">
        <f t="shared" si="89"/>
        <v>7.9943287331509394</v>
      </c>
      <c r="ED72" s="155">
        <f>26.6*DW44+40*DW49+2.8*DW54</f>
        <v>5.6831862621897509</v>
      </c>
      <c r="EE72" s="155">
        <f t="shared" si="89"/>
        <v>2.0080676138458409</v>
      </c>
      <c r="EF72" s="155">
        <f>26.6*DY44+40*DY49+2.8*DY54</f>
        <v>4.6292851068105483</v>
      </c>
      <c r="EG72" s="155">
        <f>26.6*EA44+40*EA49+2.8*EA54</f>
        <v>5.6169585004088587</v>
      </c>
      <c r="EO72" s="180"/>
    </row>
    <row r="73" spans="1:149" s="1" customFormat="1" ht="19">
      <c r="A73" s="25"/>
      <c r="B73" s="74"/>
      <c r="C73" s="75"/>
      <c r="D73" s="76"/>
      <c r="E73" s="76"/>
      <c r="F73" s="76"/>
      <c r="G73" s="77"/>
      <c r="H73" s="67">
        <v>0.68789999999999996</v>
      </c>
      <c r="I73" s="25"/>
      <c r="J73" s="25"/>
      <c r="K73" s="67">
        <v>0.17899999999999999</v>
      </c>
      <c r="L73" s="25"/>
      <c r="M73" s="25"/>
      <c r="N73" s="67">
        <v>2.23E-2</v>
      </c>
      <c r="O73" s="25"/>
      <c r="P73" s="25"/>
      <c r="Q73" s="86">
        <v>9.1120000000000001</v>
      </c>
      <c r="R73" s="25"/>
      <c r="S73" s="25"/>
      <c r="T73" s="67">
        <v>798.4</v>
      </c>
      <c r="U73" s="25"/>
      <c r="V73" s="25"/>
      <c r="W73" s="25"/>
      <c r="X73" s="25"/>
      <c r="Y73" s="25"/>
      <c r="Z73" s="67">
        <v>352.1</v>
      </c>
      <c r="AA73" s="25"/>
      <c r="AB73" s="66"/>
      <c r="AC73" s="66"/>
      <c r="AD73" s="66"/>
      <c r="AE73" s="66"/>
      <c r="AF73" s="67">
        <v>244.1</v>
      </c>
      <c r="AG73" s="25"/>
      <c r="AH73" s="88"/>
      <c r="AI73" s="25"/>
      <c r="AJ73" s="25"/>
      <c r="AK73" s="25"/>
      <c r="AL73" s="67">
        <f t="shared" ref="AL73:AL95" si="90">U73+AA73</f>
        <v>0</v>
      </c>
      <c r="AM73" s="67"/>
      <c r="AQ73" s="1">
        <f t="shared" si="63"/>
        <v>1.6</v>
      </c>
      <c r="AR73" s="1">
        <v>160</v>
      </c>
      <c r="AS73" s="1">
        <f t="shared" si="64"/>
        <v>12.344620573530046</v>
      </c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>
        <v>100</v>
      </c>
      <c r="DM73" s="22"/>
      <c r="DN73" s="80">
        <v>22.647916666666664</v>
      </c>
      <c r="DO73" s="1">
        <v>8.1379166666666638</v>
      </c>
      <c r="DP73" s="192">
        <v>1601.8666666666668</v>
      </c>
      <c r="DQ73" s="22">
        <v>105.01726666666667</v>
      </c>
      <c r="DR73" s="22"/>
      <c r="DS73" s="188"/>
      <c r="DT73" s="123">
        <v>200</v>
      </c>
      <c r="DU73" s="193">
        <f t="shared" si="88"/>
        <v>50.488400000000006</v>
      </c>
      <c r="DV73" s="155">
        <f t="shared" si="89"/>
        <v>132.72582666666668</v>
      </c>
      <c r="DW73" s="155">
        <f>26.6*DX45+40*DX50+2.8*DX55</f>
        <v>134.4838</v>
      </c>
      <c r="DX73" s="155">
        <f>26.6*DZ45+40*DZ50+2.8*DZ55</f>
        <v>139.57417333333333</v>
      </c>
      <c r="DY73" s="155">
        <f>26.6*EB45+40*EB50+2.8*EB55</f>
        <v>131.24102666666667</v>
      </c>
      <c r="DZ73" s="155">
        <f>26.6*ED45+40*ED50+2.8*ED55</f>
        <v>128.12693333333334</v>
      </c>
      <c r="EA73" s="155">
        <f t="shared" si="86"/>
        <v>121.23402666666665</v>
      </c>
      <c r="EB73" s="155">
        <f t="shared" si="86"/>
        <v>3.7450645689443518</v>
      </c>
      <c r="EC73" s="155">
        <f t="shared" si="89"/>
        <v>3.8598195378394502</v>
      </c>
      <c r="ED73" s="155">
        <f>26.6*DW45+40*DW50+2.8*DW55</f>
        <v>3.6169651428812042</v>
      </c>
      <c r="EE73" s="155">
        <f t="shared" si="89"/>
        <v>1.6580476159729058</v>
      </c>
      <c r="EF73" s="155">
        <f>26.6*DY45+40*DY50+2.8*DY55</f>
        <v>3.6418387853354424</v>
      </c>
      <c r="EG73" s="155">
        <f>26.6*EA45+40*EA50+2.8*EA55</f>
        <v>1.5234898183440988</v>
      </c>
      <c r="EO73" s="180"/>
    </row>
    <row r="74" spans="1:149" s="1" customFormat="1" ht="19">
      <c r="A74" s="25"/>
      <c r="B74" s="74"/>
      <c r="C74" s="75"/>
      <c r="D74" s="76"/>
      <c r="E74" s="76"/>
      <c r="F74" s="76"/>
      <c r="G74" s="77"/>
      <c r="H74" s="67">
        <v>0.69140000000000001</v>
      </c>
      <c r="I74" s="67">
        <f>AVERAGE(H72:H74)</f>
        <v>0.69003333333333339</v>
      </c>
      <c r="J74" s="67">
        <f>STDEV(H72:H74)</f>
        <v>1.8717193521822185E-3</v>
      </c>
      <c r="K74" s="67">
        <v>0.17399999999999999</v>
      </c>
      <c r="L74" s="67">
        <f>AVERAGE(K73:K74)</f>
        <v>0.17649999999999999</v>
      </c>
      <c r="M74" s="67">
        <f>STDEV(K73:K74)</f>
        <v>3.5355339059327407E-3</v>
      </c>
      <c r="N74" s="67">
        <v>1.9300000000000001E-2</v>
      </c>
      <c r="O74" s="67">
        <f>AVERAGE(N74,N72)</f>
        <v>1.9599999999999999E-2</v>
      </c>
      <c r="P74" s="67">
        <f>STDEV(N74,N72)</f>
        <v>4.2426406871192844E-4</v>
      </c>
      <c r="Q74" s="86">
        <v>8.9480000000000004</v>
      </c>
      <c r="R74" s="86">
        <f>AVERAGE(Q72:Q74)</f>
        <v>9.027000000000001</v>
      </c>
      <c r="S74" s="67">
        <f>STDEV(Q72:Q74)</f>
        <v>8.2164469206585711E-2</v>
      </c>
      <c r="T74" s="67">
        <v>815.2</v>
      </c>
      <c r="U74" s="67">
        <f>AVERAGE(T72:T74)</f>
        <v>814.36666666666679</v>
      </c>
      <c r="V74" s="67">
        <f>STDEV(T72:T74)</f>
        <v>15.566738044090474</v>
      </c>
      <c r="W74" s="67"/>
      <c r="X74" s="67"/>
      <c r="Y74" s="67"/>
      <c r="Z74" s="67">
        <v>382.1</v>
      </c>
      <c r="AA74" s="67">
        <f>AVERAGE(Z72:Z74)</f>
        <v>369.4666666666667</v>
      </c>
      <c r="AB74" s="67">
        <f>STDEV(Z72:Z74)</f>
        <v>15.550026795260939</v>
      </c>
      <c r="AC74" s="67"/>
      <c r="AD74" s="67"/>
      <c r="AE74" s="67"/>
      <c r="AF74" s="67">
        <v>258.7</v>
      </c>
      <c r="AG74" s="67">
        <f>AVERAGE(AF72:AF74)</f>
        <v>256.06666666666666</v>
      </c>
      <c r="AH74" s="68">
        <f>STDEV(AF72:AF74)</f>
        <v>10.891433942935759</v>
      </c>
      <c r="AI74" s="67"/>
      <c r="AJ74" s="67"/>
      <c r="AK74" s="67"/>
      <c r="AL74" s="67">
        <f t="shared" si="90"/>
        <v>1183.8333333333335</v>
      </c>
      <c r="AM74" s="67">
        <f t="shared" ref="AM74:AM95" si="91">AA74/U74</f>
        <v>0.45368589087634559</v>
      </c>
      <c r="AQ74" s="1">
        <f t="shared" si="63"/>
        <v>1.7</v>
      </c>
      <c r="AR74" s="1">
        <v>170</v>
      </c>
      <c r="AS74" s="1">
        <f t="shared" si="64"/>
        <v>9.1451198482734561</v>
      </c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>
        <v>200</v>
      </c>
      <c r="DM74" s="22"/>
      <c r="DN74" s="80">
        <v>20.0625</v>
      </c>
      <c r="DO74" s="1">
        <v>5.5525000000000002</v>
      </c>
      <c r="DP74" s="192">
        <v>1657.9</v>
      </c>
      <c r="DQ74" s="22">
        <v>131.24102666666667</v>
      </c>
      <c r="DR74" s="22"/>
      <c r="DS74" s="188"/>
      <c r="DT74" s="123">
        <v>300</v>
      </c>
      <c r="DU74" s="193">
        <f t="shared" si="88"/>
        <v>50.488400000000006</v>
      </c>
      <c r="DV74" s="155">
        <f t="shared" si="89"/>
        <v>119.57726</v>
      </c>
      <c r="DW74" s="155">
        <f>26.6*DX46+40*DX51+2.8*DX56</f>
        <v>115.11968666666667</v>
      </c>
      <c r="DX74" s="155">
        <f>26.6*DZ46+40*DZ51+2.8*DZ56</f>
        <v>102.01624666666667</v>
      </c>
      <c r="DY74" s="155">
        <f>26.6*EB46+40*EB51+2.8*EB56</f>
        <v>95.228920000000002</v>
      </c>
      <c r="DZ74" s="155">
        <f>26.6*ED46+40*ED51+2.8*ED56</f>
        <v>81.097120000000004</v>
      </c>
      <c r="EA74" s="155">
        <f t="shared" si="86"/>
        <v>43.908380000000008</v>
      </c>
      <c r="EB74" s="155">
        <f t="shared" si="86"/>
        <v>2.1860723111730866</v>
      </c>
      <c r="EC74" s="155">
        <f t="shared" si="89"/>
        <v>3.4901482255163891</v>
      </c>
      <c r="ED74" s="155">
        <f>26.6*DW46+40*DW51+2.8*DW56</f>
        <v>3.4470588545206033</v>
      </c>
      <c r="EE74" s="155">
        <f t="shared" si="89"/>
        <v>2.6182446370991288</v>
      </c>
      <c r="EF74" s="155">
        <f>26.6*DY46+40*DY51+2.8*DY56</f>
        <v>3.8880975946421663</v>
      </c>
      <c r="EG74" s="155">
        <f>26.6*EA46+40*EA51+2.8*EA56</f>
        <v>0.85855556481285933</v>
      </c>
      <c r="EO74" s="180"/>
    </row>
    <row r="75" spans="1:149" s="1" customFormat="1" ht="19">
      <c r="A75" s="25"/>
      <c r="B75" s="74"/>
      <c r="C75" s="75"/>
      <c r="D75" s="76">
        <v>1594</v>
      </c>
      <c r="E75" s="76"/>
      <c r="F75" s="76"/>
      <c r="G75" s="77" t="s">
        <v>10</v>
      </c>
      <c r="H75" s="67">
        <v>0.7258</v>
      </c>
      <c r="I75" s="25"/>
      <c r="J75" s="25"/>
      <c r="K75" s="67">
        <v>0.182</v>
      </c>
      <c r="L75" s="25"/>
      <c r="M75" s="25"/>
      <c r="N75" s="67">
        <v>1.9900000000000001E-2</v>
      </c>
      <c r="O75" s="25"/>
      <c r="P75" s="25"/>
      <c r="Q75" s="86">
        <v>8.2159999999999993</v>
      </c>
      <c r="R75" s="25"/>
      <c r="S75" s="25"/>
      <c r="T75" s="67">
        <v>765.1</v>
      </c>
      <c r="U75" s="25"/>
      <c r="V75" s="25"/>
      <c r="W75" s="25"/>
      <c r="X75" s="25"/>
      <c r="Y75" s="25"/>
      <c r="Z75" s="67">
        <v>311.39999999999998</v>
      </c>
      <c r="AA75" s="25"/>
      <c r="AB75" s="66"/>
      <c r="AC75" s="66"/>
      <c r="AD75" s="66"/>
      <c r="AE75" s="66"/>
      <c r="AF75" s="67">
        <v>289.3</v>
      </c>
      <c r="AG75" s="25"/>
      <c r="AH75" s="88"/>
      <c r="AI75" s="25"/>
      <c r="AJ75" s="25"/>
      <c r="AK75" s="25"/>
      <c r="AL75" s="67">
        <f t="shared" si="90"/>
        <v>0</v>
      </c>
      <c r="AM75" s="67"/>
      <c r="AQ75" s="1">
        <f t="shared" si="63"/>
        <v>1.8</v>
      </c>
      <c r="AR75" s="1">
        <v>180</v>
      </c>
      <c r="AS75" s="1">
        <f t="shared" si="64"/>
        <v>6.7748714139190058</v>
      </c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>
        <v>300</v>
      </c>
      <c r="DM75" s="22"/>
      <c r="DN75" s="80">
        <v>45.834374999999994</v>
      </c>
      <c r="DO75" s="1">
        <v>31.324374999999996</v>
      </c>
      <c r="DP75" s="192">
        <v>553.86666666666667</v>
      </c>
      <c r="DQ75" s="22">
        <v>95.228920000000002</v>
      </c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O75" s="180"/>
    </row>
    <row r="76" spans="1:149" s="1" customFormat="1" ht="19">
      <c r="A76" s="25"/>
      <c r="B76" s="74"/>
      <c r="C76" s="75"/>
      <c r="D76" s="76"/>
      <c r="E76" s="76"/>
      <c r="F76" s="76"/>
      <c r="G76" s="77"/>
      <c r="H76" s="67">
        <v>0.72750000000000004</v>
      </c>
      <c r="I76" s="25"/>
      <c r="J76" s="25"/>
      <c r="K76" s="67">
        <v>0.17899999999999999</v>
      </c>
      <c r="L76" s="25"/>
      <c r="M76" s="25"/>
      <c r="N76" s="67">
        <v>2.0299999999999999E-2</v>
      </c>
      <c r="O76" s="25"/>
      <c r="P76" s="25"/>
      <c r="Q76" s="86">
        <v>8.4589999999999996</v>
      </c>
      <c r="R76" s="25"/>
      <c r="S76" s="25"/>
      <c r="T76" s="67">
        <v>729.9</v>
      </c>
      <c r="U76" s="25"/>
      <c r="V76" s="25"/>
      <c r="W76" s="25"/>
      <c r="X76" s="25"/>
      <c r="Y76" s="25"/>
      <c r="Z76" s="67">
        <v>295.7</v>
      </c>
      <c r="AA76" s="25"/>
      <c r="AB76" s="66"/>
      <c r="AC76" s="66"/>
      <c r="AD76" s="66"/>
      <c r="AE76" s="66"/>
      <c r="AF76" s="67">
        <v>251.1</v>
      </c>
      <c r="AG76" s="25"/>
      <c r="AH76" s="88"/>
      <c r="AI76" s="25"/>
      <c r="AJ76" s="25"/>
      <c r="AK76" s="25"/>
      <c r="AL76" s="67">
        <f t="shared" si="90"/>
        <v>0</v>
      </c>
      <c r="AM76" s="67"/>
      <c r="AQ76" s="1">
        <f t="shared" si="63"/>
        <v>1.9000000000000001</v>
      </c>
      <c r="AR76" s="1">
        <v>190</v>
      </c>
      <c r="AS76" s="1">
        <f t="shared" si="64"/>
        <v>5.0189481862069076</v>
      </c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P76" s="192"/>
      <c r="DQ76" s="22"/>
      <c r="DR76" s="22"/>
      <c r="DS76" s="194"/>
      <c r="DT76" s="194"/>
      <c r="DU76" s="100"/>
      <c r="DV76" s="161"/>
      <c r="DW76" s="163"/>
      <c r="DX76" s="161"/>
      <c r="DY76" s="176"/>
      <c r="DZ76" s="161"/>
      <c r="EA76" s="176"/>
      <c r="EB76" s="161"/>
      <c r="EC76" s="176"/>
      <c r="ED76" s="161"/>
      <c r="EE76" s="176"/>
      <c r="EF76" s="161"/>
      <c r="EG76" s="176"/>
      <c r="EI76" s="3"/>
      <c r="EJ76" s="163"/>
      <c r="EK76" s="176"/>
      <c r="EL76" s="176"/>
      <c r="EM76" s="176"/>
      <c r="EN76" s="176"/>
      <c r="EO76" s="180"/>
    </row>
    <row r="77" spans="1:149" s="1" customFormat="1" ht="26">
      <c r="A77" s="25"/>
      <c r="B77" s="74"/>
      <c r="C77" s="75"/>
      <c r="D77" s="76"/>
      <c r="E77" s="76"/>
      <c r="F77" s="76"/>
      <c r="G77" s="77"/>
      <c r="H77" s="67">
        <v>0.72699999999999998</v>
      </c>
      <c r="I77" s="67">
        <f>AVERAGE(H75:H77)</f>
        <v>0.72676666666666667</v>
      </c>
      <c r="J77" s="67">
        <f>STDEV(H75:H77)</f>
        <v>8.736894948054222E-4</v>
      </c>
      <c r="K77" s="67">
        <v>0.17799999999999999</v>
      </c>
      <c r="L77" s="67">
        <f>AVERAGE(K75:K77)</f>
        <v>0.17966666666666664</v>
      </c>
      <c r="M77" s="67">
        <f>STDEV(K75:K77)</f>
        <v>2.0816659994661348E-3</v>
      </c>
      <c r="N77" s="67">
        <v>2.01E-2</v>
      </c>
      <c r="O77" s="67">
        <f>AVERAGE(N75:N77)</f>
        <v>2.01E-2</v>
      </c>
      <c r="P77" s="67">
        <f>STDEV(N75:N77)</f>
        <v>1.9999999999999879E-4</v>
      </c>
      <c r="Q77" s="86">
        <v>8.6020000000000003</v>
      </c>
      <c r="R77" s="86">
        <f>AVERAGE(Q75:Q77)</f>
        <v>8.4256666666666664</v>
      </c>
      <c r="S77" s="67">
        <f>STDEV(Q75:Q77)</f>
        <v>0.19514695317461025</v>
      </c>
      <c r="T77" s="67">
        <v>732.9</v>
      </c>
      <c r="U77" s="67">
        <f>AVERAGE(T75:T77)</f>
        <v>742.63333333333333</v>
      </c>
      <c r="V77" s="67">
        <f>STDEV(T75:T77)</f>
        <v>19.514439098609376</v>
      </c>
      <c r="W77" s="67"/>
      <c r="X77" s="67"/>
      <c r="Y77" s="67"/>
      <c r="Z77" s="67">
        <v>301.10000000000002</v>
      </c>
      <c r="AA77" s="67">
        <f>AVERAGE(Z75:Z77)</f>
        <v>302.73333333333329</v>
      </c>
      <c r="AB77" s="67">
        <f>STDEV(Z75:Z77)</f>
        <v>7.9764235928975831</v>
      </c>
      <c r="AC77" s="67"/>
      <c r="AD77" s="67"/>
      <c r="AE77" s="67"/>
      <c r="AF77" s="67">
        <v>268.5</v>
      </c>
      <c r="AG77" s="67">
        <f>AVERAGE(AF75:AF77)</f>
        <v>269.63333333333333</v>
      </c>
      <c r="AH77" s="68">
        <f>STDEV(AF75:AF77)</f>
        <v>19.125201523992725</v>
      </c>
      <c r="AI77" s="67"/>
      <c r="AJ77" s="67"/>
      <c r="AK77" s="67"/>
      <c r="AL77" s="67">
        <f t="shared" si="90"/>
        <v>1045.3666666666666</v>
      </c>
      <c r="AM77" s="67">
        <f t="shared" si="91"/>
        <v>0.40764845818932621</v>
      </c>
      <c r="AQ77" s="1">
        <f t="shared" si="63"/>
        <v>2</v>
      </c>
      <c r="AR77" s="1">
        <v>200</v>
      </c>
      <c r="AS77" s="1">
        <f t="shared" si="64"/>
        <v>3.7181282649995375</v>
      </c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>
        <v>50</v>
      </c>
      <c r="DM77" s="22"/>
      <c r="DN77" s="80">
        <v>32.037500000000001</v>
      </c>
      <c r="DO77" s="1">
        <v>17.527500000000003</v>
      </c>
      <c r="DP77" s="192">
        <v>1557.8999999999999</v>
      </c>
      <c r="DQ77" s="22">
        <v>113.28596000000003</v>
      </c>
      <c r="DR77" s="22"/>
      <c r="DS77" s="195" t="s">
        <v>233</v>
      </c>
      <c r="DT77" s="196"/>
      <c r="DU77" s="196"/>
      <c r="DV77" s="196"/>
      <c r="DW77" s="196"/>
      <c r="DX77" s="196"/>
      <c r="DY77" s="196"/>
      <c r="DZ77" s="196"/>
      <c r="EA77" s="196"/>
      <c r="EB77" s="196"/>
      <c r="EC77" s="196"/>
      <c r="ED77" s="196"/>
      <c r="EE77" s="197" t="s">
        <v>119</v>
      </c>
      <c r="EF77" s="198"/>
      <c r="EG77" s="198"/>
      <c r="EH77" s="198"/>
      <c r="EI77" s="198"/>
      <c r="EJ77" s="199"/>
      <c r="EK77" s="176"/>
      <c r="EL77" s="176"/>
      <c r="EM77" s="176"/>
      <c r="EN77" s="176"/>
      <c r="EO77" s="180"/>
    </row>
    <row r="78" spans="1:149" s="1" customFormat="1" ht="26.25" customHeight="1">
      <c r="A78" s="25"/>
      <c r="B78" s="74"/>
      <c r="C78" s="75"/>
      <c r="D78" s="76">
        <v>155</v>
      </c>
      <c r="E78" s="76"/>
      <c r="F78" s="76"/>
      <c r="G78" s="77" t="s">
        <v>13</v>
      </c>
      <c r="H78" s="67">
        <v>0.56810000000000005</v>
      </c>
      <c r="I78" s="25"/>
      <c r="J78" s="25"/>
      <c r="K78" s="67">
        <v>0.17199999999999999</v>
      </c>
      <c r="L78" s="25"/>
      <c r="M78" s="25"/>
      <c r="N78" s="67">
        <v>1.9199999999999998E-2</v>
      </c>
      <c r="O78" s="25"/>
      <c r="P78" s="25"/>
      <c r="Q78" s="86">
        <v>7.5019999999999998</v>
      </c>
      <c r="R78" s="25"/>
      <c r="S78" s="25"/>
      <c r="T78" s="67">
        <v>718.4</v>
      </c>
      <c r="U78" s="25"/>
      <c r="V78" s="25"/>
      <c r="W78" s="25"/>
      <c r="X78" s="25"/>
      <c r="Y78" s="25"/>
      <c r="Z78" s="67">
        <v>302.89999999999998</v>
      </c>
      <c r="AA78" s="25"/>
      <c r="AB78" s="66"/>
      <c r="AC78" s="66"/>
      <c r="AD78" s="66"/>
      <c r="AE78" s="66"/>
      <c r="AF78" s="67">
        <v>198.2</v>
      </c>
      <c r="AG78" s="25"/>
      <c r="AH78" s="88"/>
      <c r="AI78" s="25"/>
      <c r="AJ78" s="25"/>
      <c r="AK78" s="25"/>
      <c r="AL78" s="67">
        <f t="shared" si="90"/>
        <v>0</v>
      </c>
      <c r="AM78" s="67"/>
      <c r="AQ78" s="1">
        <f t="shared" si="63"/>
        <v>2.1</v>
      </c>
      <c r="AR78" s="1">
        <v>210</v>
      </c>
      <c r="AS78" s="1">
        <f t="shared" si="64"/>
        <v>2.7544571655433607</v>
      </c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>
        <v>100</v>
      </c>
      <c r="DM78" s="22"/>
      <c r="DN78" s="80">
        <v>25.483333333333331</v>
      </c>
      <c r="DO78" s="1">
        <v>10.973333333333331</v>
      </c>
      <c r="DP78" s="192">
        <v>1456.1333333333332</v>
      </c>
      <c r="DQ78" s="22">
        <v>119.89682666666667</v>
      </c>
      <c r="DR78" s="22"/>
      <c r="DS78" s="200" t="s">
        <v>121</v>
      </c>
      <c r="DT78" s="131" t="s">
        <v>122</v>
      </c>
      <c r="DU78" s="131" t="s">
        <v>123</v>
      </c>
      <c r="DV78" s="201" t="s">
        <v>234</v>
      </c>
      <c r="DW78" s="202" t="s">
        <v>109</v>
      </c>
      <c r="DX78" s="202"/>
      <c r="DY78" s="202" t="s">
        <v>101</v>
      </c>
      <c r="DZ78" s="202"/>
      <c r="EA78" s="202" t="s">
        <v>110</v>
      </c>
      <c r="EB78" s="202"/>
      <c r="EC78" s="202" t="s">
        <v>111</v>
      </c>
      <c r="ED78" s="202"/>
      <c r="EE78" s="1" t="s">
        <v>235</v>
      </c>
      <c r="EF78" s="203" t="s">
        <v>236</v>
      </c>
      <c r="EG78" s="203"/>
      <c r="EH78" s="203" t="s">
        <v>165</v>
      </c>
      <c r="EI78" s="203"/>
      <c r="EJ78" s="203" t="s">
        <v>182</v>
      </c>
      <c r="EK78" s="179" t="s">
        <v>165</v>
      </c>
      <c r="EL78" s="179" t="s">
        <v>167</v>
      </c>
      <c r="EM78" s="179" t="s">
        <v>168</v>
      </c>
      <c r="EN78" s="179" t="s">
        <v>169</v>
      </c>
      <c r="EO78" s="180"/>
    </row>
    <row r="79" spans="1:149" s="1" customFormat="1" ht="20">
      <c r="A79" s="25"/>
      <c r="B79" s="74"/>
      <c r="C79" s="75"/>
      <c r="D79" s="76"/>
      <c r="E79" s="76"/>
      <c r="F79" s="76"/>
      <c r="G79" s="77"/>
      <c r="H79" s="67">
        <v>0.56920000000000004</v>
      </c>
      <c r="I79" s="25"/>
      <c r="J79" s="25"/>
      <c r="K79" s="67">
        <v>0.17599999999999999</v>
      </c>
      <c r="L79" s="25"/>
      <c r="M79" s="25"/>
      <c r="N79" s="67">
        <v>1.84E-2</v>
      </c>
      <c r="O79" s="25"/>
      <c r="P79" s="25"/>
      <c r="Q79" s="86">
        <v>7.7140000000000004</v>
      </c>
      <c r="R79" s="25"/>
      <c r="S79" s="25"/>
      <c r="T79" s="67">
        <v>683.9</v>
      </c>
      <c r="U79" s="25"/>
      <c r="V79" s="25"/>
      <c r="W79" s="25"/>
      <c r="X79" s="25"/>
      <c r="Y79" s="25"/>
      <c r="Z79" s="67">
        <v>275.89999999999998</v>
      </c>
      <c r="AA79" s="25"/>
      <c r="AB79" s="66"/>
      <c r="AC79" s="66"/>
      <c r="AD79" s="66"/>
      <c r="AE79" s="66"/>
      <c r="AF79" s="67">
        <v>177.1</v>
      </c>
      <c r="AG79" s="25"/>
      <c r="AH79" s="88"/>
      <c r="AI79" s="25"/>
      <c r="AJ79" s="25"/>
      <c r="AK79" s="25"/>
      <c r="AL79" s="67">
        <f t="shared" si="90"/>
        <v>0</v>
      </c>
      <c r="AM79" s="67"/>
      <c r="AQ79" s="1">
        <f t="shared" si="63"/>
        <v>2.2000000000000002</v>
      </c>
      <c r="AR79" s="1">
        <v>220</v>
      </c>
      <c r="AS79" s="1">
        <f t="shared" si="64"/>
        <v>2.0405520563218409</v>
      </c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>
        <v>200</v>
      </c>
      <c r="DM79" s="22"/>
      <c r="DN79" s="80">
        <v>21.137499999999996</v>
      </c>
      <c r="DO79" s="1">
        <v>6.6274999999999959</v>
      </c>
      <c r="DP79" s="192">
        <v>1702.3666666666666</v>
      </c>
      <c r="DQ79" s="22">
        <v>128.12693333333334</v>
      </c>
      <c r="DR79" s="22"/>
      <c r="DS79" s="204"/>
      <c r="DT79" s="131"/>
      <c r="DU79" s="131"/>
      <c r="DV79" s="205"/>
      <c r="DW79" s="206" t="s">
        <v>1</v>
      </c>
      <c r="DX79" s="206" t="s">
        <v>2</v>
      </c>
      <c r="DY79" s="206" t="s">
        <v>1</v>
      </c>
      <c r="DZ79" s="206" t="s">
        <v>2</v>
      </c>
      <c r="EA79" s="206" t="s">
        <v>1</v>
      </c>
      <c r="EB79" s="206" t="s">
        <v>2</v>
      </c>
      <c r="EC79" s="206" t="s">
        <v>1</v>
      </c>
      <c r="ED79" s="206" t="s">
        <v>2</v>
      </c>
      <c r="EE79" s="207" t="s">
        <v>1</v>
      </c>
      <c r="EF79" s="203"/>
      <c r="EG79" s="203"/>
      <c r="EH79" s="203" t="s">
        <v>166</v>
      </c>
      <c r="EI79" s="203"/>
      <c r="EJ79" s="203"/>
      <c r="EK79" s="180"/>
      <c r="EL79" s="141">
        <v>0</v>
      </c>
      <c r="EM79" s="141">
        <v>27</v>
      </c>
      <c r="EN79" s="143">
        <v>29.805</v>
      </c>
      <c r="EO79" s="180"/>
      <c r="EP79" s="1">
        <v>0</v>
      </c>
      <c r="EQ79" s="1">
        <v>36</v>
      </c>
    </row>
    <row r="80" spans="1:149" s="1" customFormat="1" ht="13.5" customHeight="1">
      <c r="A80" s="25"/>
      <c r="B80" s="74"/>
      <c r="C80" s="75"/>
      <c r="D80" s="25"/>
      <c r="E80" s="25"/>
      <c r="F80" s="25"/>
      <c r="G80" s="178"/>
      <c r="H80" s="67">
        <v>0.56879999999999997</v>
      </c>
      <c r="I80" s="67">
        <f>AVERAGE(H78:H80)</f>
        <v>0.56870000000000009</v>
      </c>
      <c r="J80" s="67">
        <f>STDEV(H78:H80)</f>
        <v>5.5677643628299067E-4</v>
      </c>
      <c r="K80" s="67">
        <v>0.16900000000000001</v>
      </c>
      <c r="L80" s="67">
        <f>AVERAGE(K78:K80)</f>
        <v>0.17233333333333334</v>
      </c>
      <c r="M80" s="67">
        <f>STDEV(K78:K80)</f>
        <v>3.5118845842842363E-3</v>
      </c>
      <c r="N80" s="67">
        <v>1.89E-2</v>
      </c>
      <c r="O80" s="67">
        <f>AVERAGE(N78:N80)</f>
        <v>1.883333333333333E-2</v>
      </c>
      <c r="P80" s="67">
        <f>STDEV(N78:N80)</f>
        <v>4.0414518843273747E-4</v>
      </c>
      <c r="Q80" s="86">
        <v>7.4089999999999998</v>
      </c>
      <c r="R80" s="86">
        <f>AVERAGE(Q78:Q80)</f>
        <v>7.541666666666667</v>
      </c>
      <c r="S80" s="67">
        <f>STDEV(Q78:Q80)</f>
        <v>0.15632125042147482</v>
      </c>
      <c r="T80" s="67">
        <v>958.2</v>
      </c>
      <c r="U80" s="25">
        <f>AVERAGE(T78:T79)</f>
        <v>701.15</v>
      </c>
      <c r="V80" s="25">
        <f>STDEV(T78:T79)</f>
        <v>24.395183950935891</v>
      </c>
      <c r="W80" s="25"/>
      <c r="X80" s="25"/>
      <c r="Y80" s="25"/>
      <c r="Z80" s="67">
        <v>288.2</v>
      </c>
      <c r="AA80" s="67">
        <f>AVERAGE(Z78:Z80)</f>
        <v>289</v>
      </c>
      <c r="AB80" s="67">
        <f>STDEV(Z78:Z80)</f>
        <v>13.517766087634451</v>
      </c>
      <c r="AC80" s="67"/>
      <c r="AD80" s="67"/>
      <c r="AE80" s="67"/>
      <c r="AF80" s="67">
        <v>121.3</v>
      </c>
      <c r="AG80" s="25">
        <f>AVERAGE(AF78:AF79)</f>
        <v>187.64999999999998</v>
      </c>
      <c r="AH80" s="88">
        <f>STDEV(AF78:AF79)</f>
        <v>14.919953083036148</v>
      </c>
      <c r="AI80" s="25"/>
      <c r="AJ80" s="25"/>
      <c r="AK80" s="25"/>
      <c r="AL80" s="67">
        <f t="shared" si="90"/>
        <v>990.15</v>
      </c>
      <c r="AM80" s="67">
        <f t="shared" si="91"/>
        <v>0.41217999001640165</v>
      </c>
      <c r="AQ80" s="1">
        <f t="shared" si="63"/>
        <v>2.3000000000000003</v>
      </c>
      <c r="AR80" s="1">
        <v>230</v>
      </c>
      <c r="AS80" s="1">
        <f t="shared" si="64"/>
        <v>1.5116781435727671</v>
      </c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>
        <v>300</v>
      </c>
      <c r="DM80" s="22"/>
      <c r="DN80" s="80">
        <v>27.391666666666662</v>
      </c>
      <c r="DO80" s="1">
        <v>12.881666666666662</v>
      </c>
      <c r="DP80" s="192">
        <v>502.13333333333327</v>
      </c>
      <c r="DQ80" s="22">
        <v>81.097120000000004</v>
      </c>
      <c r="DR80" s="22">
        <v>0</v>
      </c>
      <c r="DS80" s="132" t="s">
        <v>124</v>
      </c>
      <c r="DT80" s="142" t="s">
        <v>125</v>
      </c>
      <c r="DU80" s="141">
        <v>22</v>
      </c>
      <c r="DV80" s="141">
        <v>430</v>
      </c>
      <c r="DW80" s="143">
        <v>1.4279999999999999</v>
      </c>
      <c r="DX80" s="143">
        <v>4.3840620433565985E-2</v>
      </c>
      <c r="DY80" s="143">
        <v>13.293333333333331</v>
      </c>
      <c r="DZ80" s="143">
        <v>0.72265713400846843</v>
      </c>
      <c r="EA80" s="143">
        <v>0.29616666666666669</v>
      </c>
      <c r="EB80" s="143">
        <v>8.2002032495136074E-3</v>
      </c>
      <c r="EC80" s="143">
        <v>1.7333333333333336E-2</v>
      </c>
      <c r="ED80" s="143">
        <v>2.2546248764114475E-3</v>
      </c>
      <c r="EE80" s="1">
        <f>DW80*26.6+EA80*40+EC80*2.8</f>
        <v>49.88</v>
      </c>
      <c r="EF80" s="203" t="s">
        <v>179</v>
      </c>
      <c r="EG80" s="141">
        <v>0</v>
      </c>
      <c r="EH80" s="208">
        <v>0</v>
      </c>
      <c r="EI80" s="203">
        <v>13.29</v>
      </c>
      <c r="EJ80" s="203"/>
      <c r="EK80" s="180"/>
      <c r="EL80" s="141">
        <v>0</v>
      </c>
      <c r="EM80" s="141">
        <v>32</v>
      </c>
      <c r="EN80" s="143">
        <v>38.835000000000001</v>
      </c>
      <c r="EO80" s="180"/>
      <c r="EP80" s="1">
        <v>420</v>
      </c>
      <c r="EQ80" s="1">
        <v>45</v>
      </c>
    </row>
    <row r="81" spans="1:147" s="1" customFormat="1" ht="19">
      <c r="A81" s="25"/>
      <c r="B81" s="74" t="s">
        <v>7</v>
      </c>
      <c r="C81" s="75" t="s">
        <v>41</v>
      </c>
      <c r="D81" s="76"/>
      <c r="E81" s="76"/>
      <c r="F81" s="76"/>
      <c r="G81" s="77" t="s">
        <v>14</v>
      </c>
      <c r="H81" s="67">
        <v>0.4415</v>
      </c>
      <c r="I81" s="25"/>
      <c r="J81" s="25"/>
      <c r="K81" s="67">
        <v>0.17199999999999999</v>
      </c>
      <c r="L81" s="25"/>
      <c r="M81" s="25"/>
      <c r="N81" s="114">
        <v>1.821E-2</v>
      </c>
      <c r="O81" s="25"/>
      <c r="P81" s="25"/>
      <c r="Q81" s="67">
        <v>6.0209999999999999</v>
      </c>
      <c r="R81" s="25"/>
      <c r="S81" s="25"/>
      <c r="T81" s="67">
        <v>514.20000000000005</v>
      </c>
      <c r="U81" s="25"/>
      <c r="V81" s="25"/>
      <c r="W81" s="25"/>
      <c r="X81" s="25"/>
      <c r="Y81" s="25"/>
      <c r="Z81" s="67">
        <v>270.3</v>
      </c>
      <c r="AA81" s="25"/>
      <c r="AB81" s="25"/>
      <c r="AC81" s="25"/>
      <c r="AD81" s="25"/>
      <c r="AE81" s="25"/>
      <c r="AF81" s="67">
        <v>125.6</v>
      </c>
      <c r="AG81" s="25"/>
      <c r="AH81" s="88"/>
      <c r="AI81" s="25"/>
      <c r="AJ81" s="25"/>
      <c r="AK81" s="25"/>
      <c r="AL81" s="67">
        <f t="shared" si="90"/>
        <v>0</v>
      </c>
      <c r="AM81" s="67"/>
      <c r="AQ81" s="1">
        <f t="shared" si="63"/>
        <v>2.4</v>
      </c>
      <c r="AR81" s="1">
        <v>240</v>
      </c>
      <c r="AS81" s="1">
        <f t="shared" si="64"/>
        <v>1.1198787125650198</v>
      </c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P81" s="192"/>
      <c r="DQ81" s="22"/>
      <c r="DR81" s="22">
        <v>10</v>
      </c>
      <c r="DS81" s="209"/>
      <c r="DT81" s="142" t="s">
        <v>126</v>
      </c>
      <c r="DU81" s="141">
        <v>22</v>
      </c>
      <c r="DV81" s="141">
        <v>450</v>
      </c>
      <c r="DW81" s="143">
        <v>1.4240000000000002</v>
      </c>
      <c r="DX81" s="143">
        <v>2.9000000000000026E-2</v>
      </c>
      <c r="DY81" s="143">
        <v>22.526666666666667</v>
      </c>
      <c r="DZ81" s="143">
        <v>0.91500455372273148</v>
      </c>
      <c r="EA81" s="143">
        <v>0.54554999999999998</v>
      </c>
      <c r="EB81" s="143">
        <v>3.3234018715768E-3</v>
      </c>
      <c r="EC81" s="143">
        <v>2.0133333333333333E-2</v>
      </c>
      <c r="ED81" s="143">
        <v>2.2941955743426344E-3</v>
      </c>
      <c r="EE81" s="1">
        <f t="shared" ref="EE81:EE93" si="92">DW81*26.6+EA81*40+EC81*2.8</f>
        <v>59.756773333333335</v>
      </c>
      <c r="EF81" s="203"/>
      <c r="EG81" s="141">
        <v>430</v>
      </c>
      <c r="EH81" s="203">
        <f>DY81-DY80</f>
        <v>9.2333333333333361</v>
      </c>
      <c r="EI81" s="203">
        <f>DY81</f>
        <v>22.526666666666667</v>
      </c>
      <c r="EJ81" s="203">
        <v>13.29</v>
      </c>
      <c r="EK81" s="180"/>
      <c r="EL81" s="141">
        <v>0</v>
      </c>
      <c r="EM81" s="141">
        <v>31</v>
      </c>
      <c r="EN81" s="143">
        <v>36.416666666666664</v>
      </c>
      <c r="EO81" s="180"/>
      <c r="EP81" s="1">
        <v>700</v>
      </c>
      <c r="EQ81" s="1">
        <v>75</v>
      </c>
    </row>
    <row r="82" spans="1:147" s="1" customFormat="1" ht="19">
      <c r="A82" s="25"/>
      <c r="B82" s="74"/>
      <c r="C82" s="75"/>
      <c r="D82" s="76"/>
      <c r="E82" s="76"/>
      <c r="F82" s="76"/>
      <c r="G82" s="77"/>
      <c r="H82" s="67">
        <v>0.4612</v>
      </c>
      <c r="I82" s="25"/>
      <c r="J82" s="25"/>
      <c r="K82" s="67">
        <v>0.16800000000000001</v>
      </c>
      <c r="L82" s="25"/>
      <c r="M82" s="25"/>
      <c r="N82" s="114">
        <v>1.7950000000000001E-2</v>
      </c>
      <c r="O82" s="25"/>
      <c r="P82" s="25"/>
      <c r="Q82" s="67">
        <v>6.1120000000000001</v>
      </c>
      <c r="R82" s="25"/>
      <c r="S82" s="25"/>
      <c r="T82" s="67">
        <v>490.6</v>
      </c>
      <c r="U82" s="25"/>
      <c r="V82" s="25"/>
      <c r="W82" s="25"/>
      <c r="X82" s="25"/>
      <c r="Y82" s="25"/>
      <c r="Z82" s="67">
        <v>248.3</v>
      </c>
      <c r="AA82" s="25"/>
      <c r="AB82" s="25"/>
      <c r="AC82" s="25"/>
      <c r="AD82" s="25"/>
      <c r="AE82" s="25"/>
      <c r="AF82" s="67">
        <v>101.4</v>
      </c>
      <c r="AG82" s="25"/>
      <c r="AH82" s="88"/>
      <c r="AI82" s="25"/>
      <c r="AJ82" s="25"/>
      <c r="AK82" s="25"/>
      <c r="AL82" s="67">
        <f t="shared" si="90"/>
        <v>0</v>
      </c>
      <c r="AM82" s="67"/>
      <c r="AQ82" s="1">
        <f t="shared" si="63"/>
        <v>2.5</v>
      </c>
      <c r="AR82" s="1">
        <v>250</v>
      </c>
      <c r="AS82" s="1">
        <f t="shared" si="64"/>
        <v>0.82962655522175044</v>
      </c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>
        <v>50</v>
      </c>
      <c r="DM82" s="22"/>
      <c r="DN82" s="80">
        <v>32.993749999999999</v>
      </c>
      <c r="DO82" s="1">
        <v>18.483750000000001</v>
      </c>
      <c r="DP82" s="192">
        <v>1389.7333333333333</v>
      </c>
      <c r="DQ82" s="22">
        <v>99.468493333333342</v>
      </c>
      <c r="DR82" s="22">
        <v>30</v>
      </c>
      <c r="DS82" s="209"/>
      <c r="DT82" s="142" t="s">
        <v>127</v>
      </c>
      <c r="DU82" s="141">
        <v>22</v>
      </c>
      <c r="DV82" s="141">
        <v>460</v>
      </c>
      <c r="DW82" s="143">
        <v>1.4610000000000001</v>
      </c>
      <c r="DX82" s="143">
        <v>2.8284271247461926E-2</v>
      </c>
      <c r="DY82" s="143">
        <v>36.543333333333329</v>
      </c>
      <c r="DZ82" s="143">
        <v>0.87386116364862654</v>
      </c>
      <c r="EA82" s="143">
        <v>0.91516666666666679</v>
      </c>
      <c r="EB82" s="143">
        <v>6.9550005990893587E-2</v>
      </c>
      <c r="EC82" s="143">
        <v>2.0566666666666667E-2</v>
      </c>
      <c r="ED82" s="143">
        <v>1.7009801096230766E-3</v>
      </c>
      <c r="EE82" s="1">
        <f t="shared" si="92"/>
        <v>75.526853333333335</v>
      </c>
      <c r="EF82" s="203"/>
      <c r="EG82" s="141">
        <v>460</v>
      </c>
      <c r="EH82" s="203">
        <f>DY82-DY81</f>
        <v>14.016666666666662</v>
      </c>
      <c r="EI82" s="203">
        <f>DY82</f>
        <v>36.543333333333329</v>
      </c>
      <c r="EJ82" s="203">
        <v>13.29</v>
      </c>
      <c r="EK82" s="180"/>
      <c r="EL82" s="141">
        <v>0</v>
      </c>
      <c r="EM82" s="141">
        <v>30</v>
      </c>
      <c r="EN82" s="143">
        <v>38.034999999999997</v>
      </c>
      <c r="EO82" s="180"/>
    </row>
    <row r="83" spans="1:147" s="1" customFormat="1" ht="19">
      <c r="A83" s="25"/>
      <c r="B83" s="74"/>
      <c r="C83" s="75"/>
      <c r="D83" s="76"/>
      <c r="E83" s="76"/>
      <c r="F83" s="76"/>
      <c r="G83" s="77"/>
      <c r="H83" s="67">
        <v>0.43890000000000001</v>
      </c>
      <c r="I83" s="67">
        <f>AVERAGE(H81:H83)</f>
        <v>0.44720000000000004</v>
      </c>
      <c r="J83" s="67">
        <f>STDEV(H81:H83)</f>
        <v>1.2193850909372309E-2</v>
      </c>
      <c r="K83" s="67">
        <v>0.16700000000000001</v>
      </c>
      <c r="L83" s="67">
        <f>AVERAGE(K81:K83)</f>
        <v>0.16900000000000001</v>
      </c>
      <c r="M83" s="67">
        <f>STDEV(K81:K83)</f>
        <v>2.6457513110645773E-3</v>
      </c>
      <c r="N83" s="114">
        <v>1.8149999999999999E-2</v>
      </c>
      <c r="O83" s="67">
        <f>AVERAGE(N81:N83)</f>
        <v>1.8103333333333332E-2</v>
      </c>
      <c r="P83" s="67">
        <f>STDEV(N81:N83)</f>
        <v>1.3613718571108062E-4</v>
      </c>
      <c r="Q83" s="67">
        <v>6.1029999999999998</v>
      </c>
      <c r="R83" s="86">
        <f>AVERAGE(Q81:Q83)</f>
        <v>6.078666666666666</v>
      </c>
      <c r="S83" s="67">
        <f>STDEV(Q81:Q83)</f>
        <v>5.0143128475727723E-2</v>
      </c>
      <c r="T83" s="67">
        <v>501.3</v>
      </c>
      <c r="U83" s="67">
        <f>AVERAGE(T81:T83)</f>
        <v>502.03333333333336</v>
      </c>
      <c r="V83" s="67">
        <f>STDEV(T81:T83)</f>
        <v>11.81707803703325</v>
      </c>
      <c r="W83" s="67"/>
      <c r="X83" s="67"/>
      <c r="Y83" s="67"/>
      <c r="Z83" s="67">
        <v>121.4</v>
      </c>
      <c r="AA83" s="25">
        <f>AVERAGE(Z81:Z82)</f>
        <v>259.3</v>
      </c>
      <c r="AB83" s="25">
        <f>STDEV(Z81:Z82)</f>
        <v>15.556349186104045</v>
      </c>
      <c r="AC83" s="25"/>
      <c r="AD83" s="25"/>
      <c r="AE83" s="25"/>
      <c r="AF83" s="67">
        <v>110.1</v>
      </c>
      <c r="AG83" s="67">
        <f>AVERAGE(AF81:AF83)</f>
        <v>112.36666666666667</v>
      </c>
      <c r="AH83" s="68">
        <f>STDEV(AF81:AF83)</f>
        <v>12.25819453807669</v>
      </c>
      <c r="AI83" s="67"/>
      <c r="AJ83" s="67"/>
      <c r="AK83" s="67"/>
      <c r="AL83" s="67">
        <f t="shared" si="90"/>
        <v>761.33333333333337</v>
      </c>
      <c r="AM83" s="67">
        <f t="shared" si="91"/>
        <v>0.51649956842175149</v>
      </c>
      <c r="AQ83" s="1">
        <f t="shared" si="63"/>
        <v>2.6</v>
      </c>
      <c r="AR83" s="1">
        <v>260</v>
      </c>
      <c r="AS83" s="1">
        <f t="shared" si="64"/>
        <v>0.61460246846968025</v>
      </c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>
        <v>100</v>
      </c>
      <c r="DM83" s="22"/>
      <c r="DN83" s="80">
        <v>27.239583333333332</v>
      </c>
      <c r="DO83" s="1">
        <v>12.729583333333332</v>
      </c>
      <c r="DP83" s="192">
        <v>1344.5666666666666</v>
      </c>
      <c r="DQ83" s="22">
        <v>123.31274666666665</v>
      </c>
      <c r="DR83" s="22">
        <v>50</v>
      </c>
      <c r="DS83" s="209"/>
      <c r="DT83" s="142" t="s">
        <v>128</v>
      </c>
      <c r="DU83" s="141">
        <v>23</v>
      </c>
      <c r="DV83" s="141">
        <v>600</v>
      </c>
      <c r="DW83" s="143">
        <v>1.5225</v>
      </c>
      <c r="DX83" s="143">
        <v>2.8991378028648394E-2</v>
      </c>
      <c r="DY83" s="143">
        <v>61.954999999999998</v>
      </c>
      <c r="DZ83" s="143">
        <v>1.5344217151748092</v>
      </c>
      <c r="EA83" s="143">
        <v>1.1273333333333335</v>
      </c>
      <c r="EB83" s="143">
        <v>0.10975847727320809</v>
      </c>
      <c r="EC83" s="143">
        <v>2.41E-2</v>
      </c>
      <c r="ED83" s="143">
        <v>2.1656407827707726E-3</v>
      </c>
      <c r="EE83" s="1">
        <f t="shared" si="92"/>
        <v>85.659313333333344</v>
      </c>
      <c r="EF83" s="203"/>
      <c r="EG83" s="141">
        <v>600</v>
      </c>
      <c r="EH83" s="203">
        <f>DY83-DY$87</f>
        <v>23.119999999999997</v>
      </c>
      <c r="EI83" s="203">
        <f>DY83-DY80</f>
        <v>48.661666666666669</v>
      </c>
      <c r="EJ83" s="203">
        <v>38.799999999999997</v>
      </c>
      <c r="EK83" s="180"/>
      <c r="EL83" s="141">
        <v>0</v>
      </c>
      <c r="EM83" s="141">
        <v>30</v>
      </c>
      <c r="EN83" s="143">
        <v>37.956666666666671</v>
      </c>
      <c r="EO83" s="180"/>
    </row>
    <row r="84" spans="1:147" s="1" customFormat="1" ht="19">
      <c r="A84" s="25"/>
      <c r="B84" s="74"/>
      <c r="C84" s="75"/>
      <c r="D84" s="76"/>
      <c r="E84" s="76"/>
      <c r="F84" s="76"/>
      <c r="G84" s="77" t="s">
        <v>11</v>
      </c>
      <c r="H84" s="67">
        <v>0.4718</v>
      </c>
      <c r="I84" s="25"/>
      <c r="J84" s="25"/>
      <c r="K84" s="67">
        <v>0.17199999999999999</v>
      </c>
      <c r="L84" s="25"/>
      <c r="M84" s="25"/>
      <c r="N84" s="114">
        <v>1.9019999999999999E-2</v>
      </c>
      <c r="O84" s="25"/>
      <c r="P84" s="25"/>
      <c r="Q84" s="67">
        <v>6.2539999999999996</v>
      </c>
      <c r="R84" s="25"/>
      <c r="S84" s="25"/>
      <c r="T84" s="67">
        <v>559.79999999999995</v>
      </c>
      <c r="U84" s="25"/>
      <c r="V84" s="25"/>
      <c r="W84" s="25"/>
      <c r="X84" s="25"/>
      <c r="Y84" s="25"/>
      <c r="Z84" s="67">
        <v>290.10000000000002</v>
      </c>
      <c r="AA84" s="25"/>
      <c r="AB84" s="25"/>
      <c r="AC84" s="25"/>
      <c r="AD84" s="25"/>
      <c r="AE84" s="25"/>
      <c r="AF84" s="67">
        <v>108.3</v>
      </c>
      <c r="AG84" s="25"/>
      <c r="AH84" s="88"/>
      <c r="AI84" s="25"/>
      <c r="AJ84" s="25"/>
      <c r="AK84" s="25"/>
      <c r="AL84" s="67">
        <f t="shared" si="90"/>
        <v>0</v>
      </c>
      <c r="AM84" s="67"/>
      <c r="AQ84" s="1">
        <f t="shared" si="63"/>
        <v>2.7</v>
      </c>
      <c r="AR84" s="1">
        <v>270</v>
      </c>
      <c r="AS84" s="1">
        <f t="shared" si="64"/>
        <v>0.45530870711830018</v>
      </c>
      <c r="DL84" s="1">
        <v>200</v>
      </c>
      <c r="DN84" s="80">
        <v>24.277083333333334</v>
      </c>
      <c r="DO84" s="1">
        <v>9.7670833333333338</v>
      </c>
      <c r="DP84" s="192">
        <v>1736.35</v>
      </c>
      <c r="DQ84" s="22">
        <v>121.23402666666665</v>
      </c>
      <c r="DR84" s="22">
        <v>110</v>
      </c>
      <c r="DS84" s="209"/>
      <c r="DT84" s="142" t="s">
        <v>129</v>
      </c>
      <c r="DU84" s="141">
        <v>30</v>
      </c>
      <c r="DV84" s="141">
        <v>800</v>
      </c>
      <c r="DW84" s="143">
        <v>1.5686666666666664</v>
      </c>
      <c r="DX84" s="143">
        <v>8.5049005481154117E-3</v>
      </c>
      <c r="DY84" s="143">
        <v>73.990000000000009</v>
      </c>
      <c r="DZ84" s="143">
        <v>1.6075758146973975</v>
      </c>
      <c r="EA84" s="143">
        <v>1.51525</v>
      </c>
      <c r="EB84" s="143">
        <v>9.1004642738708535E-2</v>
      </c>
      <c r="EC84" s="143">
        <v>2.5966666666666666E-2</v>
      </c>
      <c r="ED84" s="143">
        <v>2.9365512652316035E-3</v>
      </c>
      <c r="EE84" s="1">
        <f t="shared" si="92"/>
        <v>102.40924</v>
      </c>
      <c r="EF84" s="203"/>
      <c r="EG84" s="141">
        <v>800</v>
      </c>
      <c r="EH84" s="203">
        <f>DY84-DY$87</f>
        <v>35.155000000000008</v>
      </c>
      <c r="EI84" s="203">
        <f>DY84-DY88</f>
        <v>37.573333333333345</v>
      </c>
      <c r="EJ84" s="203">
        <v>38.799999999999997</v>
      </c>
      <c r="EK84" s="180"/>
      <c r="EL84" s="141">
        <v>0</v>
      </c>
      <c r="EM84" s="141">
        <v>30</v>
      </c>
      <c r="EN84" s="143">
        <v>38.016666666666666</v>
      </c>
      <c r="EO84" s="180"/>
    </row>
    <row r="85" spans="1:147" s="1" customFormat="1" ht="19">
      <c r="A85" s="25"/>
      <c r="B85" s="74"/>
      <c r="C85" s="75"/>
      <c r="D85" s="76"/>
      <c r="E85" s="76"/>
      <c r="F85" s="76"/>
      <c r="G85" s="77"/>
      <c r="H85" s="67">
        <v>0.47060000000000002</v>
      </c>
      <c r="I85" s="25"/>
      <c r="J85" s="25"/>
      <c r="K85" s="67">
        <v>0.16900000000000001</v>
      </c>
      <c r="L85" s="25"/>
      <c r="M85" s="25"/>
      <c r="N85" s="114">
        <v>1.9109999999999999E-2</v>
      </c>
      <c r="O85" s="25"/>
      <c r="P85" s="25"/>
      <c r="Q85" s="67">
        <v>6.3120000000000003</v>
      </c>
      <c r="R85" s="25"/>
      <c r="S85" s="25"/>
      <c r="T85" s="67">
        <v>518.70000000000005</v>
      </c>
      <c r="U85" s="25"/>
      <c r="V85" s="25"/>
      <c r="W85" s="25"/>
      <c r="X85" s="25"/>
      <c r="Y85" s="25"/>
      <c r="Z85" s="67">
        <v>315.5</v>
      </c>
      <c r="AA85" s="25"/>
      <c r="AB85" s="25"/>
      <c r="AC85" s="25"/>
      <c r="AD85" s="25"/>
      <c r="AE85" s="25"/>
      <c r="AF85" s="67">
        <v>99.6</v>
      </c>
      <c r="AG85" s="25"/>
      <c r="AH85" s="88"/>
      <c r="AI85" s="25"/>
      <c r="AJ85" s="25"/>
      <c r="AK85" s="25"/>
      <c r="AL85" s="67">
        <f t="shared" si="90"/>
        <v>0</v>
      </c>
      <c r="AM85" s="67"/>
      <c r="AQ85" s="1">
        <f t="shared" si="63"/>
        <v>2.8000000000000003</v>
      </c>
      <c r="AR85" s="1">
        <v>280</v>
      </c>
      <c r="AS85" s="1">
        <f t="shared" si="64"/>
        <v>0.33730098626827232</v>
      </c>
      <c r="DL85" s="1">
        <v>300</v>
      </c>
      <c r="DM85" s="80">
        <v>13.875</v>
      </c>
      <c r="DO85" s="1">
        <v>0</v>
      </c>
      <c r="DP85" s="192">
        <v>420.89999999999992</v>
      </c>
      <c r="DQ85" s="22">
        <v>43.908380000000008</v>
      </c>
      <c r="DR85" s="22"/>
      <c r="DS85" s="209"/>
      <c r="DT85" s="142" t="s">
        <v>130</v>
      </c>
      <c r="DU85" s="141">
        <v>34</v>
      </c>
      <c r="DV85" s="141">
        <v>430</v>
      </c>
      <c r="DW85" s="143">
        <v>1.5796666666666666</v>
      </c>
      <c r="DX85" s="143">
        <v>1.2055427546683426E-2</v>
      </c>
      <c r="DY85" s="143">
        <v>60.940000000000005</v>
      </c>
      <c r="DZ85" s="143">
        <v>3.0650122348858586</v>
      </c>
      <c r="EA85" s="143">
        <v>1.5847333333333333</v>
      </c>
      <c r="EB85" s="143">
        <v>0.2093232985917563</v>
      </c>
      <c r="EC85" s="143">
        <v>2.5333333333333333E-2</v>
      </c>
      <c r="ED85" s="143">
        <v>2.2143471573656493E-3</v>
      </c>
      <c r="EE85" s="1">
        <f t="shared" si="92"/>
        <v>105.4794</v>
      </c>
      <c r="EF85" s="203"/>
      <c r="EG85" s="141">
        <v>430</v>
      </c>
      <c r="EH85" s="203">
        <f>DY85-DY$92</f>
        <v>22.153333333333336</v>
      </c>
      <c r="EI85" s="203">
        <f>DY85-DY89</f>
        <v>22.905000000000008</v>
      </c>
      <c r="EJ85" s="203">
        <v>38.799999999999997</v>
      </c>
      <c r="EK85" s="180"/>
      <c r="EL85" s="141">
        <v>0</v>
      </c>
      <c r="EM85" s="141">
        <v>26</v>
      </c>
      <c r="EN85" s="143">
        <v>38.786666666666669</v>
      </c>
      <c r="EO85" s="180"/>
    </row>
    <row r="86" spans="1:147" s="1" customFormat="1" ht="19">
      <c r="A86" s="25"/>
      <c r="B86" s="74"/>
      <c r="C86" s="75"/>
      <c r="D86" s="76"/>
      <c r="E86" s="76"/>
      <c r="F86" s="76"/>
      <c r="G86" s="77"/>
      <c r="H86" s="67">
        <v>0.47270000000000001</v>
      </c>
      <c r="I86" s="67">
        <f>AVERAGE(H84:H86)</f>
        <v>0.47170000000000001</v>
      </c>
      <c r="J86" s="67">
        <f>STDEV(H84:H86)</f>
        <v>1.0535653752852686E-3</v>
      </c>
      <c r="K86" s="67">
        <v>0.152</v>
      </c>
      <c r="L86" s="67">
        <f>AVERAGE(K84:K85)</f>
        <v>0.17049999999999998</v>
      </c>
      <c r="M86" s="67">
        <f>STDEV(K84:K85)</f>
        <v>2.1213203435596246E-3</v>
      </c>
      <c r="N86" s="114">
        <v>1.95E-2</v>
      </c>
      <c r="O86" s="67">
        <f>AVERAGE(N84:N86)</f>
        <v>1.9210000000000001E-2</v>
      </c>
      <c r="P86" s="114">
        <f>STDEV(N84:N86)</f>
        <v>2.5514701644346226E-4</v>
      </c>
      <c r="Q86" s="67">
        <v>6.4249999999999998</v>
      </c>
      <c r="R86" s="86">
        <f>AVERAGE(Q84:Q86)</f>
        <v>6.3303333333333329</v>
      </c>
      <c r="S86" s="67">
        <f>STDEV(Q84:Q86)</f>
        <v>8.696167738339311E-2</v>
      </c>
      <c r="T86" s="67">
        <v>530.1</v>
      </c>
      <c r="U86" s="67">
        <f>AVERAGE(T84:T86)</f>
        <v>536.19999999999993</v>
      </c>
      <c r="V86" s="67">
        <f>STDEV(T84:T86)</f>
        <v>21.21815260572885</v>
      </c>
      <c r="W86" s="67"/>
      <c r="X86" s="67"/>
      <c r="Y86" s="67"/>
      <c r="Z86" s="67">
        <v>289.2</v>
      </c>
      <c r="AA86" s="67">
        <f>AVERAGE(Z84:Z86)</f>
        <v>298.26666666666665</v>
      </c>
      <c r="AB86" s="67">
        <f>STDEV(Z84:Z86)</f>
        <v>14.931287062183664</v>
      </c>
      <c r="AC86" s="67"/>
      <c r="AD86" s="67"/>
      <c r="AE86" s="67"/>
      <c r="AF86" s="67">
        <v>105.7</v>
      </c>
      <c r="AG86" s="67">
        <f>AVERAGE(AF84:AF86)</f>
        <v>104.53333333333332</v>
      </c>
      <c r="AH86" s="68">
        <f>STDEV(AF84:AF86)</f>
        <v>4.4657959350303233</v>
      </c>
      <c r="AI86" s="67"/>
      <c r="AJ86" s="67"/>
      <c r="AK86" s="67"/>
      <c r="AL86" s="67">
        <f t="shared" si="90"/>
        <v>834.46666666666658</v>
      </c>
      <c r="AM86" s="67">
        <f t="shared" si="91"/>
        <v>0.55626010195200803</v>
      </c>
      <c r="AQ86" s="1">
        <f t="shared" si="63"/>
        <v>2.9</v>
      </c>
      <c r="AR86" s="1">
        <v>290</v>
      </c>
      <c r="AS86" s="1">
        <f t="shared" si="64"/>
        <v>0.2498787164814503</v>
      </c>
      <c r="DQ86" s="22"/>
      <c r="DR86" s="22"/>
      <c r="DS86" s="139"/>
      <c r="DT86" s="142" t="s">
        <v>131</v>
      </c>
      <c r="DU86" s="141">
        <v>27</v>
      </c>
      <c r="DV86" s="141">
        <v>0</v>
      </c>
      <c r="DW86" s="143">
        <v>1.4055</v>
      </c>
      <c r="DX86" s="143">
        <v>1.2020815280171239E-2</v>
      </c>
      <c r="DY86" s="143">
        <v>29.805</v>
      </c>
      <c r="DZ86" s="143">
        <v>1.7606958851545047</v>
      </c>
      <c r="EA86" s="143">
        <v>0.62420000000000009</v>
      </c>
      <c r="EB86" s="143">
        <v>2.9274220741123059E-2</v>
      </c>
      <c r="EC86" s="143">
        <v>1.6649999999999998E-2</v>
      </c>
      <c r="ED86" s="143">
        <v>3.8890872965260124E-3</v>
      </c>
      <c r="EE86" s="1">
        <f t="shared" si="92"/>
        <v>62.400919999999999</v>
      </c>
      <c r="EF86" s="203"/>
      <c r="EG86" s="141">
        <v>0</v>
      </c>
      <c r="EH86" s="203">
        <f>MAX(0,DY86-DY$89)</f>
        <v>0</v>
      </c>
      <c r="EI86" s="203">
        <f>DY86-DY90</f>
        <v>-8.1516666666666708</v>
      </c>
      <c r="EJ86" s="203">
        <v>36.6</v>
      </c>
      <c r="EK86" s="180"/>
      <c r="EL86" s="141">
        <v>0</v>
      </c>
      <c r="EM86" s="141">
        <v>22</v>
      </c>
      <c r="EO86" s="143">
        <v>36.43</v>
      </c>
    </row>
    <row r="87" spans="1:147" s="1" customFormat="1" ht="19">
      <c r="A87" s="25"/>
      <c r="B87" s="74"/>
      <c r="C87" s="75"/>
      <c r="D87" s="76"/>
      <c r="E87" s="76"/>
      <c r="F87" s="76"/>
      <c r="G87" s="77" t="s">
        <v>12</v>
      </c>
      <c r="H87" s="67">
        <v>0.49120000000000003</v>
      </c>
      <c r="I87" s="25"/>
      <c r="J87" s="25"/>
      <c r="K87" s="67">
        <v>0.17199999999999999</v>
      </c>
      <c r="L87" s="25"/>
      <c r="M87" s="25"/>
      <c r="N87" s="114">
        <v>1.925E-2</v>
      </c>
      <c r="O87" s="25"/>
      <c r="P87" s="25"/>
      <c r="Q87" s="3">
        <v>6.9870000000000001</v>
      </c>
      <c r="T87" s="67">
        <v>640.9</v>
      </c>
      <c r="U87" s="25"/>
      <c r="V87" s="25"/>
      <c r="W87" s="25"/>
      <c r="X87" s="25"/>
      <c r="Y87" s="25"/>
      <c r="Z87" s="67">
        <v>289.10000000000002</v>
      </c>
      <c r="AA87" s="25"/>
      <c r="AB87" s="25"/>
      <c r="AC87" s="25"/>
      <c r="AD87" s="25"/>
      <c r="AE87" s="25"/>
      <c r="AF87" s="67">
        <v>155.30000000000001</v>
      </c>
      <c r="AG87" s="25"/>
      <c r="AH87" s="88"/>
      <c r="AI87" s="25"/>
      <c r="AJ87" s="25"/>
      <c r="AK87" s="25"/>
      <c r="AL87" s="67">
        <f t="shared" si="90"/>
        <v>0</v>
      </c>
      <c r="AM87" s="67"/>
      <c r="AQ87" s="1">
        <f t="shared" si="63"/>
        <v>3</v>
      </c>
      <c r="AR87" s="1">
        <v>300</v>
      </c>
      <c r="AS87" s="1">
        <f t="shared" si="64"/>
        <v>0.18511470613001935</v>
      </c>
      <c r="DK87" s="1" t="s">
        <v>186</v>
      </c>
      <c r="DN87" s="1">
        <v>31.69</v>
      </c>
      <c r="DP87" s="1">
        <v>1227.3233333333335</v>
      </c>
      <c r="DQ87" s="22">
        <v>85.057786666666672</v>
      </c>
      <c r="DR87" s="22"/>
      <c r="DS87" s="132" t="s">
        <v>132</v>
      </c>
      <c r="DT87" s="142" t="s">
        <v>133</v>
      </c>
      <c r="DU87" s="141">
        <v>32</v>
      </c>
      <c r="DV87" s="141">
        <v>0</v>
      </c>
      <c r="DW87" s="143">
        <v>1.355</v>
      </c>
      <c r="DX87" s="143">
        <v>5.0911688245431463E-2</v>
      </c>
      <c r="DY87" s="143">
        <v>38.835000000000001</v>
      </c>
      <c r="DZ87" s="143">
        <v>0.26162950903902576</v>
      </c>
      <c r="EA87" s="143">
        <v>0.48726666666666668</v>
      </c>
      <c r="EB87" s="143">
        <v>4.9447783907201892E-2</v>
      </c>
      <c r="EC87" s="143">
        <v>1.7299999999999999E-2</v>
      </c>
      <c r="ED87" s="143">
        <v>1.6970562748477136E-3</v>
      </c>
      <c r="EE87" s="1">
        <f t="shared" si="92"/>
        <v>55.582106666666661</v>
      </c>
      <c r="EF87" s="203"/>
      <c r="EG87" s="203"/>
      <c r="EH87" s="203"/>
      <c r="EI87" s="203"/>
      <c r="EJ87" s="203"/>
      <c r="EK87" s="180"/>
      <c r="EL87" s="210">
        <v>0</v>
      </c>
      <c r="EM87" s="210">
        <v>25</v>
      </c>
      <c r="EN87" s="210">
        <v>14.51</v>
      </c>
      <c r="EO87" s="180"/>
    </row>
    <row r="88" spans="1:147" s="1" customFormat="1" ht="19">
      <c r="A88" s="25"/>
      <c r="B88" s="74"/>
      <c r="C88" s="75"/>
      <c r="D88" s="76"/>
      <c r="E88" s="76"/>
      <c r="F88" s="76"/>
      <c r="G88" s="77"/>
      <c r="H88" s="67">
        <v>0.48570000000000002</v>
      </c>
      <c r="I88" s="25"/>
      <c r="J88" s="25"/>
      <c r="K88" s="67">
        <v>0.17499999999999999</v>
      </c>
      <c r="L88" s="25"/>
      <c r="M88" s="25"/>
      <c r="N88" s="114">
        <v>1.9480000000000001E-2</v>
      </c>
      <c r="O88" s="25"/>
      <c r="P88" s="25"/>
      <c r="Q88" s="3">
        <v>6.8449999999999998</v>
      </c>
      <c r="T88" s="67">
        <v>602.6</v>
      </c>
      <c r="U88" s="25"/>
      <c r="V88" s="25"/>
      <c r="W88" s="25"/>
      <c r="X88" s="25"/>
      <c r="Y88" s="25"/>
      <c r="Z88" s="67">
        <v>311.39999999999998</v>
      </c>
      <c r="AA88" s="25"/>
      <c r="AB88" s="25"/>
      <c r="AC88" s="25"/>
      <c r="AD88" s="25"/>
      <c r="AE88" s="25"/>
      <c r="AF88" s="67">
        <v>136.19999999999999</v>
      </c>
      <c r="AG88" s="25"/>
      <c r="AH88" s="88"/>
      <c r="AI88" s="25"/>
      <c r="AJ88" s="25"/>
      <c r="AK88" s="25"/>
      <c r="AL88" s="67">
        <f t="shared" si="90"/>
        <v>0</v>
      </c>
      <c r="AM88" s="67"/>
      <c r="DN88" s="1">
        <v>39.76</v>
      </c>
      <c r="DP88" s="1">
        <v>1282.1500000000001</v>
      </c>
      <c r="DQ88" s="22">
        <v>84.574826666666667</v>
      </c>
      <c r="DR88" s="22"/>
      <c r="DS88" s="209"/>
      <c r="DT88" s="142" t="s">
        <v>134</v>
      </c>
      <c r="DU88" s="141">
        <v>31</v>
      </c>
      <c r="DV88" s="141">
        <v>0</v>
      </c>
      <c r="DW88" s="143">
        <v>1.335333333333333</v>
      </c>
      <c r="DX88" s="143">
        <v>7.351417096950312E-2</v>
      </c>
      <c r="DY88" s="143">
        <v>36.416666666666664</v>
      </c>
      <c r="DZ88" s="143">
        <v>2.7000061728324494</v>
      </c>
      <c r="EA88" s="143">
        <v>0.62515000000000009</v>
      </c>
      <c r="EB88" s="143">
        <v>2.5102290732122421E-2</v>
      </c>
      <c r="EC88" s="143">
        <v>1.9366666666666667E-2</v>
      </c>
      <c r="ED88" s="143">
        <v>2.0428737928059422E-3</v>
      </c>
      <c r="EE88" s="1">
        <f t="shared" si="92"/>
        <v>60.580093333333323</v>
      </c>
      <c r="EF88" s="203"/>
      <c r="EG88" s="203"/>
      <c r="EH88" s="203"/>
      <c r="EI88" s="203"/>
      <c r="EJ88" s="203"/>
      <c r="EK88" s="180"/>
      <c r="EL88" s="210">
        <v>0</v>
      </c>
      <c r="EM88" s="210">
        <v>22</v>
      </c>
      <c r="EN88" s="210">
        <v>13.293333333333331</v>
      </c>
      <c r="EO88" s="180"/>
    </row>
    <row r="89" spans="1:147" s="1" customFormat="1" ht="19">
      <c r="A89" s="25"/>
      <c r="B89" s="74"/>
      <c r="C89" s="75"/>
      <c r="D89" s="76"/>
      <c r="E89" s="76"/>
      <c r="F89" s="76"/>
      <c r="G89" s="77"/>
      <c r="H89" s="67">
        <v>0.48359999999999997</v>
      </c>
      <c r="I89" s="67">
        <f>AVERAGE(H87:H89)</f>
        <v>0.4868333333333334</v>
      </c>
      <c r="J89" s="67">
        <f>STDEV(H87:H89)</f>
        <v>3.9247080570831644E-3</v>
      </c>
      <c r="K89" s="67">
        <v>0.17100000000000001</v>
      </c>
      <c r="L89" s="67">
        <f>AVERAGE(K87:K89)</f>
        <v>0.17266666666666666</v>
      </c>
      <c r="M89" s="67">
        <f>STDEV(K87:K89)</f>
        <v>2.0816659994661235E-3</v>
      </c>
      <c r="N89" s="114">
        <v>1.7420000000000001E-2</v>
      </c>
      <c r="O89" s="67">
        <f>AVERAGE(N87:N88)</f>
        <v>1.9365E-2</v>
      </c>
      <c r="P89" s="67">
        <f>STDEV(N87:N88)</f>
        <v>1.6263455967290667E-4</v>
      </c>
      <c r="Q89" s="3">
        <v>7.0209999999999999</v>
      </c>
      <c r="R89" s="86">
        <f>AVERAGE(Q87:Q89)</f>
        <v>6.9510000000000005</v>
      </c>
      <c r="S89" s="67">
        <f>STDEV(Q87:Q89)</f>
        <v>9.335952013587058E-2</v>
      </c>
      <c r="T89" s="67">
        <v>626.29999999999995</v>
      </c>
      <c r="U89" s="67">
        <f>AVERAGE(T87:T89)</f>
        <v>623.26666666666665</v>
      </c>
      <c r="V89" s="67">
        <f>STDEV(T87:T89)</f>
        <v>19.32933866776958</v>
      </c>
      <c r="W89" s="67"/>
      <c r="X89" s="67"/>
      <c r="Y89" s="67"/>
      <c r="Z89" s="67">
        <v>305.60000000000002</v>
      </c>
      <c r="AA89" s="67">
        <f>AVERAGE(Z87:Z89)</f>
        <v>302.03333333333336</v>
      </c>
      <c r="AB89" s="67">
        <f>STDEV(Z87:Z89)</f>
        <v>11.569932295970142</v>
      </c>
      <c r="AC89" s="67"/>
      <c r="AD89" s="67"/>
      <c r="AE89" s="67"/>
      <c r="AF89" s="67">
        <v>200.3</v>
      </c>
      <c r="AG89" s="25">
        <f>AVERAGE(AF87:AF88)</f>
        <v>145.75</v>
      </c>
      <c r="AH89" s="88">
        <f>STDEV(AF87:AF88)</f>
        <v>13.505739520663074</v>
      </c>
      <c r="AI89" s="25"/>
      <c r="AJ89" s="25"/>
      <c r="AK89" s="25"/>
      <c r="AL89" s="67">
        <f t="shared" si="90"/>
        <v>925.3</v>
      </c>
      <c r="AM89" s="67">
        <f t="shared" si="91"/>
        <v>0.48459728313188583</v>
      </c>
      <c r="DN89" s="1">
        <v>43.589999999999996</v>
      </c>
      <c r="DP89" s="1">
        <v>1125.0666666666666</v>
      </c>
      <c r="DQ89" s="22">
        <v>79.092066666666653</v>
      </c>
      <c r="DR89" s="22"/>
      <c r="DS89" s="209"/>
      <c r="DT89" s="142" t="s">
        <v>135</v>
      </c>
      <c r="DU89" s="141">
        <v>30</v>
      </c>
      <c r="DV89" s="141">
        <v>0</v>
      </c>
      <c r="DW89" s="143">
        <v>1.3214999999999999</v>
      </c>
      <c r="DX89" s="143">
        <v>2.7577164466275301E-2</v>
      </c>
      <c r="DY89" s="143">
        <v>38.034999999999997</v>
      </c>
      <c r="DZ89" s="143">
        <v>4.2638538905548771</v>
      </c>
      <c r="EA89" s="143">
        <v>0.54496666666666671</v>
      </c>
      <c r="EB89" s="143">
        <v>5.4700030469217592E-2</v>
      </c>
      <c r="EC89" s="143">
        <v>1.7399999999999999E-2</v>
      </c>
      <c r="ED89" s="143">
        <v>2.8284271247461905E-3</v>
      </c>
      <c r="EE89" s="1">
        <f t="shared" si="92"/>
        <v>56.99928666666667</v>
      </c>
      <c r="EF89" s="203"/>
      <c r="EG89" s="203"/>
      <c r="EH89" s="203"/>
      <c r="EI89" s="203"/>
      <c r="EJ89" s="203"/>
      <c r="EK89" s="180"/>
      <c r="EL89" s="210">
        <v>450</v>
      </c>
      <c r="EM89" s="210">
        <v>22</v>
      </c>
      <c r="EN89" s="210">
        <v>22.526666666666667</v>
      </c>
    </row>
    <row r="90" spans="1:147" s="1" customFormat="1" ht="19">
      <c r="A90" s="25"/>
      <c r="B90" s="74"/>
      <c r="C90" s="75"/>
      <c r="D90" s="76"/>
      <c r="E90" s="76"/>
      <c r="F90" s="76"/>
      <c r="G90" s="77" t="s">
        <v>10</v>
      </c>
      <c r="H90" s="67">
        <v>0.52139999999999997</v>
      </c>
      <c r="I90" s="25"/>
      <c r="J90" s="25"/>
      <c r="K90" s="67">
        <v>0.17499999999999999</v>
      </c>
      <c r="L90" s="25"/>
      <c r="M90" s="25"/>
      <c r="N90" s="114">
        <v>2.0299999999999999E-2</v>
      </c>
      <c r="O90" s="25"/>
      <c r="P90" s="25"/>
      <c r="Q90" s="3">
        <v>7.3120000000000003</v>
      </c>
      <c r="T90" s="67">
        <v>467.5</v>
      </c>
      <c r="U90" s="25"/>
      <c r="V90" s="25"/>
      <c r="W90" s="25"/>
      <c r="X90" s="25"/>
      <c r="Y90" s="25"/>
      <c r="Z90" s="67">
        <v>298.3</v>
      </c>
      <c r="AA90" s="25"/>
      <c r="AB90" s="25"/>
      <c r="AC90" s="25"/>
      <c r="AD90" s="25"/>
      <c r="AE90" s="25"/>
      <c r="AF90" s="67">
        <v>207.4</v>
      </c>
      <c r="AG90" s="25"/>
      <c r="AH90" s="88"/>
      <c r="AI90" s="25"/>
      <c r="AJ90" s="25"/>
      <c r="AK90" s="25"/>
      <c r="AL90" s="67">
        <f t="shared" si="90"/>
        <v>0</v>
      </c>
      <c r="AM90" s="67"/>
      <c r="DN90" s="1">
        <v>12.866666666666667</v>
      </c>
      <c r="DP90" s="1">
        <v>756.23333333333323</v>
      </c>
      <c r="DQ90" s="22">
        <v>57.992266666666666</v>
      </c>
      <c r="DR90" s="22"/>
      <c r="DS90" s="209"/>
      <c r="DT90" s="142" t="s">
        <v>136</v>
      </c>
      <c r="DU90" s="141">
        <v>30</v>
      </c>
      <c r="DV90" s="141">
        <v>0</v>
      </c>
      <c r="DW90" s="143">
        <v>1.3093333333333332</v>
      </c>
      <c r="DX90" s="143">
        <v>1.4011899704655769E-2</v>
      </c>
      <c r="DY90" s="143">
        <v>37.956666666666671</v>
      </c>
      <c r="DZ90" s="143">
        <v>0.95552777737401939</v>
      </c>
      <c r="EA90" s="143">
        <v>0.4854</v>
      </c>
      <c r="EB90" s="143">
        <v>3.1715453646448087E-2</v>
      </c>
      <c r="EC90" s="143">
        <v>1.6733333333333333E-2</v>
      </c>
      <c r="ED90" s="143">
        <v>1.8903262505010434E-3</v>
      </c>
      <c r="EE90" s="1">
        <f t="shared" si="92"/>
        <v>54.291119999999992</v>
      </c>
      <c r="EF90" s="203"/>
      <c r="EG90" s="203"/>
      <c r="EH90" s="203"/>
      <c r="EI90" s="203"/>
      <c r="EJ90" s="203"/>
      <c r="EK90" s="180"/>
      <c r="EL90" s="210">
        <v>460</v>
      </c>
      <c r="EM90" s="210">
        <v>22</v>
      </c>
      <c r="EN90" s="210">
        <v>36.543333333333329</v>
      </c>
    </row>
    <row r="91" spans="1:147" s="1" customFormat="1" ht="19">
      <c r="A91" s="25"/>
      <c r="B91" s="74"/>
      <c r="C91" s="75"/>
      <c r="D91" s="76"/>
      <c r="E91" s="76"/>
      <c r="F91" s="76"/>
      <c r="G91" s="77"/>
      <c r="H91" s="67">
        <v>0.50260000000000005</v>
      </c>
      <c r="I91" s="25"/>
      <c r="J91" s="25"/>
      <c r="K91" s="67">
        <v>0.17399999999999999</v>
      </c>
      <c r="L91" s="25"/>
      <c r="M91" s="25"/>
      <c r="N91" s="114">
        <v>1.9800000000000002E-2</v>
      </c>
      <c r="O91" s="25"/>
      <c r="P91" s="25"/>
      <c r="Q91" s="3">
        <v>6.9980000000000002</v>
      </c>
      <c r="T91" s="67">
        <v>509.7</v>
      </c>
      <c r="U91" s="25"/>
      <c r="V91" s="25"/>
      <c r="W91" s="25"/>
      <c r="X91" s="25"/>
      <c r="Y91" s="25"/>
      <c r="Z91" s="67">
        <v>304.7</v>
      </c>
      <c r="AA91" s="25"/>
      <c r="AB91" s="25"/>
      <c r="AC91" s="25"/>
      <c r="AD91" s="25"/>
      <c r="AE91" s="25"/>
      <c r="AF91" s="67">
        <v>189.6</v>
      </c>
      <c r="AG91" s="25"/>
      <c r="AH91" s="88"/>
      <c r="AI91" s="25"/>
      <c r="AJ91" s="25"/>
      <c r="AK91" s="25"/>
      <c r="AL91" s="67">
        <f t="shared" si="90"/>
        <v>0</v>
      </c>
      <c r="AM91" s="67"/>
      <c r="DP91" s="192"/>
      <c r="DQ91" s="22"/>
      <c r="DR91" s="22"/>
      <c r="DS91" s="209"/>
      <c r="DT91" s="142" t="s">
        <v>137</v>
      </c>
      <c r="DU91" s="141">
        <v>30</v>
      </c>
      <c r="DV91" s="141">
        <v>0</v>
      </c>
      <c r="DW91" s="143">
        <v>1.3286666666666667</v>
      </c>
      <c r="DX91" s="143">
        <v>4.8013886880082172E-2</v>
      </c>
      <c r="DY91" s="143">
        <v>38.016666666666666</v>
      </c>
      <c r="DZ91" s="143">
        <v>1.9516744947181459</v>
      </c>
      <c r="EA91" s="143">
        <v>0.55224999999999991</v>
      </c>
      <c r="EB91" s="143">
        <v>3.3728993462598292E-2</v>
      </c>
      <c r="EC91" s="143">
        <v>1.7533333333333331E-2</v>
      </c>
      <c r="ED91" s="143">
        <v>1.4047538337136987E-3</v>
      </c>
      <c r="EE91" s="1">
        <f t="shared" si="92"/>
        <v>57.481626666666664</v>
      </c>
      <c r="EF91" s="203"/>
      <c r="EG91" s="203"/>
      <c r="EH91" s="203"/>
      <c r="EI91" s="203"/>
      <c r="EJ91" s="203"/>
      <c r="EK91" s="180"/>
      <c r="EL91" s="210">
        <v>600</v>
      </c>
      <c r="EM91" s="210">
        <v>23</v>
      </c>
      <c r="EN91" s="210">
        <v>61.954999999999998</v>
      </c>
    </row>
    <row r="92" spans="1:147" s="1" customFormat="1" ht="19">
      <c r="A92" s="25"/>
      <c r="B92" s="74"/>
      <c r="C92" s="75"/>
      <c r="D92" s="76"/>
      <c r="E92" s="76"/>
      <c r="F92" s="76"/>
      <c r="G92" s="77"/>
      <c r="H92" s="67">
        <v>0.53469999999999995</v>
      </c>
      <c r="I92" s="67">
        <f>AVERAGE(H90:H92)</f>
        <v>0.51956666666666662</v>
      </c>
      <c r="J92" s="67">
        <f>STDEV(H90:H92)</f>
        <v>1.6128339447485963E-2</v>
      </c>
      <c r="K92" s="67">
        <v>0.17799999999999999</v>
      </c>
      <c r="L92" s="67">
        <f>AVERAGE(K90:K92)</f>
        <v>0.17566666666666664</v>
      </c>
      <c r="M92" s="67">
        <f>STDEV(K90:K92)</f>
        <v>2.0816659994661348E-3</v>
      </c>
      <c r="N92" s="114">
        <v>2.01E-2</v>
      </c>
      <c r="O92" s="67">
        <f>AVERAGE(N90:N92)</f>
        <v>2.0066666666666667E-2</v>
      </c>
      <c r="P92" s="67">
        <f>STDEV(N90:N92)</f>
        <v>2.5166114784235682E-4</v>
      </c>
      <c r="Q92" s="3">
        <v>7.0449999999999999</v>
      </c>
      <c r="R92" s="1">
        <f>AVERAGE(Q91:Q92)</f>
        <v>7.0214999999999996</v>
      </c>
      <c r="S92" s="1">
        <f>STDEV(Q91:Q92)</f>
        <v>3.3234018715767526E-2</v>
      </c>
      <c r="T92" s="67">
        <v>485.4</v>
      </c>
      <c r="U92" s="67">
        <f>AVERAGE(T90:T92)</f>
        <v>487.5333333333333</v>
      </c>
      <c r="V92" s="67">
        <f>STDEV(T90:T92)</f>
        <v>21.180730236073853</v>
      </c>
      <c r="W92" s="67"/>
      <c r="X92" s="67"/>
      <c r="Y92" s="67"/>
      <c r="Z92" s="67">
        <v>198.6</v>
      </c>
      <c r="AA92" s="67">
        <f>AVERAGE(Z90:Z91)</f>
        <v>301.5</v>
      </c>
      <c r="AB92" s="67">
        <f>STDEV(Z90:Z91)</f>
        <v>4.5254833995938881</v>
      </c>
      <c r="AC92" s="67"/>
      <c r="AD92" s="67"/>
      <c r="AE92" s="67"/>
      <c r="AF92" s="67">
        <v>198.7</v>
      </c>
      <c r="AG92" s="67">
        <f>AVERAGE(AF90:AF92)</f>
        <v>198.56666666666669</v>
      </c>
      <c r="AH92" s="68">
        <f>STDEV(AF90:AF92)</f>
        <v>8.9007490321508023</v>
      </c>
      <c r="AI92" s="67"/>
      <c r="AJ92" s="67"/>
      <c r="AK92" s="67"/>
      <c r="AL92" s="67">
        <f t="shared" si="90"/>
        <v>789.0333333333333</v>
      </c>
      <c r="AM92" s="67">
        <f t="shared" si="91"/>
        <v>0.61841925338438397</v>
      </c>
      <c r="DK92" s="1" t="s">
        <v>187</v>
      </c>
      <c r="DL92" s="1">
        <v>30</v>
      </c>
      <c r="DN92" s="1">
        <v>9.0180000000000007</v>
      </c>
      <c r="DO92" s="1">
        <v>1.5660000000000007</v>
      </c>
      <c r="DP92" s="192"/>
      <c r="DQ92" s="22">
        <v>30.570855999999999</v>
      </c>
      <c r="DR92" s="22"/>
      <c r="DS92" s="209"/>
      <c r="DT92" s="142" t="s">
        <v>138</v>
      </c>
      <c r="DU92" s="141">
        <v>26</v>
      </c>
      <c r="DV92" s="141">
        <v>0</v>
      </c>
      <c r="DW92" s="143">
        <v>1.3453333333333333</v>
      </c>
      <c r="DX92" s="143">
        <v>5.0639246966491643E-2</v>
      </c>
      <c r="DY92" s="143">
        <v>38.786666666666669</v>
      </c>
      <c r="DZ92" s="143">
        <v>6.3662338421811873</v>
      </c>
      <c r="EA92" s="143">
        <v>0.56203333333333338</v>
      </c>
      <c r="EB92" s="143">
        <v>6.786901600386834E-2</v>
      </c>
      <c r="EC92" s="143">
        <v>1.8366666666666667E-2</v>
      </c>
      <c r="ED92" s="143">
        <v>8.0208062770106294E-4</v>
      </c>
      <c r="EE92" s="1">
        <f t="shared" si="92"/>
        <v>58.318626666666667</v>
      </c>
      <c r="EF92" s="203"/>
      <c r="EG92" s="203"/>
      <c r="EH92" s="203"/>
      <c r="EI92" s="203"/>
      <c r="EJ92" s="203"/>
      <c r="EK92" s="180"/>
      <c r="EL92" s="210">
        <v>800</v>
      </c>
      <c r="EM92" s="210">
        <v>30</v>
      </c>
      <c r="EN92" s="210">
        <v>73.990000000000009</v>
      </c>
    </row>
    <row r="93" spans="1:147" s="1" customFormat="1" ht="19">
      <c r="A93" s="25"/>
      <c r="B93" s="74"/>
      <c r="C93" s="75"/>
      <c r="D93" s="76"/>
      <c r="E93" s="76"/>
      <c r="F93" s="76"/>
      <c r="G93" s="77" t="s">
        <v>13</v>
      </c>
      <c r="H93" s="67">
        <v>0.54020000000000001</v>
      </c>
      <c r="I93" s="25"/>
      <c r="J93" s="25"/>
      <c r="K93" s="67">
        <v>0.17100000000000001</v>
      </c>
      <c r="L93" s="25"/>
      <c r="M93" s="25"/>
      <c r="N93" s="114">
        <v>1.856E-2</v>
      </c>
      <c r="O93" s="25"/>
      <c r="P93" s="25"/>
      <c r="Q93" s="3">
        <v>6.8449999999999998</v>
      </c>
      <c r="T93" s="67">
        <v>453.7</v>
      </c>
      <c r="U93" s="25"/>
      <c r="V93" s="25"/>
      <c r="W93" s="25"/>
      <c r="X93" s="25"/>
      <c r="Y93" s="25"/>
      <c r="Z93" s="67">
        <v>225.6</v>
      </c>
      <c r="AA93" s="25"/>
      <c r="AB93" s="25"/>
      <c r="AC93" s="25"/>
      <c r="AD93" s="25"/>
      <c r="AE93" s="25"/>
      <c r="AF93" s="67">
        <v>158.4</v>
      </c>
      <c r="AG93" s="25"/>
      <c r="AH93" s="88"/>
      <c r="AI93" s="25"/>
      <c r="AJ93" s="25"/>
      <c r="AK93" s="25"/>
      <c r="AL93" s="67">
        <f t="shared" si="90"/>
        <v>0</v>
      </c>
      <c r="AM93" s="67"/>
      <c r="DL93" s="1">
        <v>102</v>
      </c>
      <c r="DN93" s="1">
        <v>10.198</v>
      </c>
      <c r="DO93" s="1">
        <v>2.0583333333333336</v>
      </c>
      <c r="DP93" s="211"/>
      <c r="DQ93" s="1">
        <v>32.857486666666674</v>
      </c>
      <c r="DS93" s="139"/>
      <c r="DT93" s="142" t="s">
        <v>139</v>
      </c>
      <c r="DU93" s="141">
        <v>22</v>
      </c>
      <c r="DV93" s="141">
        <v>0</v>
      </c>
      <c r="DW93" s="143">
        <v>1.3483333333333334</v>
      </c>
      <c r="DX93" s="143">
        <v>6.5209917446147153E-2</v>
      </c>
      <c r="DY93" s="143">
        <v>36.43</v>
      </c>
      <c r="DZ93" s="143">
        <v>0.31112698372207931</v>
      </c>
      <c r="EA93" s="143">
        <v>0.64729999999999999</v>
      </c>
      <c r="EB93" s="143">
        <v>9.7807515048691826E-2</v>
      </c>
      <c r="EC93" s="143">
        <v>1.555E-2</v>
      </c>
      <c r="ED93" s="143">
        <v>1.767766952966368E-3</v>
      </c>
      <c r="EE93" s="1">
        <f t="shared" si="92"/>
        <v>61.801206666666666</v>
      </c>
      <c r="EF93" s="203"/>
      <c r="EG93" s="203"/>
      <c r="EH93" s="203"/>
      <c r="EI93" s="203"/>
      <c r="EJ93" s="203"/>
      <c r="EK93" s="180"/>
      <c r="EL93" s="210">
        <v>430</v>
      </c>
      <c r="EM93" s="210">
        <v>34</v>
      </c>
      <c r="EN93" s="210">
        <v>60.940000000000005</v>
      </c>
    </row>
    <row r="94" spans="1:147" s="1" customFormat="1" ht="19">
      <c r="A94" s="25"/>
      <c r="B94" s="74"/>
      <c r="C94" s="75"/>
      <c r="D94" s="76"/>
      <c r="E94" s="76"/>
      <c r="F94" s="76"/>
      <c r="G94" s="77"/>
      <c r="H94" s="67">
        <v>0.53139999999999998</v>
      </c>
      <c r="I94" s="25"/>
      <c r="J94" s="25"/>
      <c r="K94" s="67">
        <v>0.16800000000000001</v>
      </c>
      <c r="L94" s="25"/>
      <c r="M94" s="25"/>
      <c r="N94" s="114">
        <v>1.9109999999999999E-2</v>
      </c>
      <c r="O94" s="25"/>
      <c r="P94" s="25"/>
      <c r="Q94" s="3">
        <v>6.3250000000000002</v>
      </c>
      <c r="R94" s="25"/>
      <c r="S94" s="25"/>
      <c r="T94" s="67">
        <v>439.7</v>
      </c>
      <c r="U94" s="25"/>
      <c r="V94" s="25"/>
      <c r="W94" s="25"/>
      <c r="X94" s="25"/>
      <c r="Y94" s="25"/>
      <c r="Z94" s="67">
        <v>201.9</v>
      </c>
      <c r="AA94" s="25"/>
      <c r="AB94" s="25"/>
      <c r="AC94" s="25"/>
      <c r="AD94" s="25"/>
      <c r="AE94" s="25"/>
      <c r="AF94" s="67">
        <v>180.9</v>
      </c>
      <c r="AG94" s="25"/>
      <c r="AH94" s="88"/>
      <c r="AI94" s="25"/>
      <c r="AJ94" s="25"/>
      <c r="AK94" s="25"/>
      <c r="AL94" s="67">
        <f t="shared" si="90"/>
        <v>0</v>
      </c>
      <c r="AM94" s="67"/>
      <c r="DL94" s="1">
        <v>171</v>
      </c>
      <c r="DN94" s="1">
        <v>13.463333333333333</v>
      </c>
      <c r="DO94" s="1">
        <v>5.2756666666666661</v>
      </c>
      <c r="DP94" s="211"/>
      <c r="DQ94" s="1">
        <v>38.969200000000001</v>
      </c>
      <c r="DS94" s="100"/>
      <c r="DT94" s="212"/>
      <c r="DU94" s="213"/>
      <c r="DV94" s="213"/>
      <c r="DW94" s="214"/>
      <c r="DX94" s="215"/>
      <c r="DY94" s="215"/>
      <c r="DZ94" s="215"/>
      <c r="EA94" s="215"/>
      <c r="EB94" s="215"/>
      <c r="EC94" s="215"/>
      <c r="ED94" s="215"/>
      <c r="EE94" s="215"/>
      <c r="EF94" s="215"/>
      <c r="EG94" s="215"/>
      <c r="EH94" s="215"/>
      <c r="EI94" s="215"/>
      <c r="EJ94" s="215"/>
      <c r="EK94" s="180"/>
      <c r="EL94" s="216">
        <v>100</v>
      </c>
      <c r="EM94" s="216">
        <v>25</v>
      </c>
      <c r="EN94" s="216">
        <v>31.7</v>
      </c>
    </row>
    <row r="95" spans="1:147" s="1" customFormat="1" ht="19">
      <c r="A95" s="25"/>
      <c r="B95" s="217"/>
      <c r="C95" s="218"/>
      <c r="D95" s="219"/>
      <c r="E95" s="219"/>
      <c r="F95" s="219"/>
      <c r="G95" s="220"/>
      <c r="H95" s="221">
        <v>0.53690000000000004</v>
      </c>
      <c r="I95" s="221">
        <f>AVERAGE(H93:H94)</f>
        <v>0.53580000000000005</v>
      </c>
      <c r="J95" s="221">
        <f>STDEV(H93:H94)</f>
        <v>6.2225396744416397E-3</v>
      </c>
      <c r="K95" s="221">
        <v>0.17299999999999999</v>
      </c>
      <c r="L95" s="221">
        <f>AVERAGE(K93:K95)</f>
        <v>0.17066666666666666</v>
      </c>
      <c r="M95" s="221">
        <f>STDEV(K93:K95)</f>
        <v>2.5166114784235727E-3</v>
      </c>
      <c r="N95" s="222">
        <v>1.9060000000000001E-2</v>
      </c>
      <c r="O95" s="221">
        <f>AVERAGE(N93:N95)</f>
        <v>1.891E-2</v>
      </c>
      <c r="P95" s="221">
        <f>STDEV(N93:N95)</f>
        <v>3.0413812651491055E-4</v>
      </c>
      <c r="Q95" s="221">
        <v>6.4779999999999998</v>
      </c>
      <c r="R95" s="223">
        <f>AVERAGE(Q93:Q95)</f>
        <v>6.5493333333333332</v>
      </c>
      <c r="S95" s="221">
        <f>STDEV(Q93:Q95)</f>
        <v>0.26723834555193093</v>
      </c>
      <c r="T95" s="221">
        <v>445.1</v>
      </c>
      <c r="U95" s="221">
        <f>AVERAGE(T93:T95)</f>
        <v>446.16666666666669</v>
      </c>
      <c r="V95" s="221">
        <f>STDEV(T93:T95)</f>
        <v>7.0606892959068306</v>
      </c>
      <c r="W95" s="221"/>
      <c r="X95" s="221"/>
      <c r="Y95" s="221"/>
      <c r="Z95" s="221">
        <v>214.6</v>
      </c>
      <c r="AA95" s="221">
        <f>AVERAGE(Z93:Z95)</f>
        <v>214.03333333333333</v>
      </c>
      <c r="AB95" s="221">
        <f>STDEV(Z93:Z95)</f>
        <v>11.860157390748792</v>
      </c>
      <c r="AC95" s="221"/>
      <c r="AD95" s="221"/>
      <c r="AE95" s="221"/>
      <c r="AF95" s="221">
        <v>168.3</v>
      </c>
      <c r="AG95" s="221">
        <f>AVERAGE(AF93:AF95)</f>
        <v>169.20000000000002</v>
      </c>
      <c r="AH95" s="224">
        <f>STDEV(AF93:AF95)</f>
        <v>11.2769676775275</v>
      </c>
      <c r="AI95" s="67"/>
      <c r="AJ95" s="67"/>
      <c r="AK95" s="67"/>
      <c r="AL95" s="67">
        <f t="shared" si="90"/>
        <v>660.2</v>
      </c>
      <c r="AM95" s="67">
        <f t="shared" si="91"/>
        <v>0.47971610011206572</v>
      </c>
      <c r="DL95" s="1">
        <v>77</v>
      </c>
      <c r="DN95" s="1">
        <v>11.316333333333333</v>
      </c>
      <c r="DO95" s="1">
        <v>3.708333333333333</v>
      </c>
      <c r="DP95" s="211"/>
      <c r="DQ95" s="1">
        <v>38.969573333333337</v>
      </c>
      <c r="DS95" s="100"/>
      <c r="DT95" s="212"/>
      <c r="DU95" s="213"/>
      <c r="DV95" s="213"/>
      <c r="DW95" s="214"/>
      <c r="DX95" s="215"/>
      <c r="DY95" s="215"/>
      <c r="DZ95" s="215"/>
      <c r="EA95" s="215"/>
      <c r="EB95" s="215"/>
      <c r="EC95" s="215"/>
      <c r="ED95" s="215"/>
      <c r="EE95" s="215"/>
      <c r="EF95" s="215"/>
      <c r="EG95" s="215"/>
      <c r="EH95" s="215"/>
      <c r="EI95" s="215"/>
      <c r="EJ95" s="215"/>
      <c r="EK95" s="180"/>
      <c r="EL95" s="180"/>
      <c r="EM95" s="180"/>
      <c r="EN95" s="180"/>
    </row>
    <row r="96" spans="1:147" s="1" customFormat="1" ht="26">
      <c r="A96" s="25"/>
      <c r="B96" s="25"/>
      <c r="C96" s="25"/>
      <c r="D96" s="25"/>
      <c r="E96" s="25"/>
      <c r="F96" s="25"/>
      <c r="G96" s="178"/>
      <c r="H96" s="25"/>
      <c r="I96" s="25"/>
      <c r="J96" s="25"/>
      <c r="K96" s="25"/>
      <c r="L96" s="25"/>
      <c r="M96" s="25"/>
      <c r="N96" s="25"/>
      <c r="O96" s="25"/>
      <c r="P96" s="25"/>
      <c r="Q96" s="3" t="s">
        <v>237</v>
      </c>
      <c r="DL96" s="1">
        <v>0</v>
      </c>
      <c r="DN96" s="1">
        <v>9.8303333333333338</v>
      </c>
      <c r="DO96" s="1">
        <v>2.2083333333333339</v>
      </c>
      <c r="DP96" s="211"/>
      <c r="DQ96" s="1">
        <v>29.376200000000001</v>
      </c>
      <c r="DT96" s="225"/>
      <c r="DU96" s="225"/>
      <c r="DV96" s="225"/>
      <c r="DW96" s="225"/>
      <c r="DX96" s="225"/>
      <c r="DY96" s="225"/>
      <c r="DZ96" s="225"/>
      <c r="EA96" s="225"/>
      <c r="EB96" s="225"/>
      <c r="EC96" s="225"/>
      <c r="ED96" s="225"/>
      <c r="EE96" s="225"/>
      <c r="EF96" s="225"/>
      <c r="EG96" s="225"/>
      <c r="EH96" s="225"/>
      <c r="EI96" s="225"/>
      <c r="EJ96" s="225"/>
      <c r="EK96" s="225"/>
      <c r="EL96" s="225"/>
      <c r="EM96" s="225"/>
      <c r="EN96" s="225"/>
      <c r="EO96" s="225"/>
      <c r="EP96" s="226"/>
    </row>
    <row r="97" spans="1:148" s="1" customFormat="1" ht="16">
      <c r="A97" s="25"/>
      <c r="B97" s="25"/>
      <c r="C97" s="25"/>
      <c r="D97" s="25"/>
      <c r="E97" s="25"/>
      <c r="F97" s="25"/>
      <c r="G97" s="178"/>
      <c r="H97" s="25"/>
      <c r="I97" s="25"/>
      <c r="J97" s="25"/>
      <c r="K97" s="25"/>
      <c r="L97" s="25"/>
      <c r="M97" s="25"/>
      <c r="N97" s="25"/>
      <c r="O97" s="25"/>
      <c r="P97" s="25"/>
      <c r="Q97" s="84">
        <f>COUNT(Q6:Q20)-2</f>
        <v>13</v>
      </c>
      <c r="DL97" s="1">
        <v>35</v>
      </c>
      <c r="DN97" s="1">
        <v>8.240333333333334</v>
      </c>
      <c r="DO97" s="1">
        <v>0.25533333333333452</v>
      </c>
      <c r="DP97" s="211"/>
      <c r="DQ97" s="1">
        <v>31.038066666666669</v>
      </c>
      <c r="DS97" s="123" t="s">
        <v>16</v>
      </c>
      <c r="DT97" s="123" t="s">
        <v>17</v>
      </c>
      <c r="DU97" s="227" t="s">
        <v>26</v>
      </c>
      <c r="DV97" s="227"/>
      <c r="DW97" s="227"/>
      <c r="DX97" s="227"/>
      <c r="DY97" s="227"/>
      <c r="DZ97" s="227"/>
      <c r="EA97" s="227"/>
      <c r="EB97" s="140" t="s">
        <v>9</v>
      </c>
      <c r="EC97" s="227" t="s">
        <v>140</v>
      </c>
      <c r="ED97" s="227"/>
      <c r="EE97" s="227" t="s">
        <v>110</v>
      </c>
      <c r="EF97" s="227"/>
      <c r="EG97" s="140" t="s">
        <v>141</v>
      </c>
      <c r="EH97" s="140"/>
      <c r="EI97" s="227" t="s">
        <v>142</v>
      </c>
      <c r="EJ97" s="227"/>
      <c r="EK97" s="227" t="s">
        <v>143</v>
      </c>
      <c r="EL97" s="227"/>
      <c r="EM97" s="227" t="s">
        <v>144</v>
      </c>
      <c r="EN97" s="227"/>
      <c r="EO97" s="227" t="s">
        <v>100</v>
      </c>
      <c r="EP97" s="227"/>
      <c r="EQ97" s="1" t="s">
        <v>238</v>
      </c>
      <c r="ER97" s="1" t="s">
        <v>192</v>
      </c>
    </row>
    <row r="98" spans="1:148" s="1" customFormat="1" ht="16">
      <c r="A98" s="25"/>
      <c r="B98" s="25"/>
      <c r="C98" s="25"/>
      <c r="G98" s="2"/>
      <c r="K98" s="25"/>
      <c r="L98" s="25"/>
      <c r="M98" s="25"/>
      <c r="N98" s="25"/>
      <c r="O98" s="25"/>
      <c r="P98" s="25"/>
      <c r="Q98" s="3">
        <f>CORREL(Q6:Q20,Q36:Q50)</f>
        <v>0.88391473247030317</v>
      </c>
      <c r="DL98" s="1">
        <v>100</v>
      </c>
      <c r="DN98" s="1">
        <v>10.312333333333333</v>
      </c>
      <c r="DO98" s="1">
        <v>2.0859999999999985</v>
      </c>
      <c r="DP98" s="211"/>
      <c r="DQ98" s="1">
        <v>32.059680000000007</v>
      </c>
      <c r="DS98" s="101" t="s">
        <v>3</v>
      </c>
      <c r="DT98" s="101" t="s">
        <v>145</v>
      </c>
      <c r="DU98" s="140" t="s">
        <v>19</v>
      </c>
      <c r="DV98" s="140" t="s">
        <v>20</v>
      </c>
      <c r="DW98" s="140" t="s">
        <v>21</v>
      </c>
      <c r="DX98" s="140" t="s">
        <v>22</v>
      </c>
      <c r="DY98" s="140" t="s">
        <v>23</v>
      </c>
      <c r="DZ98" s="140" t="s">
        <v>24</v>
      </c>
      <c r="EA98" s="140" t="s">
        <v>25</v>
      </c>
      <c r="EB98" s="150"/>
      <c r="EC98" s="32" t="s">
        <v>1</v>
      </c>
      <c r="ED98" s="123" t="s">
        <v>2</v>
      </c>
      <c r="EE98" s="123" t="s">
        <v>1</v>
      </c>
      <c r="EF98" s="123" t="s">
        <v>2</v>
      </c>
      <c r="EG98" s="123" t="s">
        <v>1</v>
      </c>
      <c r="EH98" s="123" t="s">
        <v>2</v>
      </c>
      <c r="EI98" s="123" t="s">
        <v>1</v>
      </c>
      <c r="EJ98" s="123" t="s">
        <v>2</v>
      </c>
      <c r="EK98" s="123" t="s">
        <v>1</v>
      </c>
      <c r="EL98" s="123" t="s">
        <v>2</v>
      </c>
      <c r="EM98" s="123" t="s">
        <v>1</v>
      </c>
      <c r="EN98" s="123" t="s">
        <v>2</v>
      </c>
      <c r="EO98" s="123" t="s">
        <v>1</v>
      </c>
      <c r="EP98" s="123" t="s">
        <v>2</v>
      </c>
      <c r="EQ98" s="1" t="s">
        <v>1</v>
      </c>
    </row>
    <row r="99" spans="1:148" s="1" customFormat="1">
      <c r="A99" s="25"/>
      <c r="B99" s="25"/>
      <c r="C99" s="25"/>
      <c r="G99" s="2"/>
      <c r="K99" s="25"/>
      <c r="L99" s="25"/>
      <c r="M99" s="25"/>
      <c r="N99" s="25"/>
      <c r="O99" s="25"/>
      <c r="P99" s="25"/>
      <c r="Q99" s="3">
        <f>ABS(Q98)*SQRT(COUNT(Q6:Q20)-2)/SQRT(1-Q98^2)</f>
        <v>6.8149531430978358</v>
      </c>
      <c r="DL99" s="1">
        <v>159</v>
      </c>
      <c r="DN99" s="1">
        <v>13.074666666666667</v>
      </c>
      <c r="DO99" s="1">
        <v>4.9139999999999997</v>
      </c>
      <c r="DP99" s="211"/>
      <c r="DQ99" s="1">
        <v>35.013278666666665</v>
      </c>
      <c r="DS99" s="101"/>
      <c r="DT99" s="101"/>
      <c r="DU99" s="140">
        <v>654</v>
      </c>
      <c r="DV99" s="140">
        <v>345</v>
      </c>
      <c r="DW99" s="140">
        <v>130</v>
      </c>
      <c r="DX99" s="140">
        <v>55</v>
      </c>
      <c r="DY99" s="140">
        <v>30</v>
      </c>
      <c r="DZ99" s="140">
        <v>20</v>
      </c>
      <c r="EA99" s="140">
        <v>10</v>
      </c>
      <c r="EB99" s="140" t="s">
        <v>146</v>
      </c>
      <c r="EC99" s="51">
        <v>0.84299999999999997</v>
      </c>
      <c r="ED99" s="51">
        <v>2.7622454633866294E-2</v>
      </c>
      <c r="EE99" s="51">
        <v>0.20233333333333334</v>
      </c>
      <c r="EF99" s="51">
        <v>6.1101009266077769E-3</v>
      </c>
      <c r="EG99" s="51">
        <v>1.9186666666666668E-2</v>
      </c>
      <c r="EH99" s="51">
        <v>7.0713035101976202E-4</v>
      </c>
      <c r="EI99" s="49">
        <v>9.0180000000000007</v>
      </c>
      <c r="EJ99" s="49">
        <v>2.4556058315617305E-2</v>
      </c>
      <c r="EK99" s="49">
        <v>1055.6666666666667</v>
      </c>
      <c r="EL99" s="49">
        <v>6.2601916903558079</v>
      </c>
      <c r="EM99" s="49">
        <v>402.56666666666666</v>
      </c>
      <c r="EN99" s="49">
        <v>10.168742957383353</v>
      </c>
      <c r="EO99" s="49">
        <v>302.0333333333333</v>
      </c>
      <c r="EP99" s="49">
        <v>6.206716791777545</v>
      </c>
      <c r="EQ99" s="228">
        <f>EI99-BK9</f>
        <v>1.5660000000000007</v>
      </c>
      <c r="ER99" s="1">
        <f>EC99*26.6+EE99*40+EG99*2.8</f>
        <v>30.570855999999999</v>
      </c>
    </row>
    <row r="100" spans="1:148" s="1" customFormat="1">
      <c r="A100" s="25"/>
      <c r="B100" s="25"/>
      <c r="C100" s="25"/>
      <c r="G100" s="2"/>
      <c r="K100" s="25"/>
      <c r="L100" s="25"/>
      <c r="M100" s="25"/>
      <c r="N100" s="25"/>
      <c r="O100" s="25"/>
      <c r="P100" s="25"/>
      <c r="Q100" s="3">
        <f>TDIST(Q99,COUNT(Q6:Q20)-2,2)</f>
        <v>1.2341362423709254E-5</v>
      </c>
      <c r="DL100" s="1">
        <v>30</v>
      </c>
      <c r="DN100" s="1">
        <v>10.134</v>
      </c>
      <c r="DO100" s="1">
        <v>2.734</v>
      </c>
      <c r="DP100" s="211"/>
      <c r="DQ100" s="1">
        <v>37.24110533333333</v>
      </c>
      <c r="DS100" s="101"/>
      <c r="DT100" s="101"/>
      <c r="DU100" s="140">
        <v>925</v>
      </c>
      <c r="DV100" s="140">
        <v>402</v>
      </c>
      <c r="DW100" s="140">
        <v>298</v>
      </c>
      <c r="DX100" s="140">
        <v>145</v>
      </c>
      <c r="DY100" s="140">
        <v>102</v>
      </c>
      <c r="DZ100" s="140">
        <v>50</v>
      </c>
      <c r="EA100" s="140">
        <v>20</v>
      </c>
      <c r="EB100" s="140" t="s">
        <v>147</v>
      </c>
      <c r="EC100" s="51">
        <v>0.91366666666666674</v>
      </c>
      <c r="ED100" s="51">
        <v>1.2583057392117928E-2</v>
      </c>
      <c r="EE100" s="51">
        <v>0.21233333333333335</v>
      </c>
      <c r="EF100" s="51">
        <v>6.6583281184793989E-3</v>
      </c>
      <c r="EG100" s="51">
        <v>2.1649999999999999E-2</v>
      </c>
      <c r="EH100" s="51">
        <v>2.1213203435596541E-4</v>
      </c>
      <c r="EI100" s="49">
        <v>10.198</v>
      </c>
      <c r="EJ100" s="49">
        <v>9.3600213674969457E-2</v>
      </c>
      <c r="EK100" s="49">
        <v>1265.0999999999999</v>
      </c>
      <c r="EL100" s="49">
        <v>29.170704482408389</v>
      </c>
      <c r="EM100" s="49">
        <v>645.20000000000005</v>
      </c>
      <c r="EN100" s="49">
        <v>28.425692603699162</v>
      </c>
      <c r="EO100" s="49">
        <v>425.09999999999997</v>
      </c>
      <c r="EP100" s="49">
        <v>16.900887550658375</v>
      </c>
      <c r="EQ100" s="228">
        <f>EI100-BK10</f>
        <v>2.0583333333333336</v>
      </c>
      <c r="ER100" s="1">
        <f t="shared" ref="ER100:ER108" si="93">EC100*26.6+EE100*40+EG100*2.8</f>
        <v>32.857486666666674</v>
      </c>
    </row>
    <row r="101" spans="1:148" s="1" customFormat="1">
      <c r="A101" s="25"/>
      <c r="B101" s="25"/>
      <c r="C101" s="25"/>
      <c r="D101" s="25"/>
      <c r="E101" s="25"/>
      <c r="F101" s="25"/>
      <c r="G101" s="178"/>
      <c r="H101" s="25"/>
      <c r="I101" s="25"/>
      <c r="J101" s="25"/>
      <c r="K101" s="25"/>
      <c r="L101" s="25"/>
      <c r="M101" s="25"/>
      <c r="N101" s="25"/>
      <c r="O101" s="25"/>
      <c r="P101" s="25"/>
      <c r="Q101" s="3"/>
      <c r="DL101" s="1">
        <v>0</v>
      </c>
      <c r="DN101" s="1">
        <v>8.3670000000000009</v>
      </c>
      <c r="DO101" s="1">
        <v>0.78700000000000081</v>
      </c>
      <c r="DP101" s="211"/>
      <c r="DQ101" s="1">
        <v>25.791106666666664</v>
      </c>
      <c r="DS101" s="101"/>
      <c r="DT101" s="101"/>
      <c r="DU101" s="140">
        <v>1817</v>
      </c>
      <c r="DV101" s="140">
        <v>1408</v>
      </c>
      <c r="DW101" s="140">
        <v>948</v>
      </c>
      <c r="DX101" s="140">
        <v>283</v>
      </c>
      <c r="DY101" s="140">
        <v>171</v>
      </c>
      <c r="DZ101" s="140">
        <v>65</v>
      </c>
      <c r="EA101" s="140">
        <v>25</v>
      </c>
      <c r="EB101" s="140" t="s">
        <v>148</v>
      </c>
      <c r="EC101" s="51">
        <v>1.1403333333333332</v>
      </c>
      <c r="ED101" s="51">
        <v>8.0208062770106558E-3</v>
      </c>
      <c r="EE101" s="51">
        <v>0.21433333333333335</v>
      </c>
      <c r="EF101" s="51">
        <v>4.0414518843273836E-3</v>
      </c>
      <c r="EG101" s="51">
        <v>2.2500000000000003E-2</v>
      </c>
      <c r="EH101" s="51">
        <v>3.9999999999999937E-4</v>
      </c>
      <c r="EI101" s="49">
        <v>13.463333333333333</v>
      </c>
      <c r="EJ101" s="49">
        <v>1.0488247390929206</v>
      </c>
      <c r="EK101" s="49">
        <v>1361.2</v>
      </c>
      <c r="EL101" s="49">
        <v>57.445713504142262</v>
      </c>
      <c r="EM101" s="49">
        <v>668.5</v>
      </c>
      <c r="EN101" s="49">
        <v>28.276492003075617</v>
      </c>
      <c r="EO101" s="49">
        <v>398.40000000000003</v>
      </c>
      <c r="EP101" s="49">
        <v>12.572986916401364</v>
      </c>
      <c r="EQ101" s="228">
        <f>EI101-BK11</f>
        <v>5.2756666666666661</v>
      </c>
      <c r="ER101" s="1">
        <f t="shared" si="93"/>
        <v>38.969200000000001</v>
      </c>
    </row>
    <row r="102" spans="1:148" s="1" customFormat="1">
      <c r="A102" s="25"/>
      <c r="B102" s="25"/>
      <c r="C102" s="25"/>
      <c r="D102" s="25"/>
      <c r="E102" s="25"/>
      <c r="F102" s="25"/>
      <c r="G102" s="178"/>
      <c r="H102" s="25"/>
      <c r="I102" s="25"/>
      <c r="J102" s="25"/>
      <c r="K102" s="25"/>
      <c r="L102" s="25"/>
      <c r="M102" s="25"/>
      <c r="N102" s="25"/>
      <c r="O102" s="25"/>
      <c r="P102" s="25"/>
      <c r="Q102" s="3">
        <f>CORREL(Q21:Q35,Q51:Q65)</f>
        <v>0.17753137794494636</v>
      </c>
      <c r="DP102" s="211"/>
      <c r="DS102" s="101"/>
      <c r="DT102" s="101"/>
      <c r="DU102" s="140">
        <v>1512</v>
      </c>
      <c r="DV102" s="140">
        <v>1149</v>
      </c>
      <c r="DW102" s="140">
        <v>118</v>
      </c>
      <c r="DX102" s="140">
        <v>83</v>
      </c>
      <c r="DY102" s="140">
        <v>77</v>
      </c>
      <c r="DZ102" s="140">
        <v>39</v>
      </c>
      <c r="EA102" s="140">
        <v>8</v>
      </c>
      <c r="EB102" s="140" t="s">
        <v>149</v>
      </c>
      <c r="EC102" s="51">
        <v>1.1296999999999999</v>
      </c>
      <c r="ED102" s="51">
        <v>8.9095454429504589E-3</v>
      </c>
      <c r="EE102" s="51">
        <v>0.22133333333333335</v>
      </c>
      <c r="EF102" s="51">
        <v>9.5043849529221781E-3</v>
      </c>
      <c r="EG102" s="51">
        <v>2.3650000000000001E-2</v>
      </c>
      <c r="EH102" s="51">
        <v>3.5355339059327408E-4</v>
      </c>
      <c r="EI102" s="49">
        <v>11.316333333333333</v>
      </c>
      <c r="EJ102" s="49">
        <v>7.9475363058833084E-2</v>
      </c>
      <c r="EK102" s="49">
        <v>1214.8666666666666</v>
      </c>
      <c r="EL102" s="49">
        <v>39.47</v>
      </c>
      <c r="EM102" s="49">
        <v>625.6</v>
      </c>
      <c r="EN102" s="49">
        <v>22.558147087028178</v>
      </c>
      <c r="EO102" s="49">
        <v>389.3</v>
      </c>
      <c r="EP102" s="49">
        <v>3.9597979746446823</v>
      </c>
      <c r="EQ102" s="228">
        <f>EI102-BK12</f>
        <v>3.708333333333333</v>
      </c>
      <c r="ER102" s="1">
        <f t="shared" si="93"/>
        <v>38.969573333333337</v>
      </c>
    </row>
    <row r="103" spans="1:148" s="1" customFormat="1">
      <c r="A103" s="25"/>
      <c r="B103" s="25"/>
      <c r="C103" s="25"/>
      <c r="D103" s="25"/>
      <c r="E103" s="25"/>
      <c r="F103" s="25"/>
      <c r="G103" s="178"/>
      <c r="H103" s="25"/>
      <c r="I103" s="25"/>
      <c r="J103" s="25"/>
      <c r="K103" s="25"/>
      <c r="L103" s="25"/>
      <c r="M103" s="25"/>
      <c r="N103" s="25"/>
      <c r="O103" s="25"/>
      <c r="P103" s="25"/>
      <c r="Q103" s="3"/>
      <c r="DK103" s="1" t="s">
        <v>195</v>
      </c>
      <c r="DL103" s="1">
        <v>0</v>
      </c>
      <c r="DO103" s="1">
        <v>0</v>
      </c>
      <c r="DP103" s="211"/>
      <c r="DS103" s="101"/>
      <c r="DT103" s="101"/>
      <c r="DU103" s="140">
        <v>161</v>
      </c>
      <c r="DV103" s="140">
        <v>127</v>
      </c>
      <c r="DW103" s="140">
        <v>28</v>
      </c>
      <c r="DX103" s="140">
        <v>19</v>
      </c>
      <c r="DY103" s="140">
        <v>0</v>
      </c>
      <c r="DZ103" s="140">
        <v>0</v>
      </c>
      <c r="EA103" s="140">
        <v>0</v>
      </c>
      <c r="EB103" s="140" t="s">
        <v>150</v>
      </c>
      <c r="EC103" s="51">
        <v>0.81266666666666676</v>
      </c>
      <c r="ED103" s="51">
        <v>6.0277137733416551E-3</v>
      </c>
      <c r="EE103" s="51">
        <v>0.1925</v>
      </c>
      <c r="EF103" s="51">
        <v>7.7781745930520299E-3</v>
      </c>
      <c r="EG103" s="51">
        <v>2.1166666666666667E-2</v>
      </c>
      <c r="EH103" s="51">
        <v>3.0550504633038904E-4</v>
      </c>
      <c r="EI103" s="49">
        <v>9.8303333333333338</v>
      </c>
      <c r="EJ103" s="49">
        <v>0.11524900578023843</v>
      </c>
      <c r="EK103" s="49">
        <v>1149.0999999999999</v>
      </c>
      <c r="EL103" s="49">
        <v>120.20815280171308</v>
      </c>
      <c r="EM103" s="49">
        <v>502.63333333333338</v>
      </c>
      <c r="EN103" s="49">
        <v>6.6830631699343535</v>
      </c>
      <c r="EO103" s="49">
        <v>348.2</v>
      </c>
      <c r="EP103" s="49">
        <v>15.613775968675863</v>
      </c>
      <c r="EQ103" s="228">
        <f>EI103-BK13</f>
        <v>2.2083333333333339</v>
      </c>
      <c r="ER103" s="1">
        <f t="shared" si="93"/>
        <v>29.376200000000001</v>
      </c>
    </row>
    <row r="104" spans="1:148" s="1" customFormat="1">
      <c r="A104" s="25"/>
      <c r="B104" s="25"/>
      <c r="C104" s="25"/>
      <c r="D104" s="25"/>
      <c r="E104" s="25"/>
      <c r="F104" s="25"/>
      <c r="G104" s="178"/>
      <c r="H104" s="25"/>
      <c r="I104" s="25"/>
      <c r="J104" s="25"/>
      <c r="K104" s="25"/>
      <c r="L104" s="25"/>
      <c r="M104" s="25"/>
      <c r="N104" s="25"/>
      <c r="O104" s="25"/>
      <c r="P104" s="25"/>
      <c r="Q104" s="3" t="s">
        <v>176</v>
      </c>
      <c r="DL104" s="1">
        <v>430</v>
      </c>
      <c r="DO104" s="1">
        <v>9.2333333333333361</v>
      </c>
      <c r="DP104" s="211"/>
      <c r="DS104" s="101" t="s">
        <v>5</v>
      </c>
      <c r="DT104" s="101" t="s">
        <v>145</v>
      </c>
      <c r="DU104" s="140">
        <v>670</v>
      </c>
      <c r="DV104" s="140">
        <v>356</v>
      </c>
      <c r="DW104" s="140">
        <v>126</v>
      </c>
      <c r="DX104" s="140">
        <v>64</v>
      </c>
      <c r="DY104" s="140">
        <v>35</v>
      </c>
      <c r="DZ104" s="140">
        <v>22</v>
      </c>
      <c r="EA104" s="140">
        <v>15</v>
      </c>
      <c r="EB104" s="140" t="s">
        <v>151</v>
      </c>
      <c r="EC104" s="51">
        <v>0.85850000000000004</v>
      </c>
      <c r="ED104" s="51">
        <v>4.9497474683058368E-3</v>
      </c>
      <c r="EE104" s="51">
        <v>0.20366666666666666</v>
      </c>
      <c r="EF104" s="51">
        <v>4.9328828623162362E-3</v>
      </c>
      <c r="EG104" s="51">
        <v>1.9749999999999997E-2</v>
      </c>
      <c r="EH104" s="51">
        <v>7.7781745930520247E-4</v>
      </c>
      <c r="EI104" s="49">
        <v>8.240333333333334</v>
      </c>
      <c r="EJ104" s="49">
        <v>9.9961659316626678E-2</v>
      </c>
      <c r="EK104" s="49">
        <v>902.25</v>
      </c>
      <c r="EL104" s="49">
        <v>18.314065632731644</v>
      </c>
      <c r="EM104" s="49">
        <v>402.83333333333331</v>
      </c>
      <c r="EN104" s="49">
        <v>23.725373196924277</v>
      </c>
      <c r="EO104" s="49">
        <v>287.20000000000005</v>
      </c>
      <c r="EP104" s="49">
        <v>9.7580735803743632</v>
      </c>
      <c r="EQ104" s="229">
        <f>EI104-BK19</f>
        <v>0.25533333333333452</v>
      </c>
      <c r="ER104" s="1">
        <f t="shared" si="93"/>
        <v>31.038066666666669</v>
      </c>
    </row>
    <row r="105" spans="1:148" s="1" customFormat="1">
      <c r="A105" s="25"/>
      <c r="B105" s="25"/>
      <c r="C105" s="25"/>
      <c r="D105" s="25"/>
      <c r="E105" s="25"/>
      <c r="F105" s="25"/>
      <c r="G105" s="178"/>
      <c r="H105" s="25"/>
      <c r="I105" s="25"/>
      <c r="J105" s="25"/>
      <c r="K105" s="25"/>
      <c r="L105" s="25"/>
      <c r="M105" s="25"/>
      <c r="N105" s="25"/>
      <c r="O105" s="25"/>
      <c r="P105" s="25"/>
      <c r="Q105" s="3">
        <v>13</v>
      </c>
      <c r="DL105" s="1">
        <v>460</v>
      </c>
      <c r="DO105" s="1">
        <v>14.016666666666662</v>
      </c>
      <c r="DP105" s="211"/>
      <c r="DS105" s="101"/>
      <c r="DT105" s="101"/>
      <c r="DU105" s="140">
        <v>933</v>
      </c>
      <c r="DV105" s="140">
        <v>645</v>
      </c>
      <c r="DW105" s="140">
        <v>330</v>
      </c>
      <c r="DX105" s="140">
        <v>198</v>
      </c>
      <c r="DY105" s="140">
        <v>100</v>
      </c>
      <c r="DZ105" s="140">
        <v>45</v>
      </c>
      <c r="EA105" s="140">
        <v>25</v>
      </c>
      <c r="EB105" s="140" t="s">
        <v>152</v>
      </c>
      <c r="EC105" s="51">
        <v>0.88233333333333341</v>
      </c>
      <c r="ED105" s="51">
        <v>1.0263202878893778E-2</v>
      </c>
      <c r="EE105" s="51">
        <v>0.21333333333333335</v>
      </c>
      <c r="EF105" s="51">
        <v>1.0785793124908951E-2</v>
      </c>
      <c r="EG105" s="51">
        <v>2.0099999999999996E-2</v>
      </c>
      <c r="EH105" s="51">
        <v>4.0000000000000105E-4</v>
      </c>
      <c r="EI105" s="49">
        <v>10.312333333333333</v>
      </c>
      <c r="EJ105" s="49">
        <v>0.11350917730885626</v>
      </c>
      <c r="EK105" s="49">
        <v>1021.6666666666666</v>
      </c>
      <c r="EL105" s="49">
        <v>21.259429280517661</v>
      </c>
      <c r="EM105" s="49">
        <v>365.40000000000003</v>
      </c>
      <c r="EN105" s="49">
        <v>38.177087369258565</v>
      </c>
      <c r="EO105" s="49">
        <v>221.36666666666665</v>
      </c>
      <c r="EP105" s="49">
        <v>8.458329228242027</v>
      </c>
      <c r="EQ105" s="229">
        <f>EI105-BK20</f>
        <v>2.0859999999999985</v>
      </c>
      <c r="ER105" s="1">
        <f t="shared" si="93"/>
        <v>32.059680000000007</v>
      </c>
    </row>
    <row r="106" spans="1:148" s="1" customFormat="1">
      <c r="A106" s="25"/>
      <c r="B106" s="25"/>
      <c r="C106" s="25"/>
      <c r="D106" s="25"/>
      <c r="E106" s="25"/>
      <c r="F106" s="25"/>
      <c r="G106" s="178"/>
      <c r="H106" s="25"/>
      <c r="I106" s="25"/>
      <c r="J106" s="25"/>
      <c r="K106" s="25"/>
      <c r="L106" s="25"/>
      <c r="M106" s="25"/>
      <c r="N106" s="25"/>
      <c r="O106" s="25"/>
      <c r="P106" s="25"/>
      <c r="Q106" s="3">
        <f>CORREL(E6:E20,Q6:Q20)</f>
        <v>0.83635953789133521</v>
      </c>
      <c r="DL106" s="1">
        <v>600</v>
      </c>
      <c r="DO106" s="1">
        <v>23.119999999999997</v>
      </c>
      <c r="DP106" s="211"/>
      <c r="DS106" s="101"/>
      <c r="DT106" s="101"/>
      <c r="DU106" s="140">
        <v>1728</v>
      </c>
      <c r="DV106" s="140">
        <v>1647</v>
      </c>
      <c r="DW106" s="140">
        <v>495</v>
      </c>
      <c r="DX106" s="140">
        <v>213</v>
      </c>
      <c r="DY106" s="140">
        <v>159</v>
      </c>
      <c r="DZ106" s="140">
        <v>45</v>
      </c>
      <c r="EA106" s="140">
        <v>20</v>
      </c>
      <c r="EB106" s="140" t="s">
        <v>153</v>
      </c>
      <c r="EC106" s="51">
        <v>0.98266666666666669</v>
      </c>
      <c r="ED106" s="51">
        <v>8.0208062770106506E-3</v>
      </c>
      <c r="EE106" s="51">
        <v>0.2203333333333333</v>
      </c>
      <c r="EF106" s="51">
        <v>1.4742229591663984E-2</v>
      </c>
      <c r="EG106" s="51">
        <v>2.179E-2</v>
      </c>
      <c r="EH106" s="51">
        <v>3.0512292604784784E-4</v>
      </c>
      <c r="EI106" s="49">
        <v>13.074666666666667</v>
      </c>
      <c r="EJ106" s="49">
        <v>0.12215290963924427</v>
      </c>
      <c r="EK106" s="49">
        <v>1132.4666666666667</v>
      </c>
      <c r="EL106" s="49">
        <v>34.439850948186908</v>
      </c>
      <c r="EM106" s="49">
        <v>588.65</v>
      </c>
      <c r="EN106" s="49">
        <v>19.586857838867399</v>
      </c>
      <c r="EO106" s="49">
        <v>356</v>
      </c>
      <c r="EP106" s="49">
        <v>11.580587204455551</v>
      </c>
      <c r="EQ106" s="229">
        <f>EI106-BK21</f>
        <v>4.9139999999999997</v>
      </c>
      <c r="ER106" s="1">
        <f t="shared" si="93"/>
        <v>35.013278666666665</v>
      </c>
    </row>
    <row r="107" spans="1:148" s="1" customFormat="1" ht="16">
      <c r="A107" s="10" t="s">
        <v>159</v>
      </c>
      <c r="B107" s="11"/>
      <c r="C107" s="11"/>
      <c r="D107" s="11"/>
      <c r="E107" s="11"/>
      <c r="F107" s="11"/>
      <c r="G107" s="12"/>
      <c r="H107" s="25"/>
      <c r="I107" s="25"/>
      <c r="J107" s="25"/>
      <c r="K107" s="25"/>
      <c r="L107" s="25"/>
      <c r="M107" s="25"/>
      <c r="N107" s="25"/>
      <c r="O107" s="25"/>
      <c r="P107" s="25"/>
      <c r="Q107" s="3">
        <f>ABS(Q106)*SQRT(13)/SQRT(1-Q106^2)</f>
        <v>5.5009852950072986</v>
      </c>
      <c r="DL107" s="1">
        <v>800</v>
      </c>
      <c r="DO107" s="1">
        <v>35.155000000000008</v>
      </c>
      <c r="DP107" s="211"/>
      <c r="DS107" s="101"/>
      <c r="DT107" s="101"/>
      <c r="DU107" s="140">
        <v>1594</v>
      </c>
      <c r="DV107" s="140">
        <v>1065</v>
      </c>
      <c r="DW107" s="140">
        <v>85</v>
      </c>
      <c r="DX107" s="140">
        <v>43</v>
      </c>
      <c r="DY107" s="140">
        <v>30</v>
      </c>
      <c r="DZ107" s="140">
        <v>10</v>
      </c>
      <c r="EA107" s="140">
        <v>2</v>
      </c>
      <c r="EB107" s="140" t="s">
        <v>154</v>
      </c>
      <c r="EC107" s="51">
        <v>1.042</v>
      </c>
      <c r="ED107" s="51">
        <v>6.0000000000000053E-3</v>
      </c>
      <c r="EE107" s="51">
        <v>0.23649999999999999</v>
      </c>
      <c r="EF107" s="51">
        <v>3.5355339059327212E-3</v>
      </c>
      <c r="EG107" s="51">
        <v>2.2823333333333334E-2</v>
      </c>
      <c r="EH107" s="51">
        <v>2.1385353243127291E-4</v>
      </c>
      <c r="EI107" s="49">
        <v>10.134</v>
      </c>
      <c r="EJ107" s="49">
        <v>0.11333137253205755</v>
      </c>
      <c r="EK107" s="49">
        <v>1140.9999999999998</v>
      </c>
      <c r="EL107" s="49">
        <v>27.626617599699049</v>
      </c>
      <c r="EM107" s="49">
        <v>624.36666666666667</v>
      </c>
      <c r="EN107" s="49">
        <v>12.312730539296849</v>
      </c>
      <c r="EO107" s="49">
        <v>336.70000000000005</v>
      </c>
      <c r="EP107" s="49">
        <v>15.414927829866743</v>
      </c>
      <c r="EQ107" s="229">
        <f>EI107-BK22</f>
        <v>2.734</v>
      </c>
      <c r="ER107" s="1">
        <f t="shared" si="93"/>
        <v>37.24110533333333</v>
      </c>
    </row>
    <row r="108" spans="1:148" s="1" customFormat="1" ht="16">
      <c r="A108" s="79" t="s">
        <v>160</v>
      </c>
      <c r="B108" s="79" t="s">
        <v>161</v>
      </c>
      <c r="C108" s="79" t="s">
        <v>162</v>
      </c>
      <c r="D108" s="79" t="s">
        <v>163</v>
      </c>
      <c r="E108" s="79"/>
      <c r="F108" s="79"/>
      <c r="G108" s="79" t="s">
        <v>164</v>
      </c>
      <c r="H108" s="25"/>
      <c r="I108" s="25"/>
      <c r="J108" s="25"/>
      <c r="K108" s="25"/>
      <c r="L108" s="25"/>
      <c r="M108" s="25"/>
      <c r="N108" s="25"/>
      <c r="O108" s="25"/>
      <c r="P108" s="25"/>
      <c r="Q108" s="3">
        <f>TDIST(Q107,13,2)</f>
        <v>1.0197654714744955E-4</v>
      </c>
      <c r="DL108" s="1">
        <v>430</v>
      </c>
      <c r="DO108" s="1">
        <v>22.153333333333336</v>
      </c>
      <c r="DP108" s="211"/>
      <c r="DS108" s="101"/>
      <c r="DT108" s="101"/>
      <c r="DU108" s="140">
        <v>155</v>
      </c>
      <c r="DV108" s="140">
        <v>120</v>
      </c>
      <c r="DW108" s="140">
        <v>19</v>
      </c>
      <c r="DX108" s="140">
        <v>11</v>
      </c>
      <c r="DY108" s="140">
        <v>0</v>
      </c>
      <c r="DZ108" s="140">
        <v>0</v>
      </c>
      <c r="EA108" s="140">
        <v>0</v>
      </c>
      <c r="EB108" s="140" t="s">
        <v>155</v>
      </c>
      <c r="EC108" s="51">
        <v>0.65600000000000003</v>
      </c>
      <c r="ED108" s="51">
        <v>8.1853527718724565E-3</v>
      </c>
      <c r="EE108" s="51">
        <v>0.20699999999999999</v>
      </c>
      <c r="EF108" s="51">
        <v>6.5574385243019938E-3</v>
      </c>
      <c r="EG108" s="51">
        <v>2.1966666666666662E-2</v>
      </c>
      <c r="EH108" s="51">
        <v>5.0332229568471711E-4</v>
      </c>
      <c r="EI108" s="49">
        <v>8.3670000000000009</v>
      </c>
      <c r="EJ108" s="49">
        <v>0.13859292911256313</v>
      </c>
      <c r="EK108" s="49">
        <v>931.75</v>
      </c>
      <c r="EL108" s="49">
        <v>37.54737008100561</v>
      </c>
      <c r="EM108" s="49">
        <v>315.39999999999998</v>
      </c>
      <c r="EN108" s="49">
        <v>14.892615619829842</v>
      </c>
      <c r="EO108" s="49">
        <v>214.43333333333337</v>
      </c>
      <c r="EP108" s="49">
        <v>11.703560711737834</v>
      </c>
      <c r="EQ108" s="229">
        <f>EI108-BK23</f>
        <v>0.78700000000000081</v>
      </c>
      <c r="ER108" s="1">
        <f t="shared" si="93"/>
        <v>25.791106666666664</v>
      </c>
    </row>
    <row r="109" spans="1:148" s="1" customFormat="1" ht="19">
      <c r="A109" s="230">
        <v>7.4</v>
      </c>
      <c r="B109" s="230">
        <v>8.7100000000000009</v>
      </c>
      <c r="C109" s="230">
        <v>9.1</v>
      </c>
      <c r="D109" s="230">
        <v>26.6</v>
      </c>
      <c r="E109" s="230"/>
      <c r="F109" s="230"/>
      <c r="G109" s="230">
        <v>4.5</v>
      </c>
      <c r="H109" s="25"/>
      <c r="I109" s="25"/>
      <c r="J109" s="25"/>
      <c r="K109" s="25"/>
      <c r="L109" s="25"/>
      <c r="M109" s="25"/>
      <c r="N109" s="25"/>
      <c r="O109" s="25"/>
      <c r="P109" s="25"/>
      <c r="Q109" s="3"/>
      <c r="DL109" s="1">
        <v>0</v>
      </c>
      <c r="DO109" s="1">
        <v>0</v>
      </c>
      <c r="DP109" s="211"/>
    </row>
    <row r="110" spans="1:148" s="1" customFormat="1">
      <c r="A110" s="25"/>
      <c r="B110" s="25"/>
      <c r="C110" s="25"/>
      <c r="D110" s="25"/>
      <c r="E110" s="25"/>
      <c r="F110" s="25"/>
      <c r="G110" s="178"/>
      <c r="H110" s="25"/>
      <c r="I110" s="25"/>
      <c r="J110" s="25"/>
      <c r="K110" s="25"/>
      <c r="L110" s="25"/>
      <c r="M110" s="25"/>
      <c r="N110" s="25"/>
      <c r="O110" s="25"/>
      <c r="P110" s="25"/>
      <c r="Q110" s="3" t="s">
        <v>239</v>
      </c>
      <c r="DP110" s="211"/>
    </row>
    <row r="111" spans="1:148" s="1" customFormat="1">
      <c r="A111" s="25"/>
      <c r="B111" s="25"/>
      <c r="C111" s="25"/>
      <c r="D111" s="25"/>
      <c r="E111" s="25"/>
      <c r="F111" s="25"/>
      <c r="G111" s="178"/>
      <c r="H111" s="25"/>
      <c r="I111" s="25"/>
      <c r="J111" s="25"/>
      <c r="K111" s="25"/>
      <c r="L111" s="25"/>
      <c r="M111" s="25"/>
      <c r="N111" s="25"/>
      <c r="O111" s="25"/>
      <c r="P111" s="25"/>
      <c r="Q111" s="3">
        <v>13</v>
      </c>
      <c r="DP111" s="211"/>
    </row>
    <row r="112" spans="1:148" s="1" customFormat="1">
      <c r="A112" s="25"/>
      <c r="B112" s="25"/>
      <c r="C112" s="25"/>
      <c r="D112" s="25"/>
      <c r="E112" s="25"/>
      <c r="F112" s="25"/>
      <c r="G112" s="178"/>
      <c r="H112" s="25"/>
      <c r="I112" s="25"/>
      <c r="J112" s="25"/>
      <c r="K112" s="25"/>
      <c r="L112" s="25"/>
      <c r="M112" s="25"/>
      <c r="N112" s="25"/>
      <c r="O112" s="25"/>
      <c r="P112" s="25"/>
      <c r="Q112" s="3">
        <f>CORREL(E36:E50,Q36:Q50)</f>
        <v>0.90387711740896137</v>
      </c>
      <c r="DP112" s="211"/>
    </row>
    <row r="113" spans="1:121" s="1" customFormat="1">
      <c r="A113" s="25"/>
      <c r="B113" s="25"/>
      <c r="C113" s="25"/>
      <c r="D113" s="25"/>
      <c r="E113" s="25"/>
      <c r="F113" s="25"/>
      <c r="G113" s="178"/>
      <c r="H113" s="25"/>
      <c r="I113" s="25"/>
      <c r="J113" s="25"/>
      <c r="K113" s="25"/>
      <c r="L113" s="25"/>
      <c r="M113" s="25"/>
      <c r="N113" s="25"/>
      <c r="O113" s="25"/>
      <c r="P113" s="25"/>
      <c r="Q113" s="3">
        <f>ABS(Q112)*SQRT(13)/SQRT(1-Q112^2)</f>
        <v>7.6181271664312398</v>
      </c>
    </row>
    <row r="114" spans="1:121" s="1" customFormat="1">
      <c r="A114" s="25"/>
      <c r="B114" s="25"/>
      <c r="C114" s="25"/>
      <c r="D114" s="25"/>
      <c r="E114" s="25"/>
      <c r="F114" s="25"/>
      <c r="G114" s="178"/>
      <c r="H114" s="25"/>
      <c r="I114" s="25"/>
      <c r="J114" s="25"/>
      <c r="K114" s="25"/>
      <c r="L114" s="25"/>
      <c r="M114" s="25"/>
      <c r="N114" s="25"/>
      <c r="O114" s="25"/>
      <c r="P114" s="25"/>
      <c r="Q114" s="3">
        <f>TDIST(Q113,13,2)</f>
        <v>3.804117675404152E-6</v>
      </c>
      <c r="DL114" s="1" t="s">
        <v>188</v>
      </c>
      <c r="DO114" s="1">
        <f>CORREL(DL57:DL109,DO57:DO109)</f>
        <v>0.57049545865034523</v>
      </c>
      <c r="DP114" s="1">
        <f>CORREL(DN57:DN85,DP57:DP85)</f>
        <v>-0.73334945270456176</v>
      </c>
      <c r="DQ114" s="1">
        <f>CORREL(DP57:DP101,DQ57:DQ101)</f>
        <v>0.67069390166574683</v>
      </c>
    </row>
    <row r="115" spans="1:121" s="1" customFormat="1">
      <c r="A115" s="25"/>
      <c r="B115" s="25"/>
      <c r="C115" s="25"/>
      <c r="D115" s="25"/>
      <c r="E115" s="25"/>
      <c r="F115" s="25"/>
      <c r="G115" s="178"/>
      <c r="H115" s="25"/>
      <c r="I115" s="25"/>
      <c r="J115" s="25"/>
      <c r="K115" s="25"/>
      <c r="L115" s="25"/>
      <c r="M115" s="25"/>
      <c r="N115" s="25"/>
      <c r="O115" s="25"/>
      <c r="P115" s="25"/>
      <c r="Q115" s="3"/>
      <c r="DL115" s="1" t="s">
        <v>189</v>
      </c>
      <c r="DO115" s="1">
        <f>ABS(DO114)*SQRT(COUNT(DO57:DO109)-2)/SQRT(1-DO114^2)</f>
        <v>4.3379273326208505</v>
      </c>
      <c r="DP115" s="1">
        <f>ABS(DP114)*SQRT(COUNT(DN57:DN90)-2)/SQRT(1-DP114^2)</f>
        <v>5.3934501992678054</v>
      </c>
      <c r="DQ115" s="1">
        <f>ABS(DQ114)*SQRT(COUNT(DP57:DP101)-2)/SQRT(1-DQ114^2)</f>
        <v>4.6106557909384138</v>
      </c>
    </row>
    <row r="116" spans="1:121" s="1" customFormat="1">
      <c r="A116" s="25"/>
      <c r="B116" s="25"/>
      <c r="C116" s="25"/>
      <c r="D116" s="25"/>
      <c r="E116" s="25"/>
      <c r="F116" s="25"/>
      <c r="G116" s="178"/>
      <c r="H116" s="25"/>
      <c r="I116" s="25"/>
      <c r="J116" s="25"/>
      <c r="K116" s="25"/>
      <c r="L116" s="25"/>
      <c r="M116" s="25"/>
      <c r="N116" s="25"/>
      <c r="O116" s="25"/>
      <c r="P116" s="25"/>
      <c r="Q116" s="3" t="s">
        <v>240</v>
      </c>
      <c r="DL116" s="1" t="s">
        <v>190</v>
      </c>
      <c r="DO116" s="1">
        <f>TDIST(DO115,COUNT(DO57:DO109)-2,2)</f>
        <v>9.8439655508908436E-5</v>
      </c>
      <c r="DP116" s="1">
        <f>TDIST(DP115,COUNT(DP57:DP90)-1,2)</f>
        <v>1.0601039015104055E-5</v>
      </c>
      <c r="DQ116" s="1">
        <f>TDIST(DQ115,COUNT(DQ57:DQ101)-1,2)</f>
        <v>4.6643306100545817E-5</v>
      </c>
    </row>
    <row r="117" spans="1:121" s="1" customFormat="1">
      <c r="A117" s="25"/>
      <c r="B117" s="25"/>
      <c r="C117" s="25"/>
      <c r="D117" s="25"/>
      <c r="E117" s="25"/>
      <c r="F117" s="25"/>
      <c r="G117" s="178"/>
      <c r="H117" s="25"/>
      <c r="I117" s="25"/>
      <c r="J117" s="25"/>
      <c r="K117" s="25"/>
      <c r="L117" s="25"/>
      <c r="M117" s="25"/>
      <c r="N117" s="25"/>
      <c r="O117" s="25"/>
      <c r="P117" s="25"/>
      <c r="Q117" s="3">
        <v>9</v>
      </c>
      <c r="R117" s="1">
        <v>6</v>
      </c>
      <c r="S117" s="1">
        <v>7.2560000000000002</v>
      </c>
      <c r="DL117" s="1" t="s">
        <v>196</v>
      </c>
      <c r="DO117" s="1">
        <f>COUNT(DO57:DO109)-2</f>
        <v>39</v>
      </c>
      <c r="DP117" s="1">
        <f t="shared" ref="DP117:DQ117" si="94">COUNT(DP57:DP109)-2</f>
        <v>26</v>
      </c>
      <c r="DQ117" s="1">
        <f t="shared" si="94"/>
        <v>36</v>
      </c>
    </row>
    <row r="118" spans="1:121" s="1" customFormat="1">
      <c r="A118" s="25"/>
      <c r="B118" s="25"/>
      <c r="C118" s="25"/>
      <c r="D118" s="25"/>
      <c r="E118" s="25"/>
      <c r="F118" s="25"/>
      <c r="G118" s="178"/>
      <c r="H118" s="25"/>
      <c r="I118" s="25"/>
      <c r="J118" s="25"/>
      <c r="K118" s="25"/>
      <c r="L118" s="25"/>
      <c r="M118" s="25"/>
      <c r="N118" s="25"/>
      <c r="O118" s="25"/>
      <c r="P118" s="25"/>
      <c r="Q118" s="3">
        <f>CORREL(Q21:Q29,F21:F29)</f>
        <v>0.71028369476228825</v>
      </c>
      <c r="R118" s="1">
        <v>6</v>
      </c>
      <c r="S118" s="1">
        <v>7.6479999999999997</v>
      </c>
    </row>
    <row r="119" spans="1:121" s="1" customFormat="1">
      <c r="A119" s="25"/>
      <c r="B119" s="25"/>
      <c r="C119" s="25"/>
      <c r="D119" s="25"/>
      <c r="E119" s="25"/>
      <c r="F119" s="25"/>
      <c r="G119" s="178"/>
      <c r="H119" s="25"/>
      <c r="I119" s="25"/>
      <c r="J119" s="25"/>
      <c r="K119" s="25"/>
      <c r="L119" s="25"/>
      <c r="M119" s="25"/>
      <c r="N119" s="25"/>
      <c r="O119" s="25"/>
      <c r="P119" s="25"/>
      <c r="Q119" s="3">
        <f>ABS(Q118)*SQRT(7)/SQRT(1-Q118^2)</f>
        <v>2.6696868265461302</v>
      </c>
      <c r="R119" s="1">
        <v>6</v>
      </c>
      <c r="S119" s="1">
        <v>8.0299999999999994</v>
      </c>
      <c r="DL119" s="1">
        <v>0</v>
      </c>
      <c r="DO119" s="1">
        <v>0</v>
      </c>
    </row>
    <row r="120" spans="1:121" s="1" customFormat="1">
      <c r="A120" s="25"/>
      <c r="B120" s="25"/>
      <c r="C120" s="25"/>
      <c r="D120" s="25"/>
      <c r="E120" s="25"/>
      <c r="F120" s="25"/>
      <c r="G120" s="178"/>
      <c r="H120" s="25"/>
      <c r="I120" s="25"/>
      <c r="J120" s="25"/>
      <c r="K120" s="25"/>
      <c r="L120" s="25"/>
      <c r="M120" s="25"/>
      <c r="N120" s="25"/>
      <c r="O120" s="25"/>
      <c r="P120" s="25"/>
      <c r="Q120" s="3">
        <f>TDIST(Q119,9,2)</f>
        <v>2.5635608182925946E-2</v>
      </c>
      <c r="R120" s="1">
        <v>9</v>
      </c>
      <c r="S120" s="1">
        <v>8.2530000000000001</v>
      </c>
      <c r="DK120" s="1" t="s">
        <v>198</v>
      </c>
      <c r="DL120" s="1">
        <v>430</v>
      </c>
      <c r="DO120" s="1">
        <v>9.2333333333333361</v>
      </c>
      <c r="DP120" s="1">
        <f t="shared" ref="DP120:DP129" si="95">DO120/DL120</f>
        <v>2.147286821705427E-2</v>
      </c>
    </row>
    <row r="121" spans="1:121" s="1" customFormat="1">
      <c r="A121" s="25"/>
      <c r="B121" s="25"/>
      <c r="C121" s="25"/>
      <c r="D121" s="25"/>
      <c r="E121" s="25"/>
      <c r="F121" s="25"/>
      <c r="G121" s="178"/>
      <c r="H121" s="25"/>
      <c r="I121" s="25"/>
      <c r="J121" s="25"/>
      <c r="K121" s="25"/>
      <c r="L121" s="25"/>
      <c r="M121" s="25"/>
      <c r="N121" s="25"/>
      <c r="O121" s="25"/>
      <c r="P121" s="25"/>
      <c r="Q121" s="3">
        <v>9</v>
      </c>
      <c r="R121" s="1">
        <v>9</v>
      </c>
      <c r="S121" s="1">
        <v>8.0210000000000008</v>
      </c>
      <c r="DL121" s="1">
        <v>460</v>
      </c>
      <c r="DO121" s="1">
        <v>14.016666666666662</v>
      </c>
      <c r="DP121" s="1">
        <f t="shared" si="95"/>
        <v>3.0471014492753613E-2</v>
      </c>
    </row>
    <row r="122" spans="1:121" s="1" customFormat="1">
      <c r="A122" s="25"/>
      <c r="B122" s="25"/>
      <c r="C122" s="25"/>
      <c r="D122" s="25"/>
      <c r="E122" s="25"/>
      <c r="F122" s="25"/>
      <c r="G122" s="178"/>
      <c r="H122" s="25"/>
      <c r="I122" s="25"/>
      <c r="J122" s="25"/>
      <c r="K122" s="25"/>
      <c r="L122" s="25"/>
      <c r="M122" s="25"/>
      <c r="N122" s="25"/>
      <c r="O122" s="25"/>
      <c r="P122" s="25"/>
      <c r="Q122" s="3">
        <f>CORREL(F27:F35,Q27:Q35)</f>
        <v>-0.53048779134243507</v>
      </c>
      <c r="R122" s="1">
        <v>9</v>
      </c>
      <c r="S122" s="1">
        <v>8.1449999999999996</v>
      </c>
      <c r="DL122" s="1">
        <v>600</v>
      </c>
      <c r="DO122" s="1">
        <v>23.119999999999997</v>
      </c>
      <c r="DP122" s="1">
        <f t="shared" si="95"/>
        <v>3.8533333333333329E-2</v>
      </c>
    </row>
    <row r="123" spans="1:121" s="1" customFormat="1">
      <c r="A123" s="25"/>
      <c r="B123" s="25"/>
      <c r="C123" s="25"/>
      <c r="D123" s="25"/>
      <c r="E123" s="25"/>
      <c r="F123" s="25"/>
      <c r="G123" s="178"/>
      <c r="H123" s="25"/>
      <c r="I123" s="25"/>
      <c r="J123" s="25"/>
      <c r="K123" s="25"/>
      <c r="L123" s="25"/>
      <c r="M123" s="25"/>
      <c r="N123" s="25"/>
      <c r="O123" s="25"/>
      <c r="P123" s="25"/>
      <c r="Q123" s="3">
        <f>ABS(Q122)*SQRT(7)/SQRT(1-Q122^2)</f>
        <v>1.6557167177702705</v>
      </c>
      <c r="R123" s="1">
        <v>12</v>
      </c>
      <c r="S123" s="1">
        <v>8.2579999999999991</v>
      </c>
      <c r="DL123" s="1">
        <v>800</v>
      </c>
      <c r="DO123" s="1">
        <v>35.5</v>
      </c>
      <c r="DP123" s="1">
        <f t="shared" si="95"/>
        <v>4.4374999999999998E-2</v>
      </c>
    </row>
    <row r="124" spans="1:121" s="1" customFormat="1">
      <c r="A124" s="25"/>
      <c r="B124" s="25"/>
      <c r="C124" s="25"/>
      <c r="D124" s="25"/>
      <c r="E124" s="25"/>
      <c r="F124" s="25"/>
      <c r="G124" s="178"/>
      <c r="H124" s="25"/>
      <c r="I124" s="25"/>
      <c r="J124" s="25"/>
      <c r="K124" s="25"/>
      <c r="L124" s="25"/>
      <c r="M124" s="25"/>
      <c r="N124" s="25"/>
      <c r="O124" s="25"/>
      <c r="P124" s="25"/>
      <c r="Q124" s="3">
        <f>TDIST(Q123,9,2)</f>
        <v>0.13216224969193882</v>
      </c>
      <c r="R124" s="1">
        <v>12</v>
      </c>
      <c r="S124" s="1">
        <v>8.1359999999999992</v>
      </c>
      <c r="DK124" s="1" t="s">
        <v>197</v>
      </c>
      <c r="DL124" s="1">
        <v>30</v>
      </c>
      <c r="DO124" s="1">
        <v>1.5660000000000007</v>
      </c>
      <c r="DP124" s="1">
        <f t="shared" si="95"/>
        <v>5.2200000000000024E-2</v>
      </c>
    </row>
    <row r="125" spans="1:121" s="1" customFormat="1">
      <c r="A125" s="25"/>
      <c r="B125" s="25"/>
      <c r="C125" s="25"/>
      <c r="D125" s="25"/>
      <c r="E125" s="25"/>
      <c r="F125" s="25"/>
      <c r="G125" s="178"/>
      <c r="H125" s="25"/>
      <c r="I125" s="25"/>
      <c r="J125" s="25"/>
      <c r="K125" s="25"/>
      <c r="L125" s="25"/>
      <c r="M125" s="25"/>
      <c r="N125" s="25"/>
      <c r="O125" s="25"/>
      <c r="P125" s="25"/>
      <c r="Q125" s="3"/>
      <c r="R125" s="1">
        <v>12</v>
      </c>
      <c r="S125" s="1">
        <v>8.1690000000000005</v>
      </c>
      <c r="DL125" s="1">
        <v>102</v>
      </c>
      <c r="DO125" s="1">
        <v>2.0583333333333336</v>
      </c>
      <c r="DP125" s="1">
        <f t="shared" si="95"/>
        <v>2.0179738562091504E-2</v>
      </c>
    </row>
    <row r="126" spans="1:121" s="1" customFormat="1">
      <c r="A126" s="25"/>
      <c r="B126" s="25"/>
      <c r="C126" s="25"/>
      <c r="D126" s="25"/>
      <c r="E126" s="25"/>
      <c r="F126" s="25"/>
      <c r="G126" s="178"/>
      <c r="H126" s="25"/>
      <c r="I126" s="25"/>
      <c r="J126" s="25"/>
      <c r="K126" s="25"/>
      <c r="L126" s="25"/>
      <c r="M126" s="25"/>
      <c r="N126" s="25"/>
      <c r="O126" s="25"/>
      <c r="P126" s="25"/>
      <c r="Q126" s="3" t="s">
        <v>241</v>
      </c>
      <c r="R126" s="1">
        <v>6</v>
      </c>
      <c r="S126" s="78">
        <v>7.6580000000000004</v>
      </c>
      <c r="DL126" s="1">
        <v>171</v>
      </c>
      <c r="DO126" s="1">
        <v>5.2756666666666661</v>
      </c>
      <c r="DP126" s="1">
        <f t="shared" si="95"/>
        <v>3.0851851851851849E-2</v>
      </c>
    </row>
    <row r="127" spans="1:121" s="1" customFormat="1">
      <c r="A127" s="25"/>
      <c r="B127" s="25"/>
      <c r="C127" s="25"/>
      <c r="D127" s="25"/>
      <c r="E127" s="25"/>
      <c r="F127" s="25"/>
      <c r="G127" s="178"/>
      <c r="H127" s="25"/>
      <c r="I127" s="25"/>
      <c r="J127" s="25"/>
      <c r="K127" s="25"/>
      <c r="L127" s="25"/>
      <c r="M127" s="25"/>
      <c r="N127" s="25"/>
      <c r="O127" s="25"/>
      <c r="P127" s="25"/>
      <c r="Q127" s="3">
        <v>9</v>
      </c>
      <c r="R127" s="1">
        <v>6</v>
      </c>
      <c r="S127" s="78">
        <v>8.3409999999999993</v>
      </c>
      <c r="DL127" s="1">
        <v>35</v>
      </c>
      <c r="DO127" s="1">
        <v>0.25533333333333452</v>
      </c>
      <c r="DP127" s="1">
        <f t="shared" si="95"/>
        <v>7.2952380952381289E-3</v>
      </c>
    </row>
    <row r="128" spans="1:121" s="1" customFormat="1">
      <c r="A128" s="25"/>
      <c r="B128" s="25"/>
      <c r="C128" s="25"/>
      <c r="D128" s="25"/>
      <c r="E128" s="25"/>
      <c r="F128" s="25"/>
      <c r="G128" s="178"/>
      <c r="H128" s="25"/>
      <c r="I128" s="25"/>
      <c r="J128" s="25"/>
      <c r="K128" s="25"/>
      <c r="L128" s="25"/>
      <c r="M128" s="25"/>
      <c r="N128" s="25"/>
      <c r="O128" s="25"/>
      <c r="P128" s="25"/>
      <c r="Q128" s="3">
        <f>CORREL(F51:F59,Q51:Q59)</f>
        <v>0.36382882959088353</v>
      </c>
      <c r="R128" s="1">
        <v>6</v>
      </c>
      <c r="S128" s="78">
        <v>7.9560000000000004</v>
      </c>
      <c r="DL128" s="1">
        <v>100</v>
      </c>
      <c r="DO128" s="1">
        <v>2.0859999999999985</v>
      </c>
      <c r="DP128" s="1">
        <f t="shared" si="95"/>
        <v>2.0859999999999986E-2</v>
      </c>
    </row>
    <row r="129" spans="1:120" s="1" customFormat="1">
      <c r="A129" s="25"/>
      <c r="B129" s="25"/>
      <c r="C129" s="25"/>
      <c r="D129" s="25"/>
      <c r="E129" s="25"/>
      <c r="F129" s="25"/>
      <c r="G129" s="178"/>
      <c r="H129" s="25"/>
      <c r="I129" s="25"/>
      <c r="J129" s="25"/>
      <c r="K129" s="25"/>
      <c r="L129" s="25"/>
      <c r="M129" s="25"/>
      <c r="N129" s="25"/>
      <c r="O129" s="25"/>
      <c r="P129" s="25"/>
      <c r="Q129" s="3">
        <f>ABS(Q128)*SQRT(7)/SQRT(1-Q128^2)</f>
        <v>1.0334255721152366</v>
      </c>
      <c r="R129" s="1">
        <v>9</v>
      </c>
      <c r="S129" s="78">
        <v>8.1210000000000004</v>
      </c>
      <c r="DL129" s="1">
        <v>159</v>
      </c>
      <c r="DO129" s="1">
        <v>4.9139999999999997</v>
      </c>
      <c r="DP129" s="1">
        <f t="shared" si="95"/>
        <v>3.090566037735849E-2</v>
      </c>
    </row>
    <row r="130" spans="1:120" s="1" customFormat="1">
      <c r="A130" s="25"/>
      <c r="B130" s="25"/>
      <c r="C130" s="25"/>
      <c r="D130" s="25"/>
      <c r="E130" s="25"/>
      <c r="F130" s="25"/>
      <c r="G130" s="178"/>
      <c r="H130" s="25"/>
      <c r="I130" s="25"/>
      <c r="J130" s="25"/>
      <c r="K130" s="25"/>
      <c r="L130" s="25"/>
      <c r="M130" s="25"/>
      <c r="N130" s="25"/>
      <c r="O130" s="25"/>
      <c r="P130" s="25"/>
      <c r="Q130" s="3">
        <f>TDIST(Q129,9,2)</f>
        <v>0.3283741294505178</v>
      </c>
      <c r="R130" s="1">
        <v>9</v>
      </c>
      <c r="S130" s="78">
        <v>8.2560000000000002</v>
      </c>
      <c r="DP130" s="1">
        <f>AVERAGE(DP120:DP129)</f>
        <v>2.9714470492968121E-2</v>
      </c>
    </row>
    <row r="131" spans="1:120" s="1" customFormat="1">
      <c r="A131" s="25"/>
      <c r="B131" s="25"/>
      <c r="C131" s="25"/>
      <c r="D131" s="25"/>
      <c r="E131" s="25"/>
      <c r="F131" s="25"/>
      <c r="G131" s="178"/>
      <c r="H131" s="25"/>
      <c r="I131" s="25"/>
      <c r="J131" s="25"/>
      <c r="K131" s="25"/>
      <c r="L131" s="25"/>
      <c r="M131" s="25"/>
      <c r="N131" s="25"/>
      <c r="O131" s="25"/>
      <c r="P131" s="25"/>
      <c r="Q131" s="3">
        <v>9</v>
      </c>
      <c r="R131" s="1">
        <v>9</v>
      </c>
      <c r="S131" s="78">
        <v>8.3019999999999996</v>
      </c>
      <c r="DL131" s="1">
        <v>430</v>
      </c>
      <c r="DO131" s="1">
        <v>22.15</v>
      </c>
      <c r="DP131" s="1">
        <f>DO131/DL131</f>
        <v>5.1511627906976741E-2</v>
      </c>
    </row>
    <row r="132" spans="1:120" s="1" customFormat="1">
      <c r="A132" s="25"/>
      <c r="B132" s="25"/>
      <c r="C132" s="25"/>
      <c r="D132" s="25"/>
      <c r="E132" s="25"/>
      <c r="F132" s="25"/>
      <c r="G132" s="178"/>
      <c r="H132" s="25"/>
      <c r="I132" s="25"/>
      <c r="J132" s="25"/>
      <c r="K132" s="25"/>
      <c r="L132" s="25"/>
      <c r="M132" s="25"/>
      <c r="N132" s="25"/>
      <c r="O132" s="25"/>
      <c r="P132" s="25"/>
      <c r="Q132" s="3">
        <f>CORREL(F57:F65,Q57:Q65)</f>
        <v>-0.35553489046717562</v>
      </c>
      <c r="R132" s="1">
        <v>12</v>
      </c>
      <c r="S132" s="78">
        <v>8.1120000000000001</v>
      </c>
      <c r="DL132" s="1">
        <v>800</v>
      </c>
      <c r="DO132" s="1">
        <v>35.15</v>
      </c>
      <c r="DP132" s="1">
        <f>DO132/DL132</f>
        <v>4.3937499999999997E-2</v>
      </c>
    </row>
    <row r="133" spans="1:120" s="1" customFormat="1">
      <c r="A133" s="25"/>
      <c r="B133" s="25"/>
      <c r="C133" s="25"/>
      <c r="D133" s="25"/>
      <c r="E133" s="25"/>
      <c r="F133" s="25"/>
      <c r="G133" s="178"/>
      <c r="H133" s="25"/>
      <c r="I133" s="25"/>
      <c r="J133" s="25"/>
      <c r="K133" s="25"/>
      <c r="L133" s="25"/>
      <c r="M133" s="25"/>
      <c r="N133" s="25"/>
      <c r="O133" s="25"/>
      <c r="P133" s="25"/>
      <c r="Q133" s="3">
        <f>ABS(Q132)*SQRT(7)/SQRT(1-Q132^2)</f>
        <v>1.006412891964898</v>
      </c>
      <c r="R133" s="1">
        <v>12</v>
      </c>
      <c r="S133" s="78">
        <v>8.2010000000000005</v>
      </c>
      <c r="DL133" s="1">
        <v>171</v>
      </c>
      <c r="DO133" s="1">
        <v>5.2756666666666661</v>
      </c>
      <c r="DP133" s="1">
        <f t="shared" ref="DP133:DP134" si="96">DO133/DL133</f>
        <v>3.0851851851851849E-2</v>
      </c>
    </row>
    <row r="134" spans="1:120" s="1" customFormat="1">
      <c r="A134" s="25"/>
      <c r="B134" s="25"/>
      <c r="C134" s="25"/>
      <c r="D134" s="25"/>
      <c r="E134" s="25"/>
      <c r="F134" s="25"/>
      <c r="G134" s="178"/>
      <c r="H134" s="25"/>
      <c r="I134" s="25"/>
      <c r="J134" s="25"/>
      <c r="K134" s="25"/>
      <c r="L134" s="25"/>
      <c r="M134" s="25"/>
      <c r="N134" s="25"/>
      <c r="O134" s="25"/>
      <c r="P134" s="25"/>
      <c r="Q134" s="3">
        <f>TDIST(Q133,9,2)</f>
        <v>0.34050703381339964</v>
      </c>
      <c r="R134" s="1">
        <v>12</v>
      </c>
      <c r="S134" s="78">
        <v>8.1690000000000005</v>
      </c>
      <c r="DL134" s="1">
        <v>77</v>
      </c>
      <c r="DO134" s="1">
        <v>3.708333333333333</v>
      </c>
      <c r="DP134" s="1">
        <f t="shared" si="96"/>
        <v>4.8160173160173153E-2</v>
      </c>
    </row>
    <row r="135" spans="1:120" s="1" customFormat="1">
      <c r="A135" s="25"/>
      <c r="B135" s="25"/>
      <c r="C135" s="25"/>
      <c r="D135" s="25"/>
      <c r="E135" s="25"/>
      <c r="F135" s="25"/>
      <c r="G135" s="178"/>
      <c r="H135" s="25"/>
      <c r="I135" s="25"/>
      <c r="J135" s="25"/>
      <c r="K135" s="25"/>
      <c r="L135" s="25"/>
      <c r="M135" s="25"/>
      <c r="N135" s="25"/>
      <c r="O135" s="25"/>
      <c r="P135" s="25"/>
      <c r="Q135" s="3"/>
    </row>
    <row r="136" spans="1:120" s="1" customFormat="1">
      <c r="A136" s="25"/>
      <c r="B136" s="25"/>
      <c r="C136" s="25"/>
      <c r="D136" s="25"/>
      <c r="E136" s="25"/>
      <c r="F136" s="25"/>
      <c r="G136" s="178"/>
      <c r="H136" s="25"/>
      <c r="I136" s="25"/>
      <c r="J136" s="25"/>
      <c r="K136" s="25"/>
      <c r="L136" s="25"/>
      <c r="M136" s="25"/>
      <c r="N136" s="25"/>
      <c r="O136" s="25"/>
      <c r="P136" s="25"/>
      <c r="Q136" s="3"/>
      <c r="S136" s="78">
        <v>16</v>
      </c>
      <c r="DL136" s="1">
        <v>159</v>
      </c>
      <c r="DO136" s="1">
        <v>4.9139999999999997</v>
      </c>
      <c r="DP136" s="1">
        <f>DO136/DL136</f>
        <v>3.090566037735849E-2</v>
      </c>
    </row>
    <row r="137" spans="1:120" s="1" customFormat="1">
      <c r="A137" s="25"/>
      <c r="B137" s="25"/>
      <c r="C137" s="25"/>
      <c r="D137" s="25"/>
      <c r="E137" s="25"/>
      <c r="F137" s="25"/>
      <c r="G137" s="178"/>
      <c r="H137" s="25"/>
      <c r="I137" s="25"/>
      <c r="J137" s="25"/>
      <c r="K137" s="25"/>
      <c r="L137" s="25"/>
      <c r="M137" s="25"/>
      <c r="N137" s="25"/>
      <c r="O137" s="25"/>
      <c r="P137" s="25"/>
      <c r="Q137" s="3"/>
      <c r="S137" s="1">
        <f>CORREL(R117:R134,S117:S134)</f>
        <v>0.54454112699543544</v>
      </c>
      <c r="DL137" s="1">
        <v>30</v>
      </c>
      <c r="DO137" s="1">
        <v>2.734</v>
      </c>
      <c r="DP137" s="1">
        <f>DO137/DL137</f>
        <v>9.113333333333333E-2</v>
      </c>
    </row>
    <row r="138" spans="1:120" s="1" customFormat="1">
      <c r="A138" s="25"/>
      <c r="B138" s="25"/>
      <c r="C138" s="25"/>
      <c r="D138" s="25"/>
      <c r="E138" s="25"/>
      <c r="F138" s="25"/>
      <c r="G138" s="178"/>
      <c r="H138" s="25"/>
      <c r="I138" s="25"/>
      <c r="J138" s="25"/>
      <c r="K138" s="25"/>
      <c r="L138" s="25"/>
      <c r="M138" s="25"/>
      <c r="N138" s="25"/>
      <c r="O138" s="25"/>
      <c r="P138" s="25"/>
      <c r="Q138" s="3"/>
      <c r="S138" s="1">
        <f>ABS(S137)*SQRT(16)/SQRT(1-S137^2)</f>
        <v>2.5969665461621823</v>
      </c>
    </row>
    <row r="139" spans="1:120" s="1" customFormat="1">
      <c r="A139" s="25"/>
      <c r="B139" s="25"/>
      <c r="C139" s="25"/>
      <c r="D139" s="25"/>
      <c r="E139" s="25"/>
      <c r="F139" s="25"/>
      <c r="G139" s="178"/>
      <c r="H139" s="25"/>
      <c r="I139" s="25"/>
      <c r="J139" s="25"/>
      <c r="K139" s="25"/>
      <c r="L139" s="25"/>
      <c r="M139" s="25"/>
      <c r="N139" s="25"/>
      <c r="O139" s="25"/>
      <c r="P139" s="25"/>
      <c r="Q139" s="3"/>
      <c r="S139" s="1">
        <f>TDIST(S138,16,2)</f>
        <v>1.9460326255049631E-2</v>
      </c>
      <c r="DP139" s="1">
        <f>AVERAGE(DP131:DP137)</f>
        <v>4.9416691104948923E-2</v>
      </c>
    </row>
    <row r="140" spans="1:120" s="1" customFormat="1">
      <c r="A140" s="25"/>
      <c r="B140" s="25"/>
      <c r="C140" s="25"/>
      <c r="D140" s="25"/>
      <c r="E140" s="25"/>
      <c r="F140" s="25"/>
      <c r="G140" s="178"/>
      <c r="H140" s="25"/>
      <c r="I140" s="25"/>
      <c r="J140" s="25"/>
      <c r="K140" s="25"/>
      <c r="L140" s="25"/>
      <c r="M140" s="25"/>
      <c r="N140" s="25"/>
      <c r="O140" s="25"/>
      <c r="P140" s="25"/>
      <c r="Q140" s="3"/>
    </row>
    <row r="141" spans="1:120" s="1" customFormat="1">
      <c r="A141" s="25"/>
      <c r="B141" s="25"/>
      <c r="C141" s="25"/>
      <c r="D141" s="25"/>
      <c r="E141" s="25"/>
      <c r="F141" s="25"/>
      <c r="G141" s="178"/>
      <c r="H141" s="25"/>
      <c r="I141" s="25"/>
      <c r="J141" s="25"/>
      <c r="K141" s="25"/>
      <c r="L141" s="25"/>
      <c r="M141" s="25"/>
      <c r="N141" s="25"/>
      <c r="O141" s="25"/>
      <c r="P141" s="25"/>
      <c r="Q141" s="3"/>
      <c r="R141" s="1">
        <v>12</v>
      </c>
      <c r="S141" s="1">
        <v>8.2579999999999991</v>
      </c>
    </row>
    <row r="142" spans="1:120" s="1" customFormat="1">
      <c r="A142" s="25"/>
      <c r="B142" s="25"/>
      <c r="C142" s="25"/>
      <c r="D142" s="25"/>
      <c r="E142" s="25"/>
      <c r="F142" s="25"/>
      <c r="G142" s="178"/>
      <c r="H142" s="25"/>
      <c r="I142" s="25"/>
      <c r="J142" s="25"/>
      <c r="K142" s="25"/>
      <c r="L142" s="25"/>
      <c r="M142" s="25"/>
      <c r="N142" s="25"/>
      <c r="O142" s="25"/>
      <c r="P142" s="25"/>
      <c r="Q142" s="3"/>
      <c r="R142" s="1">
        <v>12</v>
      </c>
      <c r="S142" s="1">
        <v>8.1359999999999992</v>
      </c>
      <c r="DP142" s="1">
        <f>_xlfn.T.TEST(DP120:DP129,DP131:DP137,2,3)</f>
        <v>8.7729026572530081E-2</v>
      </c>
    </row>
    <row r="143" spans="1:120" s="1" customFormat="1">
      <c r="A143" s="25"/>
      <c r="B143" s="25"/>
      <c r="C143" s="25"/>
      <c r="D143" s="25"/>
      <c r="E143" s="25"/>
      <c r="F143" s="25"/>
      <c r="G143" s="178"/>
      <c r="H143" s="25"/>
      <c r="I143" s="25"/>
      <c r="J143" s="25"/>
      <c r="K143" s="25"/>
      <c r="L143" s="25"/>
      <c r="M143" s="25"/>
      <c r="N143" s="25"/>
      <c r="O143" s="25"/>
      <c r="P143" s="25"/>
      <c r="Q143" s="3"/>
      <c r="R143" s="1">
        <v>12</v>
      </c>
      <c r="S143" s="1">
        <v>8.1690000000000005</v>
      </c>
    </row>
    <row r="144" spans="1:120" s="1" customFormat="1">
      <c r="A144" s="25"/>
      <c r="B144" s="25"/>
      <c r="C144" s="25"/>
      <c r="D144" s="25"/>
      <c r="E144" s="25"/>
      <c r="F144" s="25"/>
      <c r="G144" s="178"/>
      <c r="H144" s="25"/>
      <c r="I144" s="25"/>
      <c r="J144" s="25"/>
      <c r="K144" s="25"/>
      <c r="L144" s="25"/>
      <c r="M144" s="25"/>
      <c r="N144" s="25"/>
      <c r="O144" s="25"/>
      <c r="P144" s="25"/>
      <c r="Q144" s="3"/>
      <c r="R144" s="1">
        <v>15</v>
      </c>
      <c r="S144" s="1">
        <v>7.569</v>
      </c>
    </row>
    <row r="145" spans="1:19" s="1" customFormat="1">
      <c r="A145" s="25"/>
      <c r="B145" s="25"/>
      <c r="C145" s="25"/>
      <c r="D145" s="25"/>
      <c r="E145" s="25"/>
      <c r="F145" s="25"/>
      <c r="G145" s="178"/>
      <c r="H145" s="25"/>
      <c r="I145" s="25"/>
      <c r="J145" s="25"/>
      <c r="K145" s="25"/>
      <c r="L145" s="25"/>
      <c r="M145" s="25"/>
      <c r="N145" s="25"/>
      <c r="O145" s="25"/>
      <c r="P145" s="25"/>
      <c r="Q145" s="3"/>
      <c r="R145" s="1">
        <v>15</v>
      </c>
      <c r="S145" s="1">
        <v>8.0210000000000008</v>
      </c>
    </row>
    <row r="146" spans="1:19" s="1" customFormat="1">
      <c r="A146" s="25"/>
      <c r="B146" s="25"/>
      <c r="C146" s="25"/>
      <c r="D146" s="25"/>
      <c r="E146" s="25"/>
      <c r="F146" s="25"/>
      <c r="G146" s="178"/>
      <c r="H146" s="25"/>
      <c r="I146" s="25"/>
      <c r="J146" s="25"/>
      <c r="K146" s="25"/>
      <c r="L146" s="25"/>
      <c r="M146" s="25"/>
      <c r="N146" s="25"/>
      <c r="O146" s="25"/>
      <c r="P146" s="25"/>
      <c r="Q146" s="3"/>
      <c r="R146" s="1">
        <v>15</v>
      </c>
      <c r="S146" s="1">
        <v>7.234</v>
      </c>
    </row>
    <row r="147" spans="1:19" s="1" customFormat="1">
      <c r="A147" s="25"/>
      <c r="B147" s="25"/>
      <c r="C147" s="25"/>
      <c r="D147" s="25"/>
      <c r="E147" s="25"/>
      <c r="F147" s="25"/>
      <c r="G147" s="178"/>
      <c r="H147" s="25"/>
      <c r="I147" s="25"/>
      <c r="J147" s="25"/>
      <c r="K147" s="25"/>
      <c r="L147" s="25"/>
      <c r="M147" s="25"/>
      <c r="N147" s="25"/>
      <c r="O147" s="25"/>
      <c r="P147" s="25"/>
      <c r="Q147" s="3"/>
      <c r="R147" s="1">
        <v>18</v>
      </c>
      <c r="S147" s="1">
        <v>7.742</v>
      </c>
    </row>
    <row r="148" spans="1:19" s="1" customFormat="1">
      <c r="A148" s="25"/>
      <c r="B148" s="25"/>
      <c r="C148" s="25"/>
      <c r="D148" s="25"/>
      <c r="E148" s="25"/>
      <c r="F148" s="25"/>
      <c r="G148" s="178"/>
      <c r="H148" s="25"/>
      <c r="I148" s="25"/>
      <c r="J148" s="25"/>
      <c r="K148" s="25"/>
      <c r="L148" s="25"/>
      <c r="M148" s="25"/>
      <c r="N148" s="25"/>
      <c r="O148" s="25"/>
      <c r="P148" s="25"/>
      <c r="Q148" s="3"/>
      <c r="R148" s="1">
        <v>18</v>
      </c>
      <c r="S148" s="1">
        <v>7.5019999999999998</v>
      </c>
    </row>
    <row r="149" spans="1:19" s="1" customFormat="1">
      <c r="A149" s="25"/>
      <c r="B149" s="25"/>
      <c r="C149" s="25"/>
      <c r="D149" s="25"/>
      <c r="E149" s="25"/>
      <c r="F149" s="25"/>
      <c r="G149" s="178"/>
      <c r="H149" s="25"/>
      <c r="I149" s="25"/>
      <c r="J149" s="25"/>
      <c r="K149" s="25"/>
      <c r="L149" s="25"/>
      <c r="M149" s="25"/>
      <c r="N149" s="25"/>
      <c r="O149" s="25"/>
      <c r="P149" s="25"/>
      <c r="Q149" s="3"/>
      <c r="R149" s="1">
        <v>18</v>
      </c>
      <c r="S149" s="1">
        <v>8.02</v>
      </c>
    </row>
    <row r="150" spans="1:19" s="1" customFormat="1">
      <c r="G150" s="2"/>
      <c r="Q150" s="3"/>
      <c r="R150" s="1">
        <v>12</v>
      </c>
      <c r="S150" s="78">
        <v>8.1120000000000001</v>
      </c>
    </row>
    <row r="151" spans="1:19" s="1" customFormat="1">
      <c r="G151" s="2"/>
      <c r="Q151" s="3"/>
      <c r="R151" s="1">
        <v>12</v>
      </c>
      <c r="S151" s="78">
        <v>8.2010000000000005</v>
      </c>
    </row>
    <row r="152" spans="1:19" s="1" customFormat="1">
      <c r="G152" s="2"/>
      <c r="Q152" s="3"/>
      <c r="R152" s="1">
        <v>12</v>
      </c>
      <c r="S152" s="78">
        <v>8.1690000000000005</v>
      </c>
    </row>
    <row r="153" spans="1:19" s="1" customFormat="1">
      <c r="G153" s="2"/>
      <c r="Q153" s="3"/>
      <c r="R153" s="1">
        <v>15</v>
      </c>
      <c r="S153" s="78">
        <v>7.42</v>
      </c>
    </row>
    <row r="154" spans="1:19" s="1" customFormat="1">
      <c r="G154" s="2"/>
      <c r="Q154" s="3"/>
      <c r="R154" s="1">
        <v>15</v>
      </c>
      <c r="S154" s="78">
        <v>7.38</v>
      </c>
    </row>
    <row r="155" spans="1:19" s="1" customFormat="1">
      <c r="G155" s="2"/>
      <c r="Q155" s="3"/>
      <c r="R155" s="1">
        <v>15</v>
      </c>
      <c r="S155" s="78">
        <v>8.69</v>
      </c>
    </row>
    <row r="156" spans="1:19" s="1" customFormat="1">
      <c r="G156" s="2"/>
      <c r="Q156" s="3"/>
      <c r="R156" s="1">
        <v>18</v>
      </c>
      <c r="S156" s="78">
        <v>7.62</v>
      </c>
    </row>
    <row r="157" spans="1:19" s="1" customFormat="1">
      <c r="G157" s="2"/>
      <c r="Q157" s="3"/>
      <c r="R157" s="1">
        <v>18</v>
      </c>
      <c r="S157" s="78">
        <v>7.54</v>
      </c>
    </row>
    <row r="158" spans="1:19" s="1" customFormat="1">
      <c r="G158" s="2"/>
      <c r="Q158" s="3"/>
      <c r="R158" s="1">
        <v>18</v>
      </c>
      <c r="S158" s="3">
        <v>8.2100000000000009</v>
      </c>
    </row>
    <row r="160" spans="1:19" s="1" customFormat="1">
      <c r="G160" s="2"/>
      <c r="Q160" s="3"/>
      <c r="S160" s="1">
        <f>CORREL(R141:R158,S141:S158)</f>
        <v>-0.42704168916410978</v>
      </c>
    </row>
    <row r="161" spans="7:19" s="1" customFormat="1">
      <c r="G161" s="2"/>
      <c r="Q161" s="3"/>
      <c r="S161" s="1">
        <f>ABS(S160)*SQRT(14)/SQRT(1-S160^2)</f>
        <v>1.7670728333191106</v>
      </c>
    </row>
    <row r="162" spans="7:19" s="1" customFormat="1">
      <c r="G162" s="2"/>
      <c r="Q162" s="3"/>
      <c r="S162" s="1">
        <f>TDIST(S161,14,2)</f>
        <v>9.8997805451978838E-2</v>
      </c>
    </row>
  </sheetData>
  <mergeCells count="158">
    <mergeCell ref="EK97:EL97"/>
    <mergeCell ref="EM97:EN97"/>
    <mergeCell ref="EO97:EP97"/>
    <mergeCell ref="A107:G107"/>
    <mergeCell ref="DT4:DT5"/>
    <mergeCell ref="DU4:DV4"/>
    <mergeCell ref="DW4:DX4"/>
    <mergeCell ref="DY4:DZ4"/>
    <mergeCell ref="ED4:EE4"/>
    <mergeCell ref="EF4:EG4"/>
    <mergeCell ref="EH4:EI4"/>
    <mergeCell ref="DS98:DS103"/>
    <mergeCell ref="DT98:DT103"/>
    <mergeCell ref="DS104:DS108"/>
    <mergeCell ref="DT104:DT108"/>
    <mergeCell ref="DS3:DS9"/>
    <mergeCell ref="DS80:DS86"/>
    <mergeCell ref="DS87:DS93"/>
    <mergeCell ref="DU97:EA97"/>
    <mergeCell ref="EC97:ED97"/>
    <mergeCell ref="EE97:EF97"/>
    <mergeCell ref="EI97:EJ97"/>
    <mergeCell ref="DS53:DT56"/>
    <mergeCell ref="DS77:ED77"/>
    <mergeCell ref="DS78:DS79"/>
    <mergeCell ref="DT78:DT79"/>
    <mergeCell ref="DU78:DU79"/>
    <mergeCell ref="DV78:DV79"/>
    <mergeCell ref="DW78:DX78"/>
    <mergeCell ref="DY78:DZ78"/>
    <mergeCell ref="EA78:EB78"/>
    <mergeCell ref="EC78:ED78"/>
    <mergeCell ref="EH17:EK18"/>
    <mergeCell ref="DS18:DT22"/>
    <mergeCell ref="EH19:EK52"/>
    <mergeCell ref="DS23:DT23"/>
    <mergeCell ref="DS24:DT27"/>
    <mergeCell ref="DS28:DT28"/>
    <mergeCell ref="DS29:DT32"/>
    <mergeCell ref="DS33:DT33"/>
    <mergeCell ref="DS34:DT37"/>
    <mergeCell ref="DS42:DT42"/>
    <mergeCell ref="DS43:DT46"/>
    <mergeCell ref="DS47:DT47"/>
    <mergeCell ref="DS48:DT51"/>
    <mergeCell ref="DS17:DT17"/>
    <mergeCell ref="DU17:DU18"/>
    <mergeCell ref="DS52:DT52"/>
    <mergeCell ref="DS12:DT12"/>
    <mergeCell ref="DS13:DT15"/>
    <mergeCell ref="CZ50:DA50"/>
    <mergeCell ref="DB50:DC50"/>
    <mergeCell ref="DD50:DE50"/>
    <mergeCell ref="DF50:DG50"/>
    <mergeCell ref="DH50:DI50"/>
    <mergeCell ref="CR50:CR55"/>
    <mergeCell ref="CS50:CS51"/>
    <mergeCell ref="CT50:CU50"/>
    <mergeCell ref="CV50:CW50"/>
    <mergeCell ref="CX50:CY50"/>
    <mergeCell ref="DL34:DN34"/>
    <mergeCell ref="DO34:DQ34"/>
    <mergeCell ref="CT35:CV35"/>
    <mergeCell ref="CW35:CY35"/>
    <mergeCell ref="CZ35:DB35"/>
    <mergeCell ref="DC35:DE35"/>
    <mergeCell ref="DF35:DH35"/>
    <mergeCell ref="DI35:DK35"/>
    <mergeCell ref="DL35:DN35"/>
    <mergeCell ref="DO35:DQ35"/>
    <mergeCell ref="DF20:DG20"/>
    <mergeCell ref="DH20:DI20"/>
    <mergeCell ref="CR34:CR48"/>
    <mergeCell ref="CS34:CS36"/>
    <mergeCell ref="CT34:CV34"/>
    <mergeCell ref="CW34:CY34"/>
    <mergeCell ref="CZ34:DB34"/>
    <mergeCell ref="DC34:DE34"/>
    <mergeCell ref="DF34:DH34"/>
    <mergeCell ref="DI34:DK34"/>
    <mergeCell ref="CS37:CS39"/>
    <mergeCell ref="CS40:CS42"/>
    <mergeCell ref="CS43:CS45"/>
    <mergeCell ref="CS46:CS48"/>
    <mergeCell ref="CV20:CW20"/>
    <mergeCell ref="CX20:CY20"/>
    <mergeCell ref="CZ20:DA20"/>
    <mergeCell ref="DB20:DC20"/>
    <mergeCell ref="DD20:DE20"/>
    <mergeCell ref="CS13:CS15"/>
    <mergeCell ref="CS16:CS18"/>
    <mergeCell ref="CR20:CR25"/>
    <mergeCell ref="CS20:CS21"/>
    <mergeCell ref="CT20:CU20"/>
    <mergeCell ref="CS10:CS12"/>
    <mergeCell ref="CS2:DQ3"/>
    <mergeCell ref="CR4:CR18"/>
    <mergeCell ref="CS4:CS6"/>
    <mergeCell ref="CT4:CV4"/>
    <mergeCell ref="CW4:CY4"/>
    <mergeCell ref="CZ4:DB4"/>
    <mergeCell ref="DC4:DE4"/>
    <mergeCell ref="DF4:DH4"/>
    <mergeCell ref="DI4:DK4"/>
    <mergeCell ref="DL4:DN4"/>
    <mergeCell ref="DO4:DQ4"/>
    <mergeCell ref="CT5:CV5"/>
    <mergeCell ref="CW5:CY5"/>
    <mergeCell ref="CZ5:DB5"/>
    <mergeCell ref="DC5:DE5"/>
    <mergeCell ref="DF5:DH5"/>
    <mergeCell ref="AP24:AP28"/>
    <mergeCell ref="AP29:AP33"/>
    <mergeCell ref="AO9:AO13"/>
    <mergeCell ref="AO14:AO18"/>
    <mergeCell ref="AO19:AO23"/>
    <mergeCell ref="AO24:AO28"/>
    <mergeCell ref="AO29:AO33"/>
    <mergeCell ref="AO4:AO8"/>
    <mergeCell ref="AP4:AP8"/>
    <mergeCell ref="AP9:AP13"/>
    <mergeCell ref="AP14:AP18"/>
    <mergeCell ref="AP19:AP23"/>
    <mergeCell ref="Z4:AB4"/>
    <mergeCell ref="AF4:AH4"/>
    <mergeCell ref="K4:M4"/>
    <mergeCell ref="N4:P4"/>
    <mergeCell ref="B51:B65"/>
    <mergeCell ref="C51:C65"/>
    <mergeCell ref="B66:B80"/>
    <mergeCell ref="C66:C80"/>
    <mergeCell ref="B81:B95"/>
    <mergeCell ref="C81:C95"/>
    <mergeCell ref="B36:B50"/>
    <mergeCell ref="C36:C50"/>
    <mergeCell ref="H4:J4"/>
    <mergeCell ref="G4:G5"/>
    <mergeCell ref="B6:B20"/>
    <mergeCell ref="C6:C20"/>
    <mergeCell ref="C21:C35"/>
    <mergeCell ref="B21:B35"/>
    <mergeCell ref="B4:B5"/>
    <mergeCell ref="C4:C5"/>
    <mergeCell ref="Q4:S4"/>
    <mergeCell ref="T4:V4"/>
    <mergeCell ref="EL4:EQ9"/>
    <mergeCell ref="BN2:BO2"/>
    <mergeCell ref="BQ2:BR2"/>
    <mergeCell ref="BS2:BT2"/>
    <mergeCell ref="AO2:AO3"/>
    <mergeCell ref="AP2:AP3"/>
    <mergeCell ref="AX2:AX3"/>
    <mergeCell ref="BK2:BL2"/>
    <mergeCell ref="AQ2:AW2"/>
    <mergeCell ref="DI5:DK5"/>
    <mergeCell ref="DL5:DN5"/>
    <mergeCell ref="DO5:DQ5"/>
    <mergeCell ref="CS7:CS9"/>
  </mergeCells>
  <phoneticPr fontId="1"/>
  <pageMargins left="0.7" right="0.7" top="0.75" bottom="0.75" header="0.3" footer="0.3"/>
  <pageSetup paperSize="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2022-09-12T18:48:49Z</dcterms:modified>
</cp:coreProperties>
</file>