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a-mulenga/Desktop/MULENGA_LAB/TICK CEMENT PAPER-072220/SR_MS/TICK CEMENT PAPER/TickCementPaper/"/>
    </mc:Choice>
  </mc:AlternateContent>
  <xr:revisionPtr revIDLastSave="0" documentId="8_{0F1F038A-CD07-7046-ADD7-F0B55F72B6E4}" xr6:coauthVersionLast="47" xr6:coauthVersionMax="47" xr10:uidLastSave="{00000000-0000-0000-0000-000000000000}"/>
  <bookViews>
    <workbookView xWindow="43420" yWindow="500" windowWidth="33220" windowHeight="20720" activeTab="1" xr2:uid="{55619BE5-43E1-C742-8F92-175E8C7E5461}"/>
  </bookViews>
  <sheets>
    <sheet name="ST1A.Tick Cement proteins" sheetId="1" r:id="rId1"/>
    <sheet name="ST1B.Heatmap _clusters" sheetId="7" r:id="rId2"/>
    <sheet name="ST1C. Functional Annotation " sheetId="6" r:id="rId3"/>
    <sheet name="ST1D. Mol Function Go Terms" sheetId="4" r:id="rId4"/>
    <sheet name="ST1E. IDs Mapping Go Terms" sheetId="5" r:id="rId5"/>
    <sheet name="ST1F.Tick mouthpart proteins" sheetId="2" r:id="rId6"/>
    <sheet name="ST1G.Rabbit proteins" sheetId="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T139" i="6" l="1"/>
  <c r="EO139" i="6"/>
  <c r="EJ139" i="6"/>
  <c r="EE139" i="6"/>
  <c r="DZ139" i="6"/>
  <c r="DM139" i="6"/>
  <c r="DL139" i="6"/>
  <c r="DK139" i="6"/>
  <c r="BX139" i="6"/>
  <c r="BS139" i="6"/>
  <c r="BN139" i="6"/>
  <c r="BI139" i="6"/>
  <c r="BD139" i="6"/>
  <c r="AQ139" i="6"/>
  <c r="AP139" i="6"/>
  <c r="AO139" i="6"/>
  <c r="M139" i="6"/>
  <c r="G139" i="6"/>
  <c r="A139" i="6"/>
  <c r="ET138" i="6"/>
  <c r="EO138" i="6"/>
  <c r="EJ138" i="6"/>
  <c r="EE138" i="6"/>
  <c r="DZ138" i="6"/>
  <c r="DM138" i="6"/>
  <c r="DL138" i="6"/>
  <c r="DK138" i="6"/>
  <c r="BX138" i="6"/>
  <c r="BS138" i="6"/>
  <c r="BN138" i="6"/>
  <c r="BI138" i="6"/>
  <c r="BD138" i="6"/>
  <c r="AQ138" i="6"/>
  <c r="AP138" i="6"/>
  <c r="AO138" i="6"/>
  <c r="M138" i="6"/>
  <c r="G138" i="6"/>
  <c r="A138" i="6"/>
  <c r="ET137" i="6"/>
  <c r="EO137" i="6"/>
  <c r="EJ137" i="6"/>
  <c r="EE137" i="6"/>
  <c r="DZ137" i="6"/>
  <c r="DM137" i="6"/>
  <c r="DL137" i="6"/>
  <c r="DK137" i="6"/>
  <c r="CU137" i="6"/>
  <c r="CT137" i="6"/>
  <c r="CS137" i="6"/>
  <c r="CR137" i="6"/>
  <c r="CQ137" i="6"/>
  <c r="CP137" i="6"/>
  <c r="CO137" i="6"/>
  <c r="CN137" i="6"/>
  <c r="CM137" i="6"/>
  <c r="CL137" i="6"/>
  <c r="CK137" i="6"/>
  <c r="CJ137" i="6"/>
  <c r="CI137" i="6"/>
  <c r="CH137" i="6"/>
  <c r="CG137" i="6"/>
  <c r="CF137" i="6"/>
  <c r="BX137" i="6"/>
  <c r="BS137" i="6"/>
  <c r="BN137" i="6"/>
  <c r="BI137" i="6"/>
  <c r="BD137" i="6"/>
  <c r="AQ137" i="6"/>
  <c r="AP137" i="6"/>
  <c r="AO137" i="6"/>
  <c r="AF137" i="6"/>
  <c r="AE137" i="6"/>
  <c r="M137" i="6"/>
  <c r="G137" i="6"/>
  <c r="A137" i="6"/>
  <c r="ET136" i="6"/>
  <c r="EO136" i="6"/>
  <c r="EJ136" i="6"/>
  <c r="EE136" i="6"/>
  <c r="DZ136" i="6"/>
  <c r="DM136" i="6"/>
  <c r="DL136" i="6"/>
  <c r="DK136" i="6"/>
  <c r="BX136" i="6"/>
  <c r="BS136" i="6"/>
  <c r="BN136" i="6"/>
  <c r="BI136" i="6"/>
  <c r="BD136" i="6"/>
  <c r="AQ136" i="6"/>
  <c r="AP136" i="6"/>
  <c r="AO136" i="6"/>
  <c r="M136" i="6"/>
  <c r="G136" i="6"/>
  <c r="A136" i="6"/>
  <c r="ET135" i="6"/>
  <c r="EO135" i="6"/>
  <c r="EJ135" i="6"/>
  <c r="EE135" i="6"/>
  <c r="DZ135" i="6"/>
  <c r="DM135" i="6"/>
  <c r="DL135" i="6"/>
  <c r="DK135" i="6"/>
  <c r="CY135" i="6"/>
  <c r="CX135" i="6"/>
  <c r="CW135" i="6"/>
  <c r="CV135" i="6"/>
  <c r="CU135" i="6"/>
  <c r="CT135" i="6"/>
  <c r="CS135" i="6"/>
  <c r="CR135" i="6"/>
  <c r="CQ135" i="6"/>
  <c r="CP135" i="6"/>
  <c r="CO135" i="6"/>
  <c r="CN135" i="6"/>
  <c r="CM135" i="6"/>
  <c r="CL135" i="6"/>
  <c r="CK135" i="6"/>
  <c r="CJ135" i="6"/>
  <c r="CI135" i="6"/>
  <c r="CH135" i="6"/>
  <c r="CG135" i="6"/>
  <c r="CF135" i="6"/>
  <c r="BX135" i="6"/>
  <c r="BS135" i="6"/>
  <c r="BN135" i="6"/>
  <c r="BI135" i="6"/>
  <c r="BD135" i="6"/>
  <c r="AQ135" i="6"/>
  <c r="AP135" i="6"/>
  <c r="AO135" i="6"/>
  <c r="M135" i="6"/>
  <c r="G135" i="6"/>
  <c r="A135" i="6"/>
  <c r="ET134" i="6"/>
  <c r="EO134" i="6"/>
  <c r="EJ134" i="6"/>
  <c r="EE134" i="6"/>
  <c r="DZ134" i="6"/>
  <c r="DM134" i="6"/>
  <c r="DL134" i="6"/>
  <c r="DK134" i="6"/>
  <c r="CI134" i="6"/>
  <c r="CH134" i="6"/>
  <c r="CG134" i="6"/>
  <c r="CF134" i="6"/>
  <c r="BX134" i="6"/>
  <c r="BS134" i="6"/>
  <c r="BN134" i="6"/>
  <c r="BI134" i="6"/>
  <c r="BD134" i="6"/>
  <c r="AQ134" i="6"/>
  <c r="AP134" i="6"/>
  <c r="AO134" i="6"/>
  <c r="P134" i="6"/>
  <c r="M134" i="6"/>
  <c r="G134" i="6"/>
  <c r="A134" i="6"/>
  <c r="ET133" i="6"/>
  <c r="EO133" i="6"/>
  <c r="EJ133" i="6"/>
  <c r="EE133" i="6"/>
  <c r="DZ133" i="6"/>
  <c r="DM133" i="6"/>
  <c r="DL133" i="6"/>
  <c r="DK133" i="6"/>
  <c r="CU133" i="6"/>
  <c r="CT133" i="6"/>
  <c r="CS133" i="6"/>
  <c r="CR133" i="6"/>
  <c r="CQ133" i="6"/>
  <c r="CP133" i="6"/>
  <c r="CO133" i="6"/>
  <c r="CN133" i="6"/>
  <c r="CM133" i="6"/>
  <c r="CL133" i="6"/>
  <c r="CK133" i="6"/>
  <c r="CJ133" i="6"/>
  <c r="CI133" i="6"/>
  <c r="CH133" i="6"/>
  <c r="CG133" i="6"/>
  <c r="CF133" i="6"/>
  <c r="BX133" i="6"/>
  <c r="BS133" i="6"/>
  <c r="BN133" i="6"/>
  <c r="BI133" i="6"/>
  <c r="BD133" i="6"/>
  <c r="AQ133" i="6"/>
  <c r="AP133" i="6"/>
  <c r="AO133" i="6"/>
  <c r="AF133" i="6"/>
  <c r="AE133" i="6"/>
  <c r="M133" i="6"/>
  <c r="G133" i="6"/>
  <c r="A133" i="6"/>
  <c r="ET132" i="6"/>
  <c r="EO132" i="6"/>
  <c r="EJ132" i="6"/>
  <c r="EE132" i="6"/>
  <c r="DZ132" i="6"/>
  <c r="DM132" i="6"/>
  <c r="DL132" i="6"/>
  <c r="DK132" i="6"/>
  <c r="BX132" i="6"/>
  <c r="BS132" i="6"/>
  <c r="BN132" i="6"/>
  <c r="BI132" i="6"/>
  <c r="BD132" i="6"/>
  <c r="AQ132" i="6"/>
  <c r="AP132" i="6"/>
  <c r="AO132" i="6"/>
  <c r="M132" i="6"/>
  <c r="G132" i="6"/>
  <c r="A132" i="6"/>
  <c r="ET131" i="6"/>
  <c r="EO131" i="6"/>
  <c r="EJ131" i="6"/>
  <c r="EE131" i="6"/>
  <c r="DZ131" i="6"/>
  <c r="DM131" i="6"/>
  <c r="DL131" i="6"/>
  <c r="DK131" i="6"/>
  <c r="CS131" i="6"/>
  <c r="CR131" i="6"/>
  <c r="CQ131" i="6"/>
  <c r="CP131" i="6"/>
  <c r="CO131" i="6"/>
  <c r="CN131" i="6"/>
  <c r="CM131" i="6"/>
  <c r="CL131" i="6"/>
  <c r="CK131" i="6"/>
  <c r="CJ131" i="6"/>
  <c r="CI131" i="6"/>
  <c r="CH131" i="6"/>
  <c r="CG131" i="6"/>
  <c r="CF131" i="6"/>
  <c r="BX131" i="6"/>
  <c r="BS131" i="6"/>
  <c r="BN131" i="6"/>
  <c r="BI131" i="6"/>
  <c r="BD131" i="6"/>
  <c r="AQ131" i="6"/>
  <c r="AP131" i="6"/>
  <c r="AO131" i="6"/>
  <c r="M131" i="6"/>
  <c r="G131" i="6"/>
  <c r="A131" i="6"/>
  <c r="ET130" i="6"/>
  <c r="EO130" i="6"/>
  <c r="EJ130" i="6"/>
  <c r="EE130" i="6"/>
  <c r="DZ130" i="6"/>
  <c r="DM130" i="6"/>
  <c r="DL130" i="6"/>
  <c r="DK130" i="6"/>
  <c r="BX130" i="6"/>
  <c r="BS130" i="6"/>
  <c r="BN130" i="6"/>
  <c r="BI130" i="6"/>
  <c r="BD130" i="6"/>
  <c r="AQ130" i="6"/>
  <c r="AP130" i="6"/>
  <c r="AO130" i="6"/>
  <c r="P130" i="6"/>
  <c r="M130" i="6"/>
  <c r="G130" i="6"/>
  <c r="A130" i="6"/>
  <c r="ET129" i="6"/>
  <c r="EO129" i="6"/>
  <c r="EJ129" i="6"/>
  <c r="EE129" i="6"/>
  <c r="DZ129" i="6"/>
  <c r="DM129" i="6"/>
  <c r="DL129" i="6"/>
  <c r="DK129" i="6"/>
  <c r="CG129" i="6"/>
  <c r="CF129" i="6"/>
  <c r="BX129" i="6"/>
  <c r="BS129" i="6"/>
  <c r="BN129" i="6"/>
  <c r="BI129" i="6"/>
  <c r="BD129" i="6"/>
  <c r="AQ129" i="6"/>
  <c r="AP129" i="6"/>
  <c r="AO129" i="6"/>
  <c r="M129" i="6"/>
  <c r="G129" i="6"/>
  <c r="A129" i="6"/>
  <c r="ET128" i="6"/>
  <c r="EO128" i="6"/>
  <c r="EJ128" i="6"/>
  <c r="EE128" i="6"/>
  <c r="DZ128" i="6"/>
  <c r="DM128" i="6"/>
  <c r="DL128" i="6"/>
  <c r="DK128" i="6"/>
  <c r="CY128" i="6"/>
  <c r="CX128" i="6"/>
  <c r="CW128" i="6"/>
  <c r="CV128" i="6"/>
  <c r="CU128" i="6"/>
  <c r="CT128" i="6"/>
  <c r="CS128" i="6"/>
  <c r="CR128" i="6"/>
  <c r="CQ128" i="6"/>
  <c r="CP128" i="6"/>
  <c r="CO128" i="6"/>
  <c r="CN128" i="6"/>
  <c r="CM128" i="6"/>
  <c r="CL128" i="6"/>
  <c r="CK128" i="6"/>
  <c r="CJ128" i="6"/>
  <c r="CI128" i="6"/>
  <c r="CH128" i="6"/>
  <c r="CG128" i="6"/>
  <c r="CF128" i="6"/>
  <c r="BX128" i="6"/>
  <c r="BS128" i="6"/>
  <c r="BN128" i="6"/>
  <c r="BI128" i="6"/>
  <c r="BD128" i="6"/>
  <c r="AQ128" i="6"/>
  <c r="AP128" i="6"/>
  <c r="AO128" i="6"/>
  <c r="AF128" i="6"/>
  <c r="AE128" i="6"/>
  <c r="M128" i="6"/>
  <c r="G128" i="6"/>
  <c r="A128" i="6"/>
  <c r="ET127" i="6"/>
  <c r="EO127" i="6"/>
  <c r="EJ127" i="6"/>
  <c r="EE127" i="6"/>
  <c r="DZ127" i="6"/>
  <c r="DM127" i="6"/>
  <c r="DL127" i="6"/>
  <c r="DK127" i="6"/>
  <c r="CS127" i="6"/>
  <c r="CR127" i="6"/>
  <c r="CQ127" i="6"/>
  <c r="CP127" i="6"/>
  <c r="CO127" i="6"/>
  <c r="CN127" i="6"/>
  <c r="CM127" i="6"/>
  <c r="CL127" i="6"/>
  <c r="CK127" i="6"/>
  <c r="CJ127" i="6"/>
  <c r="CI127" i="6"/>
  <c r="CH127" i="6"/>
  <c r="CG127" i="6"/>
  <c r="CF127" i="6"/>
  <c r="BX127" i="6"/>
  <c r="BS127" i="6"/>
  <c r="BN127" i="6"/>
  <c r="BI127" i="6"/>
  <c r="BD127" i="6"/>
  <c r="AQ127" i="6"/>
  <c r="AP127" i="6"/>
  <c r="AO127" i="6"/>
  <c r="M127" i="6"/>
  <c r="G127" i="6"/>
  <c r="A127" i="6"/>
  <c r="ET126" i="6"/>
  <c r="EO126" i="6"/>
  <c r="EJ126" i="6"/>
  <c r="EE126" i="6"/>
  <c r="DZ126" i="6"/>
  <c r="DM126" i="6"/>
  <c r="DL126" i="6"/>
  <c r="DK126" i="6"/>
  <c r="BX126" i="6"/>
  <c r="BS126" i="6"/>
  <c r="BN126" i="6"/>
  <c r="BI126" i="6"/>
  <c r="BD126" i="6"/>
  <c r="AQ126" i="6"/>
  <c r="AP126" i="6"/>
  <c r="AO126" i="6"/>
  <c r="P126" i="6"/>
  <c r="M126" i="6"/>
  <c r="G126" i="6"/>
  <c r="A126" i="6"/>
  <c r="ET125" i="6"/>
  <c r="EO125" i="6"/>
  <c r="EJ125" i="6"/>
  <c r="EE125" i="6"/>
  <c r="DZ125" i="6"/>
  <c r="DM125" i="6"/>
  <c r="DL125" i="6"/>
  <c r="DK125" i="6"/>
  <c r="DG125" i="6"/>
  <c r="DF125" i="6"/>
  <c r="DE125" i="6"/>
  <c r="DD125" i="6"/>
  <c r="DC125" i="6"/>
  <c r="DB125" i="6"/>
  <c r="DA125" i="6"/>
  <c r="CZ125" i="6"/>
  <c r="CY125" i="6"/>
  <c r="CX125" i="6"/>
  <c r="CW125" i="6"/>
  <c r="CV125" i="6"/>
  <c r="CU125" i="6"/>
  <c r="CT125" i="6"/>
  <c r="CS125" i="6"/>
  <c r="CR125" i="6"/>
  <c r="CQ125" i="6"/>
  <c r="CP125" i="6"/>
  <c r="CO125" i="6"/>
  <c r="CN125" i="6"/>
  <c r="CM125" i="6"/>
  <c r="CL125" i="6"/>
  <c r="CK125" i="6"/>
  <c r="CJ125" i="6"/>
  <c r="CI125" i="6"/>
  <c r="CH125" i="6"/>
  <c r="CG125" i="6"/>
  <c r="CF125" i="6"/>
  <c r="BX125" i="6"/>
  <c r="BS125" i="6"/>
  <c r="BN125" i="6"/>
  <c r="BI125" i="6"/>
  <c r="BD125" i="6"/>
  <c r="AQ125" i="6"/>
  <c r="AP125" i="6"/>
  <c r="AO125" i="6"/>
  <c r="M125" i="6"/>
  <c r="G125" i="6"/>
  <c r="A125" i="6"/>
  <c r="ET124" i="6"/>
  <c r="EO124" i="6"/>
  <c r="EJ124" i="6"/>
  <c r="EE124" i="6"/>
  <c r="DZ124" i="6"/>
  <c r="DM124" i="6"/>
  <c r="DL124" i="6"/>
  <c r="DK124" i="6"/>
  <c r="DG124" i="6"/>
  <c r="DF124" i="6"/>
  <c r="DE124" i="6"/>
  <c r="DD124" i="6"/>
  <c r="DC124" i="6"/>
  <c r="DB124" i="6"/>
  <c r="DA124" i="6"/>
  <c r="CZ124" i="6"/>
  <c r="CY124" i="6"/>
  <c r="CX124" i="6"/>
  <c r="CW124" i="6"/>
  <c r="CV124" i="6"/>
  <c r="CU124" i="6"/>
  <c r="CT124" i="6"/>
  <c r="CS124" i="6"/>
  <c r="CR124" i="6"/>
  <c r="CQ124" i="6"/>
  <c r="CP124" i="6"/>
  <c r="CO124" i="6"/>
  <c r="CN124" i="6"/>
  <c r="CM124" i="6"/>
  <c r="CL124" i="6"/>
  <c r="CK124" i="6"/>
  <c r="CJ124" i="6"/>
  <c r="CI124" i="6"/>
  <c r="CH124" i="6"/>
  <c r="CG124" i="6"/>
  <c r="CF124" i="6"/>
  <c r="BX124" i="6"/>
  <c r="BS124" i="6"/>
  <c r="BN124" i="6"/>
  <c r="BI124" i="6"/>
  <c r="BD124" i="6"/>
  <c r="AQ124" i="6"/>
  <c r="AP124" i="6"/>
  <c r="AO124" i="6"/>
  <c r="M124" i="6"/>
  <c r="G124" i="6"/>
  <c r="A124" i="6"/>
  <c r="ET123" i="6"/>
  <c r="EO123" i="6"/>
  <c r="EJ123" i="6"/>
  <c r="EE123" i="6"/>
  <c r="DZ123" i="6"/>
  <c r="DM123" i="6"/>
  <c r="DL123" i="6"/>
  <c r="DK123" i="6"/>
  <c r="BX123" i="6"/>
  <c r="BS123" i="6"/>
  <c r="BN123" i="6"/>
  <c r="BI123" i="6"/>
  <c r="BD123" i="6"/>
  <c r="AQ123" i="6"/>
  <c r="AP123" i="6"/>
  <c r="AO123" i="6"/>
  <c r="M123" i="6"/>
  <c r="G123" i="6"/>
  <c r="A123" i="6"/>
  <c r="ET122" i="6"/>
  <c r="EO122" i="6"/>
  <c r="EJ122" i="6"/>
  <c r="EE122" i="6"/>
  <c r="DZ122" i="6"/>
  <c r="DM122" i="6"/>
  <c r="DL122" i="6"/>
  <c r="DK122" i="6"/>
  <c r="CG122" i="6"/>
  <c r="CF122" i="6"/>
  <c r="BX122" i="6"/>
  <c r="BS122" i="6"/>
  <c r="BN122" i="6"/>
  <c r="BI122" i="6"/>
  <c r="BD122" i="6"/>
  <c r="AQ122" i="6"/>
  <c r="AP122" i="6"/>
  <c r="AO122" i="6"/>
  <c r="M122" i="6"/>
  <c r="G122" i="6"/>
  <c r="A122" i="6"/>
  <c r="ET121" i="6"/>
  <c r="EO121" i="6"/>
  <c r="EJ121" i="6"/>
  <c r="EE121" i="6"/>
  <c r="DZ121" i="6"/>
  <c r="DM121" i="6"/>
  <c r="DL121" i="6"/>
  <c r="DK121" i="6"/>
  <c r="CW121" i="6"/>
  <c r="CV121" i="6"/>
  <c r="CU121" i="6"/>
  <c r="CT121" i="6"/>
  <c r="CS121" i="6"/>
  <c r="CR121" i="6"/>
  <c r="CQ121" i="6"/>
  <c r="CP121" i="6"/>
  <c r="CO121" i="6"/>
  <c r="CN121" i="6"/>
  <c r="CM121" i="6"/>
  <c r="CL121" i="6"/>
  <c r="CK121" i="6"/>
  <c r="CJ121" i="6"/>
  <c r="CI121" i="6"/>
  <c r="CH121" i="6"/>
  <c r="CG121" i="6"/>
  <c r="CF121" i="6"/>
  <c r="BX121" i="6"/>
  <c r="BS121" i="6"/>
  <c r="BN121" i="6"/>
  <c r="BI121" i="6"/>
  <c r="BD121" i="6"/>
  <c r="AQ121" i="6"/>
  <c r="AP121" i="6"/>
  <c r="AO121" i="6"/>
  <c r="AF121" i="6"/>
  <c r="AE121" i="6"/>
  <c r="M121" i="6"/>
  <c r="G121" i="6"/>
  <c r="A121" i="6"/>
  <c r="ET120" i="6"/>
  <c r="EO120" i="6"/>
  <c r="EJ120" i="6"/>
  <c r="EE120" i="6"/>
  <c r="DZ120" i="6"/>
  <c r="DM120" i="6"/>
  <c r="DL120" i="6"/>
  <c r="DK120" i="6"/>
  <c r="CU120" i="6"/>
  <c r="CT120" i="6"/>
  <c r="CS120" i="6"/>
  <c r="CR120" i="6"/>
  <c r="CQ120" i="6"/>
  <c r="CP120" i="6"/>
  <c r="CO120" i="6"/>
  <c r="CN120" i="6"/>
  <c r="CM120" i="6"/>
  <c r="CL120" i="6"/>
  <c r="CK120" i="6"/>
  <c r="CJ120" i="6"/>
  <c r="CI120" i="6"/>
  <c r="CH120" i="6"/>
  <c r="CG120" i="6"/>
  <c r="CF120" i="6"/>
  <c r="BX120" i="6"/>
  <c r="BS120" i="6"/>
  <c r="BN120" i="6"/>
  <c r="BI120" i="6"/>
  <c r="BD120" i="6"/>
  <c r="AQ120" i="6"/>
  <c r="AP120" i="6"/>
  <c r="AO120" i="6"/>
  <c r="AF120" i="6"/>
  <c r="AE120" i="6"/>
  <c r="M120" i="6"/>
  <c r="G120" i="6"/>
  <c r="A120" i="6"/>
  <c r="ET119" i="6"/>
  <c r="EO119" i="6"/>
  <c r="EJ119" i="6"/>
  <c r="EE119" i="6"/>
  <c r="DZ119" i="6"/>
  <c r="DM119" i="6"/>
  <c r="DL119" i="6"/>
  <c r="DK119" i="6"/>
  <c r="DA119" i="6"/>
  <c r="CZ119" i="6"/>
  <c r="CY119" i="6"/>
  <c r="CX119" i="6"/>
  <c r="CW119" i="6"/>
  <c r="CV119" i="6"/>
  <c r="CU119" i="6"/>
  <c r="CT119" i="6"/>
  <c r="CS119" i="6"/>
  <c r="CR119" i="6"/>
  <c r="CQ119" i="6"/>
  <c r="CP119" i="6"/>
  <c r="CO119" i="6"/>
  <c r="CN119" i="6"/>
  <c r="CM119" i="6"/>
  <c r="CL119" i="6"/>
  <c r="CK119" i="6"/>
  <c r="CJ119" i="6"/>
  <c r="CI119" i="6"/>
  <c r="CH119" i="6"/>
  <c r="CG119" i="6"/>
  <c r="CF119" i="6"/>
  <c r="BX119" i="6"/>
  <c r="BS119" i="6"/>
  <c r="BN119" i="6"/>
  <c r="BI119" i="6"/>
  <c r="BD119" i="6"/>
  <c r="AQ119" i="6"/>
  <c r="AP119" i="6"/>
  <c r="AO119" i="6"/>
  <c r="M119" i="6"/>
  <c r="G119" i="6"/>
  <c r="A119" i="6"/>
  <c r="ET118" i="6"/>
  <c r="EO118" i="6"/>
  <c r="EJ118" i="6"/>
  <c r="EE118" i="6"/>
  <c r="DZ118" i="6"/>
  <c r="DM118" i="6"/>
  <c r="DL118" i="6"/>
  <c r="DK118" i="6"/>
  <c r="DA118" i="6"/>
  <c r="CZ118" i="6"/>
  <c r="CY118" i="6"/>
  <c r="CX118" i="6"/>
  <c r="CW118" i="6"/>
  <c r="CV118" i="6"/>
  <c r="CU118" i="6"/>
  <c r="CT118" i="6"/>
  <c r="CS118" i="6"/>
  <c r="CR118" i="6"/>
  <c r="CQ118" i="6"/>
  <c r="CP118" i="6"/>
  <c r="CO118" i="6"/>
  <c r="CN118" i="6"/>
  <c r="CM118" i="6"/>
  <c r="CL118" i="6"/>
  <c r="CK118" i="6"/>
  <c r="CJ118" i="6"/>
  <c r="CI118" i="6"/>
  <c r="CH118" i="6"/>
  <c r="CG118" i="6"/>
  <c r="CF118" i="6"/>
  <c r="BX118" i="6"/>
  <c r="BS118" i="6"/>
  <c r="BN118" i="6"/>
  <c r="BI118" i="6"/>
  <c r="BD118" i="6"/>
  <c r="AQ118" i="6"/>
  <c r="AP118" i="6"/>
  <c r="AO118" i="6"/>
  <c r="AF118" i="6"/>
  <c r="AE118" i="6"/>
  <c r="M118" i="6"/>
  <c r="G118" i="6"/>
  <c r="A118" i="6"/>
  <c r="ET117" i="6"/>
  <c r="EO117" i="6"/>
  <c r="EJ117" i="6"/>
  <c r="EE117" i="6"/>
  <c r="DZ117" i="6"/>
  <c r="DM117" i="6"/>
  <c r="DL117" i="6"/>
  <c r="DK117" i="6"/>
  <c r="BX117" i="6"/>
  <c r="BS117" i="6"/>
  <c r="BN117" i="6"/>
  <c r="BI117" i="6"/>
  <c r="BD117" i="6"/>
  <c r="AQ117" i="6"/>
  <c r="AP117" i="6"/>
  <c r="AO117" i="6"/>
  <c r="AF117" i="6"/>
  <c r="AE117" i="6"/>
  <c r="M117" i="6"/>
  <c r="G117" i="6"/>
  <c r="A117" i="6"/>
  <c r="ET116" i="6"/>
  <c r="EO116" i="6"/>
  <c r="EJ116" i="6"/>
  <c r="EE116" i="6"/>
  <c r="DZ116" i="6"/>
  <c r="DM116" i="6"/>
  <c r="DL116" i="6"/>
  <c r="DK116" i="6"/>
  <c r="BX116" i="6"/>
  <c r="BS116" i="6"/>
  <c r="BN116" i="6"/>
  <c r="BI116" i="6"/>
  <c r="BD116" i="6"/>
  <c r="AQ116" i="6"/>
  <c r="AP116" i="6"/>
  <c r="AO116" i="6"/>
  <c r="M116" i="6"/>
  <c r="G116" i="6"/>
  <c r="A116" i="6"/>
  <c r="ET115" i="6"/>
  <c r="EO115" i="6"/>
  <c r="EJ115" i="6"/>
  <c r="EE115" i="6"/>
  <c r="DZ115" i="6"/>
  <c r="DM115" i="6"/>
  <c r="DL115" i="6"/>
  <c r="DK115" i="6"/>
  <c r="BX115" i="6"/>
  <c r="BS115" i="6"/>
  <c r="BN115" i="6"/>
  <c r="BI115" i="6"/>
  <c r="BD115" i="6"/>
  <c r="AQ115" i="6"/>
  <c r="AP115" i="6"/>
  <c r="AO115" i="6"/>
  <c r="M115" i="6"/>
  <c r="G115" i="6"/>
  <c r="A115" i="6"/>
  <c r="ET114" i="6"/>
  <c r="EO114" i="6"/>
  <c r="EJ114" i="6"/>
  <c r="EE114" i="6"/>
  <c r="DZ114" i="6"/>
  <c r="DM114" i="6"/>
  <c r="DL114" i="6"/>
  <c r="DK114" i="6"/>
  <c r="BX114" i="6"/>
  <c r="BS114" i="6"/>
  <c r="BN114" i="6"/>
  <c r="BI114" i="6"/>
  <c r="BD114" i="6"/>
  <c r="AQ114" i="6"/>
  <c r="AP114" i="6"/>
  <c r="AO114" i="6"/>
  <c r="AF114" i="6"/>
  <c r="AE114" i="6"/>
  <c r="M114" i="6"/>
  <c r="G114" i="6"/>
  <c r="A114" i="6"/>
  <c r="ET113" i="6"/>
  <c r="EO113" i="6"/>
  <c r="EJ113" i="6"/>
  <c r="EE113" i="6"/>
  <c r="DZ113" i="6"/>
  <c r="DM113" i="6"/>
  <c r="DL113" i="6"/>
  <c r="DK113" i="6"/>
  <c r="BX113" i="6"/>
  <c r="BS113" i="6"/>
  <c r="BN113" i="6"/>
  <c r="BI113" i="6"/>
  <c r="BD113" i="6"/>
  <c r="AQ113" i="6"/>
  <c r="AP113" i="6"/>
  <c r="AO113" i="6"/>
  <c r="M113" i="6"/>
  <c r="G113" i="6"/>
  <c r="A113" i="6"/>
  <c r="ET112" i="6"/>
  <c r="EO112" i="6"/>
  <c r="EJ112" i="6"/>
  <c r="EE112" i="6"/>
  <c r="DZ112" i="6"/>
  <c r="DM112" i="6"/>
  <c r="DL112" i="6"/>
  <c r="DK112" i="6"/>
  <c r="BX112" i="6"/>
  <c r="BS112" i="6"/>
  <c r="BN112" i="6"/>
  <c r="BI112" i="6"/>
  <c r="BD112" i="6"/>
  <c r="AQ112" i="6"/>
  <c r="AP112" i="6"/>
  <c r="AO112" i="6"/>
  <c r="M112" i="6"/>
  <c r="G112" i="6"/>
  <c r="A112" i="6"/>
  <c r="ET111" i="6"/>
  <c r="EO111" i="6"/>
  <c r="EJ111" i="6"/>
  <c r="EE111" i="6"/>
  <c r="DZ111" i="6"/>
  <c r="DM111" i="6"/>
  <c r="DL111" i="6"/>
  <c r="DK111" i="6"/>
  <c r="BX111" i="6"/>
  <c r="BS111" i="6"/>
  <c r="BN111" i="6"/>
  <c r="BI111" i="6"/>
  <c r="BD111" i="6"/>
  <c r="AQ111" i="6"/>
  <c r="AP111" i="6"/>
  <c r="AO111" i="6"/>
  <c r="M111" i="6"/>
  <c r="G111" i="6"/>
  <c r="A111" i="6"/>
  <c r="ET110" i="6"/>
  <c r="EO110" i="6"/>
  <c r="EJ110" i="6"/>
  <c r="EE110" i="6"/>
  <c r="DZ110" i="6"/>
  <c r="DM110" i="6"/>
  <c r="DL110" i="6"/>
  <c r="DK110" i="6"/>
  <c r="BX110" i="6"/>
  <c r="BS110" i="6"/>
  <c r="BN110" i="6"/>
  <c r="BI110" i="6"/>
  <c r="BD110" i="6"/>
  <c r="AQ110" i="6"/>
  <c r="AP110" i="6"/>
  <c r="AO110" i="6"/>
  <c r="AF110" i="6"/>
  <c r="AE110" i="6"/>
  <c r="M110" i="6"/>
  <c r="G110" i="6"/>
  <c r="A110" i="6"/>
  <c r="ET109" i="6"/>
  <c r="EO109" i="6"/>
  <c r="EJ109" i="6"/>
  <c r="EE109" i="6"/>
  <c r="DZ109" i="6"/>
  <c r="DM109" i="6"/>
  <c r="DL109" i="6"/>
  <c r="DK109" i="6"/>
  <c r="DA109" i="6"/>
  <c r="CZ109" i="6"/>
  <c r="CY109" i="6"/>
  <c r="CX109" i="6"/>
  <c r="CW109" i="6"/>
  <c r="CV109" i="6"/>
  <c r="CU109" i="6"/>
  <c r="CT109" i="6"/>
  <c r="CS109" i="6"/>
  <c r="CR109" i="6"/>
  <c r="CQ109" i="6"/>
  <c r="CP109" i="6"/>
  <c r="CO109" i="6"/>
  <c r="CN109" i="6"/>
  <c r="CM109" i="6"/>
  <c r="CL109" i="6"/>
  <c r="CK109" i="6"/>
  <c r="CJ109" i="6"/>
  <c r="CI109" i="6"/>
  <c r="CH109" i="6"/>
  <c r="CG109" i="6"/>
  <c r="CF109" i="6"/>
  <c r="BX109" i="6"/>
  <c r="BS109" i="6"/>
  <c r="BN109" i="6"/>
  <c r="BI109" i="6"/>
  <c r="BD109" i="6"/>
  <c r="AQ109" i="6"/>
  <c r="AP109" i="6"/>
  <c r="AO109" i="6"/>
  <c r="AF109" i="6"/>
  <c r="AE109" i="6"/>
  <c r="M109" i="6"/>
  <c r="G109" i="6"/>
  <c r="A109" i="6"/>
  <c r="ET108" i="6"/>
  <c r="EO108" i="6"/>
  <c r="EJ108" i="6"/>
  <c r="EE108" i="6"/>
  <c r="DZ108" i="6"/>
  <c r="DM108" i="6"/>
  <c r="DL108" i="6"/>
  <c r="DK108" i="6"/>
  <c r="DA108" i="6"/>
  <c r="CZ108" i="6"/>
  <c r="CY108" i="6"/>
  <c r="CX108" i="6"/>
  <c r="CW108" i="6"/>
  <c r="CV108" i="6"/>
  <c r="CU108" i="6"/>
  <c r="CT108" i="6"/>
  <c r="CS108" i="6"/>
  <c r="CR108" i="6"/>
  <c r="CQ108" i="6"/>
  <c r="CP108" i="6"/>
  <c r="CO108" i="6"/>
  <c r="CN108" i="6"/>
  <c r="CM108" i="6"/>
  <c r="CL108" i="6"/>
  <c r="CK108" i="6"/>
  <c r="CJ108" i="6"/>
  <c r="CI108" i="6"/>
  <c r="CH108" i="6"/>
  <c r="CG108" i="6"/>
  <c r="CF108" i="6"/>
  <c r="BX108" i="6"/>
  <c r="BS108" i="6"/>
  <c r="BN108" i="6"/>
  <c r="BI108" i="6"/>
  <c r="BD108" i="6"/>
  <c r="AQ108" i="6"/>
  <c r="AP108" i="6"/>
  <c r="AO108" i="6"/>
  <c r="M108" i="6"/>
  <c r="G108" i="6"/>
  <c r="A108" i="6"/>
  <c r="ET107" i="6"/>
  <c r="EO107" i="6"/>
  <c r="EJ107" i="6"/>
  <c r="EE107" i="6"/>
  <c r="DZ107" i="6"/>
  <c r="DM107" i="6"/>
  <c r="DL107" i="6"/>
  <c r="DK107" i="6"/>
  <c r="BX107" i="6"/>
  <c r="BS107" i="6"/>
  <c r="BN107" i="6"/>
  <c r="BI107" i="6"/>
  <c r="BD107" i="6"/>
  <c r="AQ107" i="6"/>
  <c r="AP107" i="6"/>
  <c r="AO107" i="6"/>
  <c r="P107" i="6"/>
  <c r="M107" i="6"/>
  <c r="G107" i="6"/>
  <c r="A107" i="6"/>
  <c r="ET106" i="6"/>
  <c r="EO106" i="6"/>
  <c r="EJ106" i="6"/>
  <c r="EE106" i="6"/>
  <c r="DZ106" i="6"/>
  <c r="DM106" i="6"/>
  <c r="DL106" i="6"/>
  <c r="DK106" i="6"/>
  <c r="BX106" i="6"/>
  <c r="BS106" i="6"/>
  <c r="BN106" i="6"/>
  <c r="BI106" i="6"/>
  <c r="BD106" i="6"/>
  <c r="AQ106" i="6"/>
  <c r="AP106" i="6"/>
  <c r="AO106" i="6"/>
  <c r="P106" i="6"/>
  <c r="M106" i="6"/>
  <c r="G106" i="6"/>
  <c r="A106" i="6"/>
  <c r="ET105" i="6"/>
  <c r="EO105" i="6"/>
  <c r="EJ105" i="6"/>
  <c r="EE105" i="6"/>
  <c r="DZ105" i="6"/>
  <c r="DM105" i="6"/>
  <c r="DL105" i="6"/>
  <c r="DK105" i="6"/>
  <c r="BX105" i="6"/>
  <c r="BS105" i="6"/>
  <c r="BN105" i="6"/>
  <c r="BI105" i="6"/>
  <c r="BD105" i="6"/>
  <c r="AQ105" i="6"/>
  <c r="AP105" i="6"/>
  <c r="AO105" i="6"/>
  <c r="P105" i="6"/>
  <c r="M105" i="6"/>
  <c r="G105" i="6"/>
  <c r="A105" i="6"/>
  <c r="ET104" i="6"/>
  <c r="EO104" i="6"/>
  <c r="EJ104" i="6"/>
  <c r="EE104" i="6"/>
  <c r="DZ104" i="6"/>
  <c r="DM104" i="6"/>
  <c r="DL104" i="6"/>
  <c r="DK104" i="6"/>
  <c r="BX104" i="6"/>
  <c r="BS104" i="6"/>
  <c r="BN104" i="6"/>
  <c r="BI104" i="6"/>
  <c r="BD104" i="6"/>
  <c r="AQ104" i="6"/>
  <c r="AP104" i="6"/>
  <c r="AO104" i="6"/>
  <c r="AF104" i="6"/>
  <c r="AE104" i="6"/>
  <c r="M104" i="6"/>
  <c r="G104" i="6"/>
  <c r="A104" i="6"/>
  <c r="ET103" i="6"/>
  <c r="EO103" i="6"/>
  <c r="EJ103" i="6"/>
  <c r="EE103" i="6"/>
  <c r="DZ103" i="6"/>
  <c r="DM103" i="6"/>
  <c r="DL103" i="6"/>
  <c r="DK103" i="6"/>
  <c r="DI103" i="6"/>
  <c r="DH103" i="6"/>
  <c r="DG103" i="6"/>
  <c r="DF103" i="6"/>
  <c r="DE103" i="6"/>
  <c r="DD103" i="6"/>
  <c r="DC103" i="6"/>
  <c r="DB103" i="6"/>
  <c r="DA103" i="6"/>
  <c r="CZ103" i="6"/>
  <c r="CY103" i="6"/>
  <c r="CX103" i="6"/>
  <c r="CW103" i="6"/>
  <c r="CV103" i="6"/>
  <c r="CU103" i="6"/>
  <c r="CT103" i="6"/>
  <c r="CS103" i="6"/>
  <c r="CR103" i="6"/>
  <c r="CQ103" i="6"/>
  <c r="CP103" i="6"/>
  <c r="CO103" i="6"/>
  <c r="CN103" i="6"/>
  <c r="CM103" i="6"/>
  <c r="CL103" i="6"/>
  <c r="CK103" i="6"/>
  <c r="CJ103" i="6"/>
  <c r="CI103" i="6"/>
  <c r="CH103" i="6"/>
  <c r="CG103" i="6"/>
  <c r="CF103" i="6"/>
  <c r="BX103" i="6"/>
  <c r="BS103" i="6"/>
  <c r="BN103" i="6"/>
  <c r="BI103" i="6"/>
  <c r="BD103" i="6"/>
  <c r="AQ103" i="6"/>
  <c r="AP103" i="6"/>
  <c r="AO103" i="6"/>
  <c r="M103" i="6"/>
  <c r="G103" i="6"/>
  <c r="A103" i="6"/>
  <c r="ET102" i="6"/>
  <c r="EO102" i="6"/>
  <c r="EJ102" i="6"/>
  <c r="EE102" i="6"/>
  <c r="DZ102" i="6"/>
  <c r="DM102" i="6"/>
  <c r="DL102" i="6"/>
  <c r="DK102" i="6"/>
  <c r="DI102" i="6"/>
  <c r="DH102" i="6"/>
  <c r="DG102" i="6"/>
  <c r="DF102" i="6"/>
  <c r="DE102" i="6"/>
  <c r="DD102" i="6"/>
  <c r="DC102" i="6"/>
  <c r="DB102" i="6"/>
  <c r="DA102" i="6"/>
  <c r="CZ102" i="6"/>
  <c r="CY102" i="6"/>
  <c r="CX102" i="6"/>
  <c r="CW102" i="6"/>
  <c r="CV102" i="6"/>
  <c r="CU102" i="6"/>
  <c r="CT102" i="6"/>
  <c r="CS102" i="6"/>
  <c r="CR102" i="6"/>
  <c r="CQ102" i="6"/>
  <c r="CP102" i="6"/>
  <c r="CO102" i="6"/>
  <c r="CN102" i="6"/>
  <c r="CM102" i="6"/>
  <c r="CL102" i="6"/>
  <c r="CK102" i="6"/>
  <c r="CJ102" i="6"/>
  <c r="CI102" i="6"/>
  <c r="CH102" i="6"/>
  <c r="CG102" i="6"/>
  <c r="CF102" i="6"/>
  <c r="BX102" i="6"/>
  <c r="BS102" i="6"/>
  <c r="BN102" i="6"/>
  <c r="BI102" i="6"/>
  <c r="BD102" i="6"/>
  <c r="AQ102" i="6"/>
  <c r="AP102" i="6"/>
  <c r="AO102" i="6"/>
  <c r="M102" i="6"/>
  <c r="G102" i="6"/>
  <c r="A102" i="6"/>
  <c r="ET101" i="6"/>
  <c r="EO101" i="6"/>
  <c r="EJ101" i="6"/>
  <c r="EE101" i="6"/>
  <c r="DZ101" i="6"/>
  <c r="DM101" i="6"/>
  <c r="DL101" i="6"/>
  <c r="DK101" i="6"/>
  <c r="DI101" i="6"/>
  <c r="DH101" i="6"/>
  <c r="DG101" i="6"/>
  <c r="DF101" i="6"/>
  <c r="DE101" i="6"/>
  <c r="DD101" i="6"/>
  <c r="DC101" i="6"/>
  <c r="DB101" i="6"/>
  <c r="DA101" i="6"/>
  <c r="CZ101" i="6"/>
  <c r="CY101" i="6"/>
  <c r="CX101" i="6"/>
  <c r="CW101" i="6"/>
  <c r="CV101" i="6"/>
  <c r="CU101" i="6"/>
  <c r="CT101" i="6"/>
  <c r="CS101" i="6"/>
  <c r="CR101" i="6"/>
  <c r="CQ101" i="6"/>
  <c r="CP101" i="6"/>
  <c r="CO101" i="6"/>
  <c r="CN101" i="6"/>
  <c r="CM101" i="6"/>
  <c r="CL101" i="6"/>
  <c r="CK101" i="6"/>
  <c r="CJ101" i="6"/>
  <c r="CI101" i="6"/>
  <c r="CH101" i="6"/>
  <c r="CG101" i="6"/>
  <c r="CF101" i="6"/>
  <c r="BX101" i="6"/>
  <c r="BS101" i="6"/>
  <c r="BN101" i="6"/>
  <c r="BI101" i="6"/>
  <c r="BD101" i="6"/>
  <c r="AQ101" i="6"/>
  <c r="AP101" i="6"/>
  <c r="AO101" i="6"/>
  <c r="M101" i="6"/>
  <c r="G101" i="6"/>
  <c r="A101" i="6"/>
  <c r="ET100" i="6"/>
  <c r="EO100" i="6"/>
  <c r="EJ100" i="6"/>
  <c r="EE100" i="6"/>
  <c r="DZ100" i="6"/>
  <c r="DM100" i="6"/>
  <c r="DL100" i="6"/>
  <c r="DK100" i="6"/>
  <c r="BX100" i="6"/>
  <c r="BS100" i="6"/>
  <c r="BN100" i="6"/>
  <c r="BI100" i="6"/>
  <c r="BD100" i="6"/>
  <c r="AQ100" i="6"/>
  <c r="AP100" i="6"/>
  <c r="AO100" i="6"/>
  <c r="AF100" i="6"/>
  <c r="AE100" i="6"/>
  <c r="P100" i="6"/>
  <c r="M100" i="6"/>
  <c r="G100" i="6"/>
  <c r="A100" i="6"/>
  <c r="ET99" i="6"/>
  <c r="EO99" i="6"/>
  <c r="EJ99" i="6"/>
  <c r="EE99" i="6"/>
  <c r="DZ99" i="6"/>
  <c r="DM99" i="6"/>
  <c r="DL99" i="6"/>
  <c r="DK99" i="6"/>
  <c r="CG99" i="6"/>
  <c r="CF99" i="6"/>
  <c r="BX99" i="6"/>
  <c r="BS99" i="6"/>
  <c r="BN99" i="6"/>
  <c r="BI99" i="6"/>
  <c r="BD99" i="6"/>
  <c r="AQ99" i="6"/>
  <c r="AP99" i="6"/>
  <c r="AO99" i="6"/>
  <c r="M99" i="6"/>
  <c r="G99" i="6"/>
  <c r="A99" i="6"/>
  <c r="ET98" i="6"/>
  <c r="EO98" i="6"/>
  <c r="EJ98" i="6"/>
  <c r="EE98" i="6"/>
  <c r="DZ98" i="6"/>
  <c r="DM98" i="6"/>
  <c r="DL98" i="6"/>
  <c r="DK98" i="6"/>
  <c r="BX98" i="6"/>
  <c r="BS98" i="6"/>
  <c r="BN98" i="6"/>
  <c r="BI98" i="6"/>
  <c r="BD98" i="6"/>
  <c r="AQ98" i="6"/>
  <c r="AP98" i="6"/>
  <c r="AO98" i="6"/>
  <c r="M98" i="6"/>
  <c r="G98" i="6"/>
  <c r="A98" i="6"/>
  <c r="ET97" i="6"/>
  <c r="EO97" i="6"/>
  <c r="EJ97" i="6"/>
  <c r="EE97" i="6"/>
  <c r="DZ97" i="6"/>
  <c r="DM97" i="6"/>
  <c r="DL97" i="6"/>
  <c r="DK97" i="6"/>
  <c r="BX97" i="6"/>
  <c r="BS97" i="6"/>
  <c r="BN97" i="6"/>
  <c r="BI97" i="6"/>
  <c r="BD97" i="6"/>
  <c r="AQ97" i="6"/>
  <c r="AP97" i="6"/>
  <c r="AO97" i="6"/>
  <c r="AF97" i="6"/>
  <c r="AE97" i="6"/>
  <c r="M97" i="6"/>
  <c r="G97" i="6"/>
  <c r="A97" i="6"/>
  <c r="ET96" i="6"/>
  <c r="EO96" i="6"/>
  <c r="EJ96" i="6"/>
  <c r="EE96" i="6"/>
  <c r="DZ96" i="6"/>
  <c r="DM96" i="6"/>
  <c r="DL96" i="6"/>
  <c r="DK96" i="6"/>
  <c r="CG96" i="6"/>
  <c r="CF96" i="6"/>
  <c r="BX96" i="6"/>
  <c r="BS96" i="6"/>
  <c r="BN96" i="6"/>
  <c r="BI96" i="6"/>
  <c r="BD96" i="6"/>
  <c r="AQ96" i="6"/>
  <c r="AP96" i="6"/>
  <c r="AO96" i="6"/>
  <c r="AF96" i="6"/>
  <c r="AE96" i="6"/>
  <c r="M96" i="6"/>
  <c r="G96" i="6"/>
  <c r="A96" i="6"/>
  <c r="ET95" i="6"/>
  <c r="EO95" i="6"/>
  <c r="EJ95" i="6"/>
  <c r="EE95" i="6"/>
  <c r="DZ95" i="6"/>
  <c r="DM95" i="6"/>
  <c r="DL95" i="6"/>
  <c r="DK95" i="6"/>
  <c r="CG95" i="6"/>
  <c r="CF95" i="6"/>
  <c r="BX95" i="6"/>
  <c r="BS95" i="6"/>
  <c r="BN95" i="6"/>
  <c r="BI95" i="6"/>
  <c r="BD95" i="6"/>
  <c r="AQ95" i="6"/>
  <c r="AP95" i="6"/>
  <c r="AO95" i="6"/>
  <c r="M95" i="6"/>
  <c r="G95" i="6"/>
  <c r="A95" i="6"/>
  <c r="ET94" i="6"/>
  <c r="EO94" i="6"/>
  <c r="EJ94" i="6"/>
  <c r="EE94" i="6"/>
  <c r="DZ94" i="6"/>
  <c r="DM94" i="6"/>
  <c r="DL94" i="6"/>
  <c r="DK94" i="6"/>
  <c r="BX94" i="6"/>
  <c r="BS94" i="6"/>
  <c r="BN94" i="6"/>
  <c r="BI94" i="6"/>
  <c r="BD94" i="6"/>
  <c r="AQ94" i="6"/>
  <c r="AP94" i="6"/>
  <c r="AO94" i="6"/>
  <c r="M94" i="6"/>
  <c r="G94" i="6"/>
  <c r="A94" i="6"/>
  <c r="ET93" i="6"/>
  <c r="EO93" i="6"/>
  <c r="EJ93" i="6"/>
  <c r="EE93" i="6"/>
  <c r="DZ93" i="6"/>
  <c r="DM93" i="6"/>
  <c r="DL93" i="6"/>
  <c r="DK93" i="6"/>
  <c r="BX93" i="6"/>
  <c r="BS93" i="6"/>
  <c r="BN93" i="6"/>
  <c r="BI93" i="6"/>
  <c r="BD93" i="6"/>
  <c r="AQ93" i="6"/>
  <c r="AP93" i="6"/>
  <c r="AO93" i="6"/>
  <c r="M93" i="6"/>
  <c r="G93" i="6"/>
  <c r="A93" i="6"/>
  <c r="ET92" i="6"/>
  <c r="EO92" i="6"/>
  <c r="EJ92" i="6"/>
  <c r="EE92" i="6"/>
  <c r="DZ92" i="6"/>
  <c r="DM92" i="6"/>
  <c r="DL92" i="6"/>
  <c r="DK92" i="6"/>
  <c r="BX92" i="6"/>
  <c r="BS92" i="6"/>
  <c r="BN92" i="6"/>
  <c r="BI92" i="6"/>
  <c r="BD92" i="6"/>
  <c r="AQ92" i="6"/>
  <c r="AP92" i="6"/>
  <c r="AO92" i="6"/>
  <c r="M92" i="6"/>
  <c r="G92" i="6"/>
  <c r="A92" i="6"/>
  <c r="ET91" i="6"/>
  <c r="EO91" i="6"/>
  <c r="EJ91" i="6"/>
  <c r="EE91" i="6"/>
  <c r="DZ91" i="6"/>
  <c r="DM91" i="6"/>
  <c r="DL91" i="6"/>
  <c r="DK91" i="6"/>
  <c r="BX91" i="6"/>
  <c r="BS91" i="6"/>
  <c r="BN91" i="6"/>
  <c r="BI91" i="6"/>
  <c r="BD91" i="6"/>
  <c r="AQ91" i="6"/>
  <c r="AP91" i="6"/>
  <c r="AO91" i="6"/>
  <c r="M91" i="6"/>
  <c r="G91" i="6"/>
  <c r="A91" i="6"/>
  <c r="ET90" i="6"/>
  <c r="EO90" i="6"/>
  <c r="EJ90" i="6"/>
  <c r="EE90" i="6"/>
  <c r="DZ90" i="6"/>
  <c r="DM90" i="6"/>
  <c r="DL90" i="6"/>
  <c r="DK90" i="6"/>
  <c r="DI90" i="6"/>
  <c r="DH90" i="6"/>
  <c r="DG90" i="6"/>
  <c r="DF90" i="6"/>
  <c r="DE90" i="6"/>
  <c r="DD90" i="6"/>
  <c r="DC90" i="6"/>
  <c r="DB90" i="6"/>
  <c r="DA90" i="6"/>
  <c r="CZ90" i="6"/>
  <c r="CY90" i="6"/>
  <c r="CX90" i="6"/>
  <c r="CW90" i="6"/>
  <c r="CV90" i="6"/>
  <c r="CU90" i="6"/>
  <c r="CT90" i="6"/>
  <c r="CS90" i="6"/>
  <c r="CR90" i="6"/>
  <c r="CQ90" i="6"/>
  <c r="CP90" i="6"/>
  <c r="CO90" i="6"/>
  <c r="CN90" i="6"/>
  <c r="CM90" i="6"/>
  <c r="CL90" i="6"/>
  <c r="CK90" i="6"/>
  <c r="CJ90" i="6"/>
  <c r="CI90" i="6"/>
  <c r="CH90" i="6"/>
  <c r="CG90" i="6"/>
  <c r="CF90" i="6"/>
  <c r="BX90" i="6"/>
  <c r="BS90" i="6"/>
  <c r="BN90" i="6"/>
  <c r="BI90" i="6"/>
  <c r="BD90" i="6"/>
  <c r="AQ90" i="6"/>
  <c r="AP90" i="6"/>
  <c r="AO90" i="6"/>
  <c r="M90" i="6"/>
  <c r="G90" i="6"/>
  <c r="A90" i="6"/>
  <c r="ET89" i="6"/>
  <c r="EO89" i="6"/>
  <c r="EJ89" i="6"/>
  <c r="EE89" i="6"/>
  <c r="DZ89" i="6"/>
  <c r="DM89" i="6"/>
  <c r="DL89" i="6"/>
  <c r="DK89" i="6"/>
  <c r="DI89" i="6"/>
  <c r="DH89" i="6"/>
  <c r="DG89" i="6"/>
  <c r="DF89" i="6"/>
  <c r="DE89" i="6"/>
  <c r="DD89" i="6"/>
  <c r="DC89" i="6"/>
  <c r="DB89" i="6"/>
  <c r="DA89" i="6"/>
  <c r="CZ89" i="6"/>
  <c r="CY89" i="6"/>
  <c r="CX89" i="6"/>
  <c r="CW89" i="6"/>
  <c r="CV89" i="6"/>
  <c r="CU89" i="6"/>
  <c r="CT89" i="6"/>
  <c r="CS89" i="6"/>
  <c r="CR89" i="6"/>
  <c r="CQ89" i="6"/>
  <c r="CP89" i="6"/>
  <c r="CO89" i="6"/>
  <c r="CN89" i="6"/>
  <c r="CM89" i="6"/>
  <c r="CL89" i="6"/>
  <c r="CK89" i="6"/>
  <c r="CJ89" i="6"/>
  <c r="CI89" i="6"/>
  <c r="CH89" i="6"/>
  <c r="CG89" i="6"/>
  <c r="CF89" i="6"/>
  <c r="BX89" i="6"/>
  <c r="BS89" i="6"/>
  <c r="BN89" i="6"/>
  <c r="BI89" i="6"/>
  <c r="BD89" i="6"/>
  <c r="AQ89" i="6"/>
  <c r="AP89" i="6"/>
  <c r="AO89" i="6"/>
  <c r="M89" i="6"/>
  <c r="G89" i="6"/>
  <c r="A89" i="6"/>
  <c r="ET88" i="6"/>
  <c r="EO88" i="6"/>
  <c r="EJ88" i="6"/>
  <c r="EE88" i="6"/>
  <c r="DZ88" i="6"/>
  <c r="DM88" i="6"/>
  <c r="DL88" i="6"/>
  <c r="DK88" i="6"/>
  <c r="BX88" i="6"/>
  <c r="BS88" i="6"/>
  <c r="BN88" i="6"/>
  <c r="BI88" i="6"/>
  <c r="BD88" i="6"/>
  <c r="AQ88" i="6"/>
  <c r="AP88" i="6"/>
  <c r="AO88" i="6"/>
  <c r="M88" i="6"/>
  <c r="G88" i="6"/>
  <c r="A88" i="6"/>
  <c r="ET87" i="6"/>
  <c r="EO87" i="6"/>
  <c r="EJ87" i="6"/>
  <c r="EE87" i="6"/>
  <c r="DZ87" i="6"/>
  <c r="DM87" i="6"/>
  <c r="DL87" i="6"/>
  <c r="DK87" i="6"/>
  <c r="BX87" i="6"/>
  <c r="BS87" i="6"/>
  <c r="BN87" i="6"/>
  <c r="BI87" i="6"/>
  <c r="BD87" i="6"/>
  <c r="AQ87" i="6"/>
  <c r="AP87" i="6"/>
  <c r="AO87" i="6"/>
  <c r="AF87" i="6"/>
  <c r="AE87" i="6"/>
  <c r="M87" i="6"/>
  <c r="G87" i="6"/>
  <c r="A87" i="6"/>
  <c r="ET86" i="6"/>
  <c r="EO86" i="6"/>
  <c r="EJ86" i="6"/>
  <c r="EE86" i="6"/>
  <c r="DZ86" i="6"/>
  <c r="DM86" i="6"/>
  <c r="DL86" i="6"/>
  <c r="DK86" i="6"/>
  <c r="DI86" i="6"/>
  <c r="DH86" i="6"/>
  <c r="DG86" i="6"/>
  <c r="DF86" i="6"/>
  <c r="DE86" i="6"/>
  <c r="DD86" i="6"/>
  <c r="DC86" i="6"/>
  <c r="DB86" i="6"/>
  <c r="DA86" i="6"/>
  <c r="CZ86" i="6"/>
  <c r="CY86" i="6"/>
  <c r="CX86" i="6"/>
  <c r="CW86" i="6"/>
  <c r="CV86" i="6"/>
  <c r="CU86" i="6"/>
  <c r="CT86" i="6"/>
  <c r="CS86" i="6"/>
  <c r="CR86" i="6"/>
  <c r="CQ86" i="6"/>
  <c r="CP86" i="6"/>
  <c r="CO86" i="6"/>
  <c r="CN86" i="6"/>
  <c r="CM86" i="6"/>
  <c r="CL86" i="6"/>
  <c r="CK86" i="6"/>
  <c r="CJ86" i="6"/>
  <c r="CI86" i="6"/>
  <c r="CH86" i="6"/>
  <c r="CG86" i="6"/>
  <c r="CF86" i="6"/>
  <c r="BX86" i="6"/>
  <c r="BS86" i="6"/>
  <c r="BN86" i="6"/>
  <c r="BI86" i="6"/>
  <c r="BD86" i="6"/>
  <c r="AQ86" i="6"/>
  <c r="AP86" i="6"/>
  <c r="AO86" i="6"/>
  <c r="M86" i="6"/>
  <c r="G86" i="6"/>
  <c r="A86" i="6"/>
  <c r="ET85" i="6"/>
  <c r="EO85" i="6"/>
  <c r="EJ85" i="6"/>
  <c r="EE85" i="6"/>
  <c r="DZ85" i="6"/>
  <c r="DM85" i="6"/>
  <c r="DL85" i="6"/>
  <c r="DK85" i="6"/>
  <c r="DE85" i="6"/>
  <c r="DD85" i="6"/>
  <c r="DC85" i="6"/>
  <c r="DB85" i="6"/>
  <c r="DA85" i="6"/>
  <c r="CZ85" i="6"/>
  <c r="CY85" i="6"/>
  <c r="CX85" i="6"/>
  <c r="CW85" i="6"/>
  <c r="CV85" i="6"/>
  <c r="CU85" i="6"/>
  <c r="CT85" i="6"/>
  <c r="CS85" i="6"/>
  <c r="CR85" i="6"/>
  <c r="CQ85" i="6"/>
  <c r="CP85" i="6"/>
  <c r="CO85" i="6"/>
  <c r="CN85" i="6"/>
  <c r="CM85" i="6"/>
  <c r="CL85" i="6"/>
  <c r="CK85" i="6"/>
  <c r="CJ85" i="6"/>
  <c r="CI85" i="6"/>
  <c r="CH85" i="6"/>
  <c r="CG85" i="6"/>
  <c r="CF85" i="6"/>
  <c r="BX85" i="6"/>
  <c r="BS85" i="6"/>
  <c r="BN85" i="6"/>
  <c r="BI85" i="6"/>
  <c r="BD85" i="6"/>
  <c r="AQ85" i="6"/>
  <c r="AP85" i="6"/>
  <c r="AO85" i="6"/>
  <c r="M85" i="6"/>
  <c r="G85" i="6"/>
  <c r="A85" i="6"/>
  <c r="ET84" i="6"/>
  <c r="EO84" i="6"/>
  <c r="EJ84" i="6"/>
  <c r="EE84" i="6"/>
  <c r="DZ84" i="6"/>
  <c r="DM84" i="6"/>
  <c r="DL84" i="6"/>
  <c r="DK84" i="6"/>
  <c r="CG84" i="6"/>
  <c r="CF84" i="6"/>
  <c r="BX84" i="6"/>
  <c r="BS84" i="6"/>
  <c r="BN84" i="6"/>
  <c r="BI84" i="6"/>
  <c r="BD84" i="6"/>
  <c r="AQ84" i="6"/>
  <c r="AP84" i="6"/>
  <c r="AO84" i="6"/>
  <c r="M84" i="6"/>
  <c r="G84" i="6"/>
  <c r="A84" i="6"/>
  <c r="ET83" i="6"/>
  <c r="EO83" i="6"/>
  <c r="EJ83" i="6"/>
  <c r="EE83" i="6"/>
  <c r="DZ83" i="6"/>
  <c r="DM83" i="6"/>
  <c r="DL83" i="6"/>
  <c r="DK83" i="6"/>
  <c r="CG83" i="6"/>
  <c r="CF83" i="6"/>
  <c r="BX83" i="6"/>
  <c r="BS83" i="6"/>
  <c r="BN83" i="6"/>
  <c r="BI83" i="6"/>
  <c r="BD83" i="6"/>
  <c r="AQ83" i="6"/>
  <c r="AP83" i="6"/>
  <c r="AO83" i="6"/>
  <c r="M83" i="6"/>
  <c r="G83" i="6"/>
  <c r="A83" i="6"/>
  <c r="ET82" i="6"/>
  <c r="EO82" i="6"/>
  <c r="EJ82" i="6"/>
  <c r="EE82" i="6"/>
  <c r="DZ82" i="6"/>
  <c r="DM82" i="6"/>
  <c r="DL82" i="6"/>
  <c r="DK82" i="6"/>
  <c r="DE82" i="6"/>
  <c r="DD82" i="6"/>
  <c r="DC82" i="6"/>
  <c r="DB82" i="6"/>
  <c r="DA82" i="6"/>
  <c r="CZ82" i="6"/>
  <c r="CY82" i="6"/>
  <c r="CX82" i="6"/>
  <c r="CW82" i="6"/>
  <c r="CV82" i="6"/>
  <c r="CU82" i="6"/>
  <c r="CT82" i="6"/>
  <c r="CS82" i="6"/>
  <c r="CR82" i="6"/>
  <c r="CQ82" i="6"/>
  <c r="CP82" i="6"/>
  <c r="CO82" i="6"/>
  <c r="CN82" i="6"/>
  <c r="CM82" i="6"/>
  <c r="CL82" i="6"/>
  <c r="CK82" i="6"/>
  <c r="CJ82" i="6"/>
  <c r="CI82" i="6"/>
  <c r="CH82" i="6"/>
  <c r="CG82" i="6"/>
  <c r="CF82" i="6"/>
  <c r="BX82" i="6"/>
  <c r="BS82" i="6"/>
  <c r="BN82" i="6"/>
  <c r="BI82" i="6"/>
  <c r="BD82" i="6"/>
  <c r="AQ82" i="6"/>
  <c r="AP82" i="6"/>
  <c r="AO82" i="6"/>
  <c r="M82" i="6"/>
  <c r="G82" i="6"/>
  <c r="A82" i="6"/>
  <c r="ET81" i="6"/>
  <c r="EO81" i="6"/>
  <c r="EJ81" i="6"/>
  <c r="EE81" i="6"/>
  <c r="DZ81" i="6"/>
  <c r="DM81" i="6"/>
  <c r="DL81" i="6"/>
  <c r="DK81" i="6"/>
  <c r="DI81" i="6"/>
  <c r="DH81" i="6"/>
  <c r="DG81" i="6"/>
  <c r="DF81" i="6"/>
  <c r="DE81" i="6"/>
  <c r="DD81" i="6"/>
  <c r="DC81" i="6"/>
  <c r="DB81" i="6"/>
  <c r="DA81" i="6"/>
  <c r="CZ81" i="6"/>
  <c r="CY81" i="6"/>
  <c r="CX81" i="6"/>
  <c r="CW81" i="6"/>
  <c r="CV81" i="6"/>
  <c r="CU81" i="6"/>
  <c r="CT81" i="6"/>
  <c r="CS81" i="6"/>
  <c r="CR81" i="6"/>
  <c r="CQ81" i="6"/>
  <c r="CP81" i="6"/>
  <c r="CO81" i="6"/>
  <c r="CN81" i="6"/>
  <c r="CM81" i="6"/>
  <c r="CL81" i="6"/>
  <c r="CK81" i="6"/>
  <c r="CJ81" i="6"/>
  <c r="CI81" i="6"/>
  <c r="CH81" i="6"/>
  <c r="CG81" i="6"/>
  <c r="CF81" i="6"/>
  <c r="BX81" i="6"/>
  <c r="BS81" i="6"/>
  <c r="BN81" i="6"/>
  <c r="BI81" i="6"/>
  <c r="BD81" i="6"/>
  <c r="AQ81" i="6"/>
  <c r="AP81" i="6"/>
  <c r="AO81" i="6"/>
  <c r="M81" i="6"/>
  <c r="G81" i="6"/>
  <c r="A81" i="6"/>
  <c r="ET80" i="6"/>
  <c r="EO80" i="6"/>
  <c r="EJ80" i="6"/>
  <c r="EE80" i="6"/>
  <c r="DZ80" i="6"/>
  <c r="DM80" i="6"/>
  <c r="DL80" i="6"/>
  <c r="DK80" i="6"/>
  <c r="CY80" i="6"/>
  <c r="CX80" i="6"/>
  <c r="CW80" i="6"/>
  <c r="CV80" i="6"/>
  <c r="CU80" i="6"/>
  <c r="CT80" i="6"/>
  <c r="CS80" i="6"/>
  <c r="CR80" i="6"/>
  <c r="CQ80" i="6"/>
  <c r="CP80" i="6"/>
  <c r="CO80" i="6"/>
  <c r="CN80" i="6"/>
  <c r="CM80" i="6"/>
  <c r="CL80" i="6"/>
  <c r="CK80" i="6"/>
  <c r="CJ80" i="6"/>
  <c r="CI80" i="6"/>
  <c r="CH80" i="6"/>
  <c r="CG80" i="6"/>
  <c r="CF80" i="6"/>
  <c r="BX80" i="6"/>
  <c r="BS80" i="6"/>
  <c r="BN80" i="6"/>
  <c r="BI80" i="6"/>
  <c r="BD80" i="6"/>
  <c r="AQ80" i="6"/>
  <c r="AP80" i="6"/>
  <c r="AO80" i="6"/>
  <c r="M80" i="6"/>
  <c r="G80" i="6"/>
  <c r="A80" i="6"/>
  <c r="ET79" i="6"/>
  <c r="EO79" i="6"/>
  <c r="EJ79" i="6"/>
  <c r="EE79" i="6"/>
  <c r="DZ79" i="6"/>
  <c r="DM79" i="6"/>
  <c r="DL79" i="6"/>
  <c r="DK79" i="6"/>
  <c r="DC79" i="6"/>
  <c r="DB79" i="6"/>
  <c r="DA79" i="6"/>
  <c r="CZ79" i="6"/>
  <c r="CY79" i="6"/>
  <c r="CX79" i="6"/>
  <c r="CW79" i="6"/>
  <c r="CV79" i="6"/>
  <c r="CU79" i="6"/>
  <c r="CT79" i="6"/>
  <c r="CS79" i="6"/>
  <c r="CR79" i="6"/>
  <c r="CQ79" i="6"/>
  <c r="CP79" i="6"/>
  <c r="CO79" i="6"/>
  <c r="CN79" i="6"/>
  <c r="CM79" i="6"/>
  <c r="CL79" i="6"/>
  <c r="CK79" i="6"/>
  <c r="CJ79" i="6"/>
  <c r="CI79" i="6"/>
  <c r="CH79" i="6"/>
  <c r="CG79" i="6"/>
  <c r="CF79" i="6"/>
  <c r="BX79" i="6"/>
  <c r="BS79" i="6"/>
  <c r="BN79" i="6"/>
  <c r="BI79" i="6"/>
  <c r="BD79" i="6"/>
  <c r="AQ79" i="6"/>
  <c r="AP79" i="6"/>
  <c r="AO79" i="6"/>
  <c r="M79" i="6"/>
  <c r="G79" i="6"/>
  <c r="A79" i="6"/>
  <c r="ET78" i="6"/>
  <c r="EO78" i="6"/>
  <c r="EJ78" i="6"/>
  <c r="EE78" i="6"/>
  <c r="DZ78" i="6"/>
  <c r="DM78" i="6"/>
  <c r="DL78" i="6"/>
  <c r="DK78" i="6"/>
  <c r="CM78" i="6"/>
  <c r="CL78" i="6"/>
  <c r="CK78" i="6"/>
  <c r="CJ78" i="6"/>
  <c r="CI78" i="6"/>
  <c r="CH78" i="6"/>
  <c r="CG78" i="6"/>
  <c r="CF78" i="6"/>
  <c r="BX78" i="6"/>
  <c r="BS78" i="6"/>
  <c r="BN78" i="6"/>
  <c r="BI78" i="6"/>
  <c r="BD78" i="6"/>
  <c r="AQ78" i="6"/>
  <c r="AP78" i="6"/>
  <c r="AO78" i="6"/>
  <c r="M78" i="6"/>
  <c r="G78" i="6"/>
  <c r="A78" i="6"/>
  <c r="ET77" i="6"/>
  <c r="EO77" i="6"/>
  <c r="EJ77" i="6"/>
  <c r="EE77" i="6"/>
  <c r="DZ77" i="6"/>
  <c r="DM77" i="6"/>
  <c r="DL77" i="6"/>
  <c r="DK77" i="6"/>
  <c r="DA77" i="6"/>
  <c r="CZ77" i="6"/>
  <c r="CY77" i="6"/>
  <c r="CX77" i="6"/>
  <c r="CW77" i="6"/>
  <c r="CV77" i="6"/>
  <c r="CU77" i="6"/>
  <c r="CT77" i="6"/>
  <c r="CS77" i="6"/>
  <c r="CR77" i="6"/>
  <c r="CQ77" i="6"/>
  <c r="CP77" i="6"/>
  <c r="CO77" i="6"/>
  <c r="CN77" i="6"/>
  <c r="CM77" i="6"/>
  <c r="CL77" i="6"/>
  <c r="CK77" i="6"/>
  <c r="CJ77" i="6"/>
  <c r="CI77" i="6"/>
  <c r="CH77" i="6"/>
  <c r="CG77" i="6"/>
  <c r="CF77" i="6"/>
  <c r="BX77" i="6"/>
  <c r="BS77" i="6"/>
  <c r="BN77" i="6"/>
  <c r="BI77" i="6"/>
  <c r="BD77" i="6"/>
  <c r="AQ77" i="6"/>
  <c r="AP77" i="6"/>
  <c r="AO77" i="6"/>
  <c r="M77" i="6"/>
  <c r="G77" i="6"/>
  <c r="A77" i="6"/>
  <c r="ET76" i="6"/>
  <c r="EO76" i="6"/>
  <c r="EJ76" i="6"/>
  <c r="EE76" i="6"/>
  <c r="DZ76" i="6"/>
  <c r="DM76" i="6"/>
  <c r="DL76" i="6"/>
  <c r="DK76" i="6"/>
  <c r="DC76" i="6"/>
  <c r="DB76" i="6"/>
  <c r="DA76" i="6"/>
  <c r="CZ76" i="6"/>
  <c r="CY76" i="6"/>
  <c r="CX76" i="6"/>
  <c r="CW76" i="6"/>
  <c r="CV76" i="6"/>
  <c r="CU76" i="6"/>
  <c r="CT76" i="6"/>
  <c r="CS76" i="6"/>
  <c r="CR76" i="6"/>
  <c r="CQ76" i="6"/>
  <c r="CP76" i="6"/>
  <c r="CO76" i="6"/>
  <c r="CN76" i="6"/>
  <c r="CM76" i="6"/>
  <c r="CL76" i="6"/>
  <c r="CK76" i="6"/>
  <c r="CJ76" i="6"/>
  <c r="CI76" i="6"/>
  <c r="CH76" i="6"/>
  <c r="CG76" i="6"/>
  <c r="CF76" i="6"/>
  <c r="BX76" i="6"/>
  <c r="BS76" i="6"/>
  <c r="BN76" i="6"/>
  <c r="BI76" i="6"/>
  <c r="BD76" i="6"/>
  <c r="AQ76" i="6"/>
  <c r="AP76" i="6"/>
  <c r="AO76" i="6"/>
  <c r="M76" i="6"/>
  <c r="G76" i="6"/>
  <c r="A76" i="6"/>
  <c r="ET75" i="6"/>
  <c r="EO75" i="6"/>
  <c r="EJ75" i="6"/>
  <c r="EE75" i="6"/>
  <c r="DZ75" i="6"/>
  <c r="DM75" i="6"/>
  <c r="DL75" i="6"/>
  <c r="DK75" i="6"/>
  <c r="CM75" i="6"/>
  <c r="CL75" i="6"/>
  <c r="CK75" i="6"/>
  <c r="CJ75" i="6"/>
  <c r="CI75" i="6"/>
  <c r="CH75" i="6"/>
  <c r="CG75" i="6"/>
  <c r="CF75" i="6"/>
  <c r="BX75" i="6"/>
  <c r="BS75" i="6"/>
  <c r="BN75" i="6"/>
  <c r="BI75" i="6"/>
  <c r="BD75" i="6"/>
  <c r="AQ75" i="6"/>
  <c r="AP75" i="6"/>
  <c r="AO75" i="6"/>
  <c r="M75" i="6"/>
  <c r="G75" i="6"/>
  <c r="A75" i="6"/>
  <c r="ET74" i="6"/>
  <c r="EO74" i="6"/>
  <c r="EJ74" i="6"/>
  <c r="EE74" i="6"/>
  <c r="DZ74" i="6"/>
  <c r="DM74" i="6"/>
  <c r="DL74" i="6"/>
  <c r="DK74" i="6"/>
  <c r="DA74" i="6"/>
  <c r="CZ74" i="6"/>
  <c r="CY74" i="6"/>
  <c r="CX74" i="6"/>
  <c r="CW74" i="6"/>
  <c r="CV74" i="6"/>
  <c r="CU74" i="6"/>
  <c r="CT74" i="6"/>
  <c r="CS74" i="6"/>
  <c r="CR74" i="6"/>
  <c r="CQ74" i="6"/>
  <c r="CP74" i="6"/>
  <c r="CO74" i="6"/>
  <c r="CN74" i="6"/>
  <c r="CM74" i="6"/>
  <c r="CL74" i="6"/>
  <c r="CK74" i="6"/>
  <c r="CJ74" i="6"/>
  <c r="CI74" i="6"/>
  <c r="CH74" i="6"/>
  <c r="CG74" i="6"/>
  <c r="CF74" i="6"/>
  <c r="BX74" i="6"/>
  <c r="BS74" i="6"/>
  <c r="BN74" i="6"/>
  <c r="BI74" i="6"/>
  <c r="BD74" i="6"/>
  <c r="AQ74" i="6"/>
  <c r="AP74" i="6"/>
  <c r="AO74" i="6"/>
  <c r="M74" i="6"/>
  <c r="G74" i="6"/>
  <c r="A74" i="6"/>
  <c r="ET73" i="6"/>
  <c r="EO73" i="6"/>
  <c r="EJ73" i="6"/>
  <c r="EE73" i="6"/>
  <c r="DZ73" i="6"/>
  <c r="DM73" i="6"/>
  <c r="DL73" i="6"/>
  <c r="DK73" i="6"/>
  <c r="BX73" i="6"/>
  <c r="BS73" i="6"/>
  <c r="BN73" i="6"/>
  <c r="BI73" i="6"/>
  <c r="BD73" i="6"/>
  <c r="AQ73" i="6"/>
  <c r="AP73" i="6"/>
  <c r="AO73" i="6"/>
  <c r="AF73" i="6"/>
  <c r="AE73" i="6"/>
  <c r="M73" i="6"/>
  <c r="G73" i="6"/>
  <c r="A73" i="6"/>
  <c r="ET72" i="6"/>
  <c r="EO72" i="6"/>
  <c r="EJ72" i="6"/>
  <c r="EE72" i="6"/>
  <c r="DZ72" i="6"/>
  <c r="DM72" i="6"/>
  <c r="DL72" i="6"/>
  <c r="DK72" i="6"/>
  <c r="DC72" i="6"/>
  <c r="DB72" i="6"/>
  <c r="DA72" i="6"/>
  <c r="CZ72" i="6"/>
  <c r="CY72" i="6"/>
  <c r="CX72" i="6"/>
  <c r="CW72" i="6"/>
  <c r="CV72" i="6"/>
  <c r="CU72" i="6"/>
  <c r="CT72" i="6"/>
  <c r="CS72" i="6"/>
  <c r="CR72" i="6"/>
  <c r="CQ72" i="6"/>
  <c r="CP72" i="6"/>
  <c r="CO72" i="6"/>
  <c r="CN72" i="6"/>
  <c r="CM72" i="6"/>
  <c r="CL72" i="6"/>
  <c r="CK72" i="6"/>
  <c r="CJ72" i="6"/>
  <c r="CI72" i="6"/>
  <c r="CH72" i="6"/>
  <c r="CG72" i="6"/>
  <c r="CF72" i="6"/>
  <c r="BX72" i="6"/>
  <c r="BS72" i="6"/>
  <c r="BN72" i="6"/>
  <c r="BI72" i="6"/>
  <c r="BD72" i="6"/>
  <c r="AQ72" i="6"/>
  <c r="AP72" i="6"/>
  <c r="AO72" i="6"/>
  <c r="M72" i="6"/>
  <c r="G72" i="6"/>
  <c r="A72" i="6"/>
  <c r="ET71" i="6"/>
  <c r="EO71" i="6"/>
  <c r="EJ71" i="6"/>
  <c r="EE71" i="6"/>
  <c r="DZ71" i="6"/>
  <c r="DM71" i="6"/>
  <c r="DL71" i="6"/>
  <c r="DK71" i="6"/>
  <c r="CG71" i="6"/>
  <c r="CF71" i="6"/>
  <c r="BX71" i="6"/>
  <c r="BS71" i="6"/>
  <c r="BN71" i="6"/>
  <c r="BI71" i="6"/>
  <c r="BD71" i="6"/>
  <c r="AQ71" i="6"/>
  <c r="AP71" i="6"/>
  <c r="AO71" i="6"/>
  <c r="M71" i="6"/>
  <c r="G71" i="6"/>
  <c r="A71" i="6"/>
  <c r="ET70" i="6"/>
  <c r="EO70" i="6"/>
  <c r="EJ70" i="6"/>
  <c r="EE70" i="6"/>
  <c r="DZ70" i="6"/>
  <c r="DM70" i="6"/>
  <c r="DL70" i="6"/>
  <c r="DK70" i="6"/>
  <c r="BX70" i="6"/>
  <c r="BS70" i="6"/>
  <c r="BN70" i="6"/>
  <c r="BI70" i="6"/>
  <c r="BD70" i="6"/>
  <c r="AQ70" i="6"/>
  <c r="AP70" i="6"/>
  <c r="AO70" i="6"/>
  <c r="M70" i="6"/>
  <c r="G70" i="6"/>
  <c r="A70" i="6"/>
  <c r="ET69" i="6"/>
  <c r="EO69" i="6"/>
  <c r="EJ69" i="6"/>
  <c r="EE69" i="6"/>
  <c r="DZ69" i="6"/>
  <c r="DM69" i="6"/>
  <c r="DL69" i="6"/>
  <c r="DK69" i="6"/>
  <c r="CG69" i="6"/>
  <c r="CF69" i="6"/>
  <c r="BX69" i="6"/>
  <c r="BS69" i="6"/>
  <c r="BN69" i="6"/>
  <c r="BI69" i="6"/>
  <c r="BD69" i="6"/>
  <c r="AQ69" i="6"/>
  <c r="AP69" i="6"/>
  <c r="AO69" i="6"/>
  <c r="M69" i="6"/>
  <c r="G69" i="6"/>
  <c r="A69" i="6"/>
  <c r="ET68" i="6"/>
  <c r="EO68" i="6"/>
  <c r="EJ68" i="6"/>
  <c r="EE68" i="6"/>
  <c r="DZ68" i="6"/>
  <c r="DM68" i="6"/>
  <c r="DL68" i="6"/>
  <c r="DK68" i="6"/>
  <c r="DI68" i="6"/>
  <c r="DH68" i="6"/>
  <c r="DG68" i="6"/>
  <c r="DF68" i="6"/>
  <c r="DE68" i="6"/>
  <c r="DD68" i="6"/>
  <c r="DC68" i="6"/>
  <c r="DB68" i="6"/>
  <c r="DA68" i="6"/>
  <c r="CZ68" i="6"/>
  <c r="CY68" i="6"/>
  <c r="CX68" i="6"/>
  <c r="CW68" i="6"/>
  <c r="CV68" i="6"/>
  <c r="CU68" i="6"/>
  <c r="CT68" i="6"/>
  <c r="CS68" i="6"/>
  <c r="CR68" i="6"/>
  <c r="CQ68" i="6"/>
  <c r="CP68" i="6"/>
  <c r="CO68" i="6"/>
  <c r="CN68" i="6"/>
  <c r="CM68" i="6"/>
  <c r="CL68" i="6"/>
  <c r="CK68" i="6"/>
  <c r="CJ68" i="6"/>
  <c r="CI68" i="6"/>
  <c r="CH68" i="6"/>
  <c r="CG68" i="6"/>
  <c r="CF68" i="6"/>
  <c r="BX68" i="6"/>
  <c r="BS68" i="6"/>
  <c r="BN68" i="6"/>
  <c r="BI68" i="6"/>
  <c r="BD68" i="6"/>
  <c r="AQ68" i="6"/>
  <c r="AP68" i="6"/>
  <c r="AO68" i="6"/>
  <c r="M68" i="6"/>
  <c r="G68" i="6"/>
  <c r="A68" i="6"/>
  <c r="ET67" i="6"/>
  <c r="EO67" i="6"/>
  <c r="EJ67" i="6"/>
  <c r="EE67" i="6"/>
  <c r="DZ67" i="6"/>
  <c r="DM67" i="6"/>
  <c r="DL67" i="6"/>
  <c r="DK67" i="6"/>
  <c r="DI67" i="6"/>
  <c r="DH67" i="6"/>
  <c r="DG67" i="6"/>
  <c r="DF67" i="6"/>
  <c r="DE67" i="6"/>
  <c r="DD67" i="6"/>
  <c r="DC67" i="6"/>
  <c r="DB67" i="6"/>
  <c r="DA67" i="6"/>
  <c r="CZ67" i="6"/>
  <c r="CY67" i="6"/>
  <c r="CX67" i="6"/>
  <c r="CW67" i="6"/>
  <c r="CV67" i="6"/>
  <c r="CU67" i="6"/>
  <c r="CT67" i="6"/>
  <c r="CS67" i="6"/>
  <c r="CR67" i="6"/>
  <c r="CQ67" i="6"/>
  <c r="CP67" i="6"/>
  <c r="CO67" i="6"/>
  <c r="CN67" i="6"/>
  <c r="CM67" i="6"/>
  <c r="CL67" i="6"/>
  <c r="CK67" i="6"/>
  <c r="CJ67" i="6"/>
  <c r="CI67" i="6"/>
  <c r="CH67" i="6"/>
  <c r="CG67" i="6"/>
  <c r="CF67" i="6"/>
  <c r="BX67" i="6"/>
  <c r="BS67" i="6"/>
  <c r="BN67" i="6"/>
  <c r="BI67" i="6"/>
  <c r="BD67" i="6"/>
  <c r="AQ67" i="6"/>
  <c r="AP67" i="6"/>
  <c r="AO67" i="6"/>
  <c r="M67" i="6"/>
  <c r="G67" i="6"/>
  <c r="A67" i="6"/>
  <c r="ET66" i="6"/>
  <c r="EO66" i="6"/>
  <c r="EJ66" i="6"/>
  <c r="DM66" i="6"/>
  <c r="DL66" i="6"/>
  <c r="DK66" i="6"/>
  <c r="DI66" i="6"/>
  <c r="DH66" i="6"/>
  <c r="DG66" i="6"/>
  <c r="DF66" i="6"/>
  <c r="DE66" i="6"/>
  <c r="DD66" i="6"/>
  <c r="DC66" i="6"/>
  <c r="DB66" i="6"/>
  <c r="DA66" i="6"/>
  <c r="CZ66" i="6"/>
  <c r="CY66" i="6"/>
  <c r="CX66" i="6"/>
  <c r="CW66" i="6"/>
  <c r="CV66" i="6"/>
  <c r="CU66" i="6"/>
  <c r="CT66" i="6"/>
  <c r="CS66" i="6"/>
  <c r="CR66" i="6"/>
  <c r="CQ66" i="6"/>
  <c r="CP66" i="6"/>
  <c r="CO66" i="6"/>
  <c r="CN66" i="6"/>
  <c r="CM66" i="6"/>
  <c r="CL66" i="6"/>
  <c r="CK66" i="6"/>
  <c r="CJ66" i="6"/>
  <c r="CI66" i="6"/>
  <c r="CH66" i="6"/>
  <c r="CG66" i="6"/>
  <c r="CF66" i="6"/>
  <c r="BX66" i="6"/>
  <c r="BS66" i="6"/>
  <c r="BN66" i="6"/>
  <c r="AQ66" i="6"/>
  <c r="AP66" i="6"/>
  <c r="AO66" i="6"/>
  <c r="P66" i="6"/>
  <c r="M66" i="6"/>
  <c r="G66" i="6"/>
  <c r="A66" i="6"/>
  <c r="EO65" i="6"/>
  <c r="DM65" i="6"/>
  <c r="DL65" i="6"/>
  <c r="DK65" i="6"/>
  <c r="DI65" i="6"/>
  <c r="DH65" i="6"/>
  <c r="DG65" i="6"/>
  <c r="DF65" i="6"/>
  <c r="DE65" i="6"/>
  <c r="DD65" i="6"/>
  <c r="DC65" i="6"/>
  <c r="DB65" i="6"/>
  <c r="DA65" i="6"/>
  <c r="CZ65" i="6"/>
  <c r="CY65" i="6"/>
  <c r="CX65" i="6"/>
  <c r="CW65" i="6"/>
  <c r="CV65" i="6"/>
  <c r="CU65" i="6"/>
  <c r="CT65" i="6"/>
  <c r="CS65" i="6"/>
  <c r="CR65" i="6"/>
  <c r="CQ65" i="6"/>
  <c r="CP65" i="6"/>
  <c r="CO65" i="6"/>
  <c r="CN65" i="6"/>
  <c r="CM65" i="6"/>
  <c r="CL65" i="6"/>
  <c r="CK65" i="6"/>
  <c r="CJ65" i="6"/>
  <c r="CI65" i="6"/>
  <c r="CH65" i="6"/>
  <c r="CG65" i="6"/>
  <c r="CF65" i="6"/>
  <c r="BS65" i="6"/>
  <c r="AQ65" i="6"/>
  <c r="AP65" i="6"/>
  <c r="AO65" i="6"/>
  <c r="P65" i="6"/>
  <c r="M65" i="6"/>
  <c r="G65" i="6"/>
  <c r="A65" i="6"/>
  <c r="EO64" i="6"/>
  <c r="DM64" i="6"/>
  <c r="DL64" i="6"/>
  <c r="DK64" i="6"/>
  <c r="DI64" i="6"/>
  <c r="DH64" i="6"/>
  <c r="DG64" i="6"/>
  <c r="DF64" i="6"/>
  <c r="DE64" i="6"/>
  <c r="DD64" i="6"/>
  <c r="DC64" i="6"/>
  <c r="DB64" i="6"/>
  <c r="DA64" i="6"/>
  <c r="CZ64" i="6"/>
  <c r="CY64" i="6"/>
  <c r="CX64" i="6"/>
  <c r="CW64" i="6"/>
  <c r="CV64" i="6"/>
  <c r="CU64" i="6"/>
  <c r="CT64" i="6"/>
  <c r="CS64" i="6"/>
  <c r="CR64" i="6"/>
  <c r="CQ64" i="6"/>
  <c r="CP64" i="6"/>
  <c r="CO64" i="6"/>
  <c r="CN64" i="6"/>
  <c r="CM64" i="6"/>
  <c r="CL64" i="6"/>
  <c r="CK64" i="6"/>
  <c r="CJ64" i="6"/>
  <c r="CI64" i="6"/>
  <c r="CH64" i="6"/>
  <c r="CG64" i="6"/>
  <c r="CF64" i="6"/>
  <c r="BS64" i="6"/>
  <c r="AQ64" i="6"/>
  <c r="AP64" i="6"/>
  <c r="AO64" i="6"/>
  <c r="P64" i="6"/>
  <c r="M64" i="6"/>
  <c r="G64" i="6"/>
  <c r="A64" i="6"/>
  <c r="ET63" i="6"/>
  <c r="EO63" i="6"/>
  <c r="EJ63" i="6"/>
  <c r="EE63" i="6"/>
  <c r="DZ63" i="6"/>
  <c r="DM63" i="6"/>
  <c r="DL63" i="6"/>
  <c r="DK63" i="6"/>
  <c r="CY63" i="6"/>
  <c r="CX63" i="6"/>
  <c r="CW63" i="6"/>
  <c r="CV63" i="6"/>
  <c r="CU63" i="6"/>
  <c r="CT63" i="6"/>
  <c r="CS63" i="6"/>
  <c r="CR63" i="6"/>
  <c r="CQ63" i="6"/>
  <c r="CP63" i="6"/>
  <c r="CO63" i="6"/>
  <c r="CN63" i="6"/>
  <c r="CM63" i="6"/>
  <c r="CL63" i="6"/>
  <c r="CK63" i="6"/>
  <c r="CJ63" i="6"/>
  <c r="CI63" i="6"/>
  <c r="CH63" i="6"/>
  <c r="CG63" i="6"/>
  <c r="CF63" i="6"/>
  <c r="BX63" i="6"/>
  <c r="BS63" i="6"/>
  <c r="BN63" i="6"/>
  <c r="BI63" i="6"/>
  <c r="BD63" i="6"/>
  <c r="AQ63" i="6"/>
  <c r="AP63" i="6"/>
  <c r="AO63" i="6"/>
  <c r="AF63" i="6"/>
  <c r="AE63" i="6"/>
  <c r="M63" i="6"/>
  <c r="G63" i="6"/>
  <c r="A63" i="6"/>
  <c r="ET62" i="6"/>
  <c r="EO62" i="6"/>
  <c r="EJ62" i="6"/>
  <c r="EE62" i="6"/>
  <c r="DZ62" i="6"/>
  <c r="DM62" i="6"/>
  <c r="DL62" i="6"/>
  <c r="DK62" i="6"/>
  <c r="BX62" i="6"/>
  <c r="BS62" i="6"/>
  <c r="BN62" i="6"/>
  <c r="BI62" i="6"/>
  <c r="BD62" i="6"/>
  <c r="AQ62" i="6"/>
  <c r="AP62" i="6"/>
  <c r="AO62" i="6"/>
  <c r="M62" i="6"/>
  <c r="G62" i="6"/>
  <c r="A62" i="6"/>
  <c r="ET61" i="6"/>
  <c r="EO61" i="6"/>
  <c r="EJ61" i="6"/>
  <c r="EE61" i="6"/>
  <c r="DZ61" i="6"/>
  <c r="DM61" i="6"/>
  <c r="DL61" i="6"/>
  <c r="DK61" i="6"/>
  <c r="CY61" i="6"/>
  <c r="CX61" i="6"/>
  <c r="CW61" i="6"/>
  <c r="CV61" i="6"/>
  <c r="CU61" i="6"/>
  <c r="CT61" i="6"/>
  <c r="CS61" i="6"/>
  <c r="CR61" i="6"/>
  <c r="CQ61" i="6"/>
  <c r="CP61" i="6"/>
  <c r="CO61" i="6"/>
  <c r="CN61" i="6"/>
  <c r="CM61" i="6"/>
  <c r="CL61" i="6"/>
  <c r="CK61" i="6"/>
  <c r="CJ61" i="6"/>
  <c r="CI61" i="6"/>
  <c r="CH61" i="6"/>
  <c r="CG61" i="6"/>
  <c r="CF61" i="6"/>
  <c r="BX61" i="6"/>
  <c r="BS61" i="6"/>
  <c r="BN61" i="6"/>
  <c r="BI61" i="6"/>
  <c r="BD61" i="6"/>
  <c r="AQ61" i="6"/>
  <c r="AP61" i="6"/>
  <c r="AO61" i="6"/>
  <c r="AF61" i="6"/>
  <c r="AE61" i="6"/>
  <c r="M61" i="6"/>
  <c r="G61" i="6"/>
  <c r="A61" i="6"/>
  <c r="ET60" i="6"/>
  <c r="EO60" i="6"/>
  <c r="EJ60" i="6"/>
  <c r="EE60" i="6"/>
  <c r="DZ60" i="6"/>
  <c r="DM60" i="6"/>
  <c r="DL60" i="6"/>
  <c r="DK60" i="6"/>
  <c r="DA60" i="6"/>
  <c r="CZ60" i="6"/>
  <c r="CY60" i="6"/>
  <c r="CX60" i="6"/>
  <c r="CW60" i="6"/>
  <c r="CV60" i="6"/>
  <c r="CU60" i="6"/>
  <c r="CT60" i="6"/>
  <c r="CS60" i="6"/>
  <c r="CR60" i="6"/>
  <c r="CQ60" i="6"/>
  <c r="CP60" i="6"/>
  <c r="CO60" i="6"/>
  <c r="CN60" i="6"/>
  <c r="CM60" i="6"/>
  <c r="CL60" i="6"/>
  <c r="CK60" i="6"/>
  <c r="CJ60" i="6"/>
  <c r="CI60" i="6"/>
  <c r="CH60" i="6"/>
  <c r="CG60" i="6"/>
  <c r="CF60" i="6"/>
  <c r="BX60" i="6"/>
  <c r="BS60" i="6"/>
  <c r="BN60" i="6"/>
  <c r="BI60" i="6"/>
  <c r="BD60" i="6"/>
  <c r="AQ60" i="6"/>
  <c r="AP60" i="6"/>
  <c r="AO60" i="6"/>
  <c r="M60" i="6"/>
  <c r="G60" i="6"/>
  <c r="A60" i="6"/>
  <c r="ET59" i="6"/>
  <c r="EO59" i="6"/>
  <c r="EJ59" i="6"/>
  <c r="EE59" i="6"/>
  <c r="DZ59" i="6"/>
  <c r="DM59" i="6"/>
  <c r="DL59" i="6"/>
  <c r="DK59" i="6"/>
  <c r="DA59" i="6"/>
  <c r="CZ59" i="6"/>
  <c r="CY59" i="6"/>
  <c r="CX59" i="6"/>
  <c r="CW59" i="6"/>
  <c r="CV59" i="6"/>
  <c r="CU59" i="6"/>
  <c r="CT59" i="6"/>
  <c r="CS59" i="6"/>
  <c r="CR59" i="6"/>
  <c r="CQ59" i="6"/>
  <c r="CP59" i="6"/>
  <c r="CO59" i="6"/>
  <c r="CN59" i="6"/>
  <c r="CM59" i="6"/>
  <c r="CL59" i="6"/>
  <c r="CK59" i="6"/>
  <c r="CJ59" i="6"/>
  <c r="CI59" i="6"/>
  <c r="CH59" i="6"/>
  <c r="CG59" i="6"/>
  <c r="CF59" i="6"/>
  <c r="BX59" i="6"/>
  <c r="BS59" i="6"/>
  <c r="BN59" i="6"/>
  <c r="BI59" i="6"/>
  <c r="BD59" i="6"/>
  <c r="AQ59" i="6"/>
  <c r="AP59" i="6"/>
  <c r="AO59" i="6"/>
  <c r="M59" i="6"/>
  <c r="G59" i="6"/>
  <c r="A59" i="6"/>
  <c r="ET58" i="6"/>
  <c r="EO58" i="6"/>
  <c r="EJ58" i="6"/>
  <c r="EE58" i="6"/>
  <c r="DZ58" i="6"/>
  <c r="DM58" i="6"/>
  <c r="DL58" i="6"/>
  <c r="DK58" i="6"/>
  <c r="BX58" i="6"/>
  <c r="BS58" i="6"/>
  <c r="BN58" i="6"/>
  <c r="BI58" i="6"/>
  <c r="BD58" i="6"/>
  <c r="AQ58" i="6"/>
  <c r="AP58" i="6"/>
  <c r="AO58" i="6"/>
  <c r="AF58" i="6"/>
  <c r="AE58" i="6"/>
  <c r="M58" i="6"/>
  <c r="G58" i="6"/>
  <c r="A58" i="6"/>
  <c r="ET57" i="6"/>
  <c r="EO57" i="6"/>
  <c r="EJ57" i="6"/>
  <c r="EE57" i="6"/>
  <c r="DZ57" i="6"/>
  <c r="DM57" i="6"/>
  <c r="DL57" i="6"/>
  <c r="DK57" i="6"/>
  <c r="BX57" i="6"/>
  <c r="BS57" i="6"/>
  <c r="BN57" i="6"/>
  <c r="BI57" i="6"/>
  <c r="BD57" i="6"/>
  <c r="AQ57" i="6"/>
  <c r="AP57" i="6"/>
  <c r="AO57" i="6"/>
  <c r="M57" i="6"/>
  <c r="G57" i="6"/>
  <c r="A57" i="6"/>
  <c r="ET56" i="6"/>
  <c r="EO56" i="6"/>
  <c r="EJ56" i="6"/>
  <c r="EE56" i="6"/>
  <c r="DZ56" i="6"/>
  <c r="DM56" i="6"/>
  <c r="DL56" i="6"/>
  <c r="DK56" i="6"/>
  <c r="BX56" i="6"/>
  <c r="BS56" i="6"/>
  <c r="BN56" i="6"/>
  <c r="BI56" i="6"/>
  <c r="BD56" i="6"/>
  <c r="AQ56" i="6"/>
  <c r="AP56" i="6"/>
  <c r="AO56" i="6"/>
  <c r="P56" i="6"/>
  <c r="M56" i="6"/>
  <c r="G56" i="6"/>
  <c r="A56" i="6"/>
  <c r="ET55" i="6"/>
  <c r="EO55" i="6"/>
  <c r="EJ55" i="6"/>
  <c r="EE55" i="6"/>
  <c r="DZ55" i="6"/>
  <c r="DM55" i="6"/>
  <c r="DL55" i="6"/>
  <c r="DK55" i="6"/>
  <c r="BX55" i="6"/>
  <c r="BS55" i="6"/>
  <c r="BN55" i="6"/>
  <c r="BI55" i="6"/>
  <c r="BD55" i="6"/>
  <c r="AQ55" i="6"/>
  <c r="AP55" i="6"/>
  <c r="AO55" i="6"/>
  <c r="M55" i="6"/>
  <c r="G55" i="6"/>
  <c r="A55" i="6"/>
  <c r="ET54" i="6"/>
  <c r="EO54" i="6"/>
  <c r="EJ54" i="6"/>
  <c r="EE54" i="6"/>
  <c r="DZ54" i="6"/>
  <c r="DM54" i="6"/>
  <c r="DL54" i="6"/>
  <c r="DK54" i="6"/>
  <c r="BX54" i="6"/>
  <c r="BS54" i="6"/>
  <c r="BN54" i="6"/>
  <c r="BI54" i="6"/>
  <c r="BD54" i="6"/>
  <c r="AQ54" i="6"/>
  <c r="AP54" i="6"/>
  <c r="AO54" i="6"/>
  <c r="M54" i="6"/>
  <c r="G54" i="6"/>
  <c r="A54" i="6"/>
  <c r="ET53" i="6"/>
  <c r="EO53" i="6"/>
  <c r="EJ53" i="6"/>
  <c r="EE53" i="6"/>
  <c r="DZ53" i="6"/>
  <c r="DM53" i="6"/>
  <c r="DL53" i="6"/>
  <c r="DK53" i="6"/>
  <c r="BX53" i="6"/>
  <c r="BS53" i="6"/>
  <c r="BN53" i="6"/>
  <c r="BI53" i="6"/>
  <c r="BD53" i="6"/>
  <c r="AQ53" i="6"/>
  <c r="AP53" i="6"/>
  <c r="AO53" i="6"/>
  <c r="M53" i="6"/>
  <c r="G53" i="6"/>
  <c r="A53" i="6"/>
  <c r="ET52" i="6"/>
  <c r="EO52" i="6"/>
  <c r="EJ52" i="6"/>
  <c r="EE52" i="6"/>
  <c r="DZ52" i="6"/>
  <c r="DM52" i="6"/>
  <c r="DL52" i="6"/>
  <c r="DK52" i="6"/>
  <c r="BX52" i="6"/>
  <c r="BS52" i="6"/>
  <c r="BN52" i="6"/>
  <c r="BI52" i="6"/>
  <c r="BD52" i="6"/>
  <c r="AQ52" i="6"/>
  <c r="AP52" i="6"/>
  <c r="AO52" i="6"/>
  <c r="M52" i="6"/>
  <c r="G52" i="6"/>
  <c r="A52" i="6"/>
  <c r="ET51" i="6"/>
  <c r="EO51" i="6"/>
  <c r="EJ51" i="6"/>
  <c r="EE51" i="6"/>
  <c r="DZ51" i="6"/>
  <c r="DM51" i="6"/>
  <c r="DL51" i="6"/>
  <c r="DK51" i="6"/>
  <c r="BX51" i="6"/>
  <c r="BS51" i="6"/>
  <c r="BN51" i="6"/>
  <c r="BI51" i="6"/>
  <c r="BD51" i="6"/>
  <c r="AQ51" i="6"/>
  <c r="AP51" i="6"/>
  <c r="AO51" i="6"/>
  <c r="AF51" i="6"/>
  <c r="AE51" i="6"/>
  <c r="M51" i="6"/>
  <c r="G51" i="6"/>
  <c r="A51" i="6"/>
  <c r="ET50" i="6"/>
  <c r="EO50" i="6"/>
  <c r="EJ50" i="6"/>
  <c r="EE50" i="6"/>
  <c r="DZ50" i="6"/>
  <c r="DM50" i="6"/>
  <c r="DL50" i="6"/>
  <c r="DK50" i="6"/>
  <c r="BX50" i="6"/>
  <c r="BS50" i="6"/>
  <c r="BN50" i="6"/>
  <c r="BI50" i="6"/>
  <c r="BD50" i="6"/>
  <c r="AQ50" i="6"/>
  <c r="AP50" i="6"/>
  <c r="AO50" i="6"/>
  <c r="M50" i="6"/>
  <c r="G50" i="6"/>
  <c r="A50" i="6"/>
  <c r="ET49" i="6"/>
  <c r="EO49" i="6"/>
  <c r="EJ49" i="6"/>
  <c r="EE49" i="6"/>
  <c r="DZ49" i="6"/>
  <c r="DM49" i="6"/>
  <c r="DL49" i="6"/>
  <c r="DK49" i="6"/>
  <c r="CI49" i="6"/>
  <c r="CH49" i="6"/>
  <c r="CG49" i="6"/>
  <c r="CF49" i="6"/>
  <c r="BX49" i="6"/>
  <c r="BS49" i="6"/>
  <c r="BN49" i="6"/>
  <c r="BI49" i="6"/>
  <c r="BD49" i="6"/>
  <c r="AQ49" i="6"/>
  <c r="AP49" i="6"/>
  <c r="AO49" i="6"/>
  <c r="M49" i="6"/>
  <c r="G49" i="6"/>
  <c r="A49" i="6"/>
  <c r="ET48" i="6"/>
  <c r="EO48" i="6"/>
  <c r="EJ48" i="6"/>
  <c r="EE48" i="6"/>
  <c r="DZ48" i="6"/>
  <c r="DM48" i="6"/>
  <c r="DL48" i="6"/>
  <c r="DK48" i="6"/>
  <c r="BX48" i="6"/>
  <c r="BS48" i="6"/>
  <c r="BN48" i="6"/>
  <c r="BI48" i="6"/>
  <c r="BD48" i="6"/>
  <c r="AQ48" i="6"/>
  <c r="AP48" i="6"/>
  <c r="AO48" i="6"/>
  <c r="P48" i="6"/>
  <c r="M48" i="6"/>
  <c r="G48" i="6"/>
  <c r="A48" i="6"/>
  <c r="ET47" i="6"/>
  <c r="EO47" i="6"/>
  <c r="EJ47" i="6"/>
  <c r="EE47" i="6"/>
  <c r="DZ47" i="6"/>
  <c r="DM47" i="6"/>
  <c r="DL47" i="6"/>
  <c r="DK47" i="6"/>
  <c r="CI47" i="6"/>
  <c r="CH47" i="6"/>
  <c r="CG47" i="6"/>
  <c r="CF47" i="6"/>
  <c r="BX47" i="6"/>
  <c r="BS47" i="6"/>
  <c r="BN47" i="6"/>
  <c r="BI47" i="6"/>
  <c r="BD47" i="6"/>
  <c r="AQ47" i="6"/>
  <c r="AP47" i="6"/>
  <c r="AO47" i="6"/>
  <c r="AF47" i="6"/>
  <c r="AE47" i="6"/>
  <c r="M47" i="6"/>
  <c r="G47" i="6"/>
  <c r="A47" i="6"/>
  <c r="ET46" i="6"/>
  <c r="EO46" i="6"/>
  <c r="EJ46" i="6"/>
  <c r="EE46" i="6"/>
  <c r="DZ46" i="6"/>
  <c r="DM46" i="6"/>
  <c r="DL46" i="6"/>
  <c r="DK46" i="6"/>
  <c r="CM46" i="6"/>
  <c r="CL46" i="6"/>
  <c r="CK46" i="6"/>
  <c r="CJ46" i="6"/>
  <c r="CI46" i="6"/>
  <c r="CH46" i="6"/>
  <c r="CG46" i="6"/>
  <c r="CF46" i="6"/>
  <c r="BX46" i="6"/>
  <c r="BS46" i="6"/>
  <c r="BN46" i="6"/>
  <c r="BI46" i="6"/>
  <c r="BD46" i="6"/>
  <c r="AQ46" i="6"/>
  <c r="AP46" i="6"/>
  <c r="AO46" i="6"/>
  <c r="AF46" i="6"/>
  <c r="AE46" i="6"/>
  <c r="M46" i="6"/>
  <c r="G46" i="6"/>
  <c r="A46" i="6"/>
  <c r="ET45" i="6"/>
  <c r="EO45" i="6"/>
  <c r="EJ45" i="6"/>
  <c r="EE45" i="6"/>
  <c r="DZ45" i="6"/>
  <c r="DM45" i="6"/>
  <c r="DL45" i="6"/>
  <c r="DK45" i="6"/>
  <c r="DI45" i="6"/>
  <c r="DH45" i="6"/>
  <c r="DG45" i="6"/>
  <c r="DF45" i="6"/>
  <c r="DE45" i="6"/>
  <c r="DD45" i="6"/>
  <c r="DC45" i="6"/>
  <c r="DB45" i="6"/>
  <c r="DA45" i="6"/>
  <c r="CZ45" i="6"/>
  <c r="CY45" i="6"/>
  <c r="CX45" i="6"/>
  <c r="CW45" i="6"/>
  <c r="CV45" i="6"/>
  <c r="CU45" i="6"/>
  <c r="CT45" i="6"/>
  <c r="CS45" i="6"/>
  <c r="CR45" i="6"/>
  <c r="CQ45" i="6"/>
  <c r="CP45" i="6"/>
  <c r="CO45" i="6"/>
  <c r="CN45" i="6"/>
  <c r="CM45" i="6"/>
  <c r="CL45" i="6"/>
  <c r="CK45" i="6"/>
  <c r="CJ45" i="6"/>
  <c r="CI45" i="6"/>
  <c r="CH45" i="6"/>
  <c r="CG45" i="6"/>
  <c r="CF45" i="6"/>
  <c r="BX45" i="6"/>
  <c r="BS45" i="6"/>
  <c r="BN45" i="6"/>
  <c r="BI45" i="6"/>
  <c r="BD45" i="6"/>
  <c r="AQ45" i="6"/>
  <c r="AP45" i="6"/>
  <c r="AO45" i="6"/>
  <c r="AF45" i="6"/>
  <c r="AE45" i="6"/>
  <c r="M45" i="6"/>
  <c r="G45" i="6"/>
  <c r="A45" i="6"/>
  <c r="ET44" i="6"/>
  <c r="EO44" i="6"/>
  <c r="EJ44" i="6"/>
  <c r="EE44" i="6"/>
  <c r="DZ44" i="6"/>
  <c r="DM44" i="6"/>
  <c r="DL44" i="6"/>
  <c r="DK44" i="6"/>
  <c r="CW44" i="6"/>
  <c r="CV44" i="6"/>
  <c r="CU44" i="6"/>
  <c r="CT44" i="6"/>
  <c r="CS44" i="6"/>
  <c r="CR44" i="6"/>
  <c r="CQ44" i="6"/>
  <c r="CP44" i="6"/>
  <c r="CO44" i="6"/>
  <c r="CN44" i="6"/>
  <c r="CM44" i="6"/>
  <c r="CL44" i="6"/>
  <c r="CK44" i="6"/>
  <c r="CJ44" i="6"/>
  <c r="CI44" i="6"/>
  <c r="CH44" i="6"/>
  <c r="CG44" i="6"/>
  <c r="CF44" i="6"/>
  <c r="BX44" i="6"/>
  <c r="BS44" i="6"/>
  <c r="BN44" i="6"/>
  <c r="BI44" i="6"/>
  <c r="BD44" i="6"/>
  <c r="AQ44" i="6"/>
  <c r="AP44" i="6"/>
  <c r="AO44" i="6"/>
  <c r="AF44" i="6"/>
  <c r="AE44" i="6"/>
  <c r="M44" i="6"/>
  <c r="G44" i="6"/>
  <c r="A44" i="6"/>
  <c r="ET43" i="6"/>
  <c r="EO43" i="6"/>
  <c r="EJ43" i="6"/>
  <c r="EE43" i="6"/>
  <c r="DZ43" i="6"/>
  <c r="DM43" i="6"/>
  <c r="DL43" i="6"/>
  <c r="DK43" i="6"/>
  <c r="CG43" i="6"/>
  <c r="CF43" i="6"/>
  <c r="BX43" i="6"/>
  <c r="BS43" i="6"/>
  <c r="BN43" i="6"/>
  <c r="BI43" i="6"/>
  <c r="BD43" i="6"/>
  <c r="AQ43" i="6"/>
  <c r="AP43" i="6"/>
  <c r="AO43" i="6"/>
  <c r="M43" i="6"/>
  <c r="G43" i="6"/>
  <c r="A43" i="6"/>
  <c r="ET42" i="6"/>
  <c r="EO42" i="6"/>
  <c r="EJ42" i="6"/>
  <c r="EE42" i="6"/>
  <c r="DZ42" i="6"/>
  <c r="DM42" i="6"/>
  <c r="DL42" i="6"/>
  <c r="DK42" i="6"/>
  <c r="DE42" i="6"/>
  <c r="DD42" i="6"/>
  <c r="DC42" i="6"/>
  <c r="DB42" i="6"/>
  <c r="DA42" i="6"/>
  <c r="CZ42" i="6"/>
  <c r="CY42" i="6"/>
  <c r="CX42" i="6"/>
  <c r="CW42" i="6"/>
  <c r="CV42" i="6"/>
  <c r="CU42" i="6"/>
  <c r="CT42" i="6"/>
  <c r="CS42" i="6"/>
  <c r="CR42" i="6"/>
  <c r="CQ42" i="6"/>
  <c r="CP42" i="6"/>
  <c r="CO42" i="6"/>
  <c r="CN42" i="6"/>
  <c r="CM42" i="6"/>
  <c r="CL42" i="6"/>
  <c r="CK42" i="6"/>
  <c r="CJ42" i="6"/>
  <c r="CI42" i="6"/>
  <c r="CH42" i="6"/>
  <c r="CG42" i="6"/>
  <c r="CF42" i="6"/>
  <c r="BX42" i="6"/>
  <c r="BS42" i="6"/>
  <c r="BN42" i="6"/>
  <c r="BI42" i="6"/>
  <c r="BD42" i="6"/>
  <c r="AQ42" i="6"/>
  <c r="AP42" i="6"/>
  <c r="AO42" i="6"/>
  <c r="AF42" i="6"/>
  <c r="AE42" i="6"/>
  <c r="M42" i="6"/>
  <c r="G42" i="6"/>
  <c r="A42" i="6"/>
  <c r="ET41" i="6"/>
  <c r="EO41" i="6"/>
  <c r="EJ41" i="6"/>
  <c r="EE41" i="6"/>
  <c r="DZ41" i="6"/>
  <c r="DM41" i="6"/>
  <c r="DL41" i="6"/>
  <c r="DK41" i="6"/>
  <c r="CW41" i="6"/>
  <c r="CV41" i="6"/>
  <c r="CU41" i="6"/>
  <c r="CT41" i="6"/>
  <c r="CS41" i="6"/>
  <c r="CR41" i="6"/>
  <c r="CQ41" i="6"/>
  <c r="CP41" i="6"/>
  <c r="CO41" i="6"/>
  <c r="CN41" i="6"/>
  <c r="CM41" i="6"/>
  <c r="CL41" i="6"/>
  <c r="CK41" i="6"/>
  <c r="CJ41" i="6"/>
  <c r="CI41" i="6"/>
  <c r="CH41" i="6"/>
  <c r="CG41" i="6"/>
  <c r="CF41" i="6"/>
  <c r="BX41" i="6"/>
  <c r="BS41" i="6"/>
  <c r="BN41" i="6"/>
  <c r="BI41" i="6"/>
  <c r="BD41" i="6"/>
  <c r="AQ41" i="6"/>
  <c r="AP41" i="6"/>
  <c r="AO41" i="6"/>
  <c r="AF41" i="6"/>
  <c r="AE41" i="6"/>
  <c r="M41" i="6"/>
  <c r="G41" i="6"/>
  <c r="A41" i="6"/>
  <c r="ET40" i="6"/>
  <c r="EO40" i="6"/>
  <c r="EJ40" i="6"/>
  <c r="EE40" i="6"/>
  <c r="DZ40" i="6"/>
  <c r="DM40" i="6"/>
  <c r="DL40" i="6"/>
  <c r="DK40" i="6"/>
  <c r="DI40" i="6"/>
  <c r="DH40" i="6"/>
  <c r="DG40" i="6"/>
  <c r="DF40" i="6"/>
  <c r="DE40" i="6"/>
  <c r="DD40" i="6"/>
  <c r="DC40" i="6"/>
  <c r="DB40" i="6"/>
  <c r="DA40" i="6"/>
  <c r="CZ40" i="6"/>
  <c r="CY40" i="6"/>
  <c r="CX40" i="6"/>
  <c r="CW40" i="6"/>
  <c r="CV40" i="6"/>
  <c r="CU40" i="6"/>
  <c r="CT40" i="6"/>
  <c r="CS40" i="6"/>
  <c r="CR40" i="6"/>
  <c r="CQ40" i="6"/>
  <c r="CP40" i="6"/>
  <c r="CO40" i="6"/>
  <c r="CN40" i="6"/>
  <c r="CM40" i="6"/>
  <c r="CL40" i="6"/>
  <c r="CK40" i="6"/>
  <c r="CJ40" i="6"/>
  <c r="CI40" i="6"/>
  <c r="CH40" i="6"/>
  <c r="CG40" i="6"/>
  <c r="CF40" i="6"/>
  <c r="BX40" i="6"/>
  <c r="BS40" i="6"/>
  <c r="BN40" i="6"/>
  <c r="BI40" i="6"/>
  <c r="BD40" i="6"/>
  <c r="AQ40" i="6"/>
  <c r="AP40" i="6"/>
  <c r="AO40" i="6"/>
  <c r="AF40" i="6"/>
  <c r="AE40" i="6"/>
  <c r="M40" i="6"/>
  <c r="G40" i="6"/>
  <c r="A40" i="6"/>
  <c r="ET39" i="6"/>
  <c r="EO39" i="6"/>
  <c r="EJ39" i="6"/>
  <c r="EE39" i="6"/>
  <c r="DZ39" i="6"/>
  <c r="DM39" i="6"/>
  <c r="DL39" i="6"/>
  <c r="DK39" i="6"/>
  <c r="CO39" i="6"/>
  <c r="CN39" i="6"/>
  <c r="CM39" i="6"/>
  <c r="CL39" i="6"/>
  <c r="CK39" i="6"/>
  <c r="CJ39" i="6"/>
  <c r="CI39" i="6"/>
  <c r="CH39" i="6"/>
  <c r="CG39" i="6"/>
  <c r="CF39" i="6"/>
  <c r="BX39" i="6"/>
  <c r="BS39" i="6"/>
  <c r="BN39" i="6"/>
  <c r="BI39" i="6"/>
  <c r="BD39" i="6"/>
  <c r="AQ39" i="6"/>
  <c r="AP39" i="6"/>
  <c r="AO39" i="6"/>
  <c r="M39" i="6"/>
  <c r="G39" i="6"/>
  <c r="A39" i="6"/>
  <c r="ET38" i="6"/>
  <c r="EO38" i="6"/>
  <c r="EJ38" i="6"/>
  <c r="EE38" i="6"/>
  <c r="DZ38" i="6"/>
  <c r="DM38" i="6"/>
  <c r="DL38" i="6"/>
  <c r="DK38" i="6"/>
  <c r="CU38" i="6"/>
  <c r="CT38" i="6"/>
  <c r="CS38" i="6"/>
  <c r="CR38" i="6"/>
  <c r="CQ38" i="6"/>
  <c r="CP38" i="6"/>
  <c r="CO38" i="6"/>
  <c r="CN38" i="6"/>
  <c r="CM38" i="6"/>
  <c r="CL38" i="6"/>
  <c r="CK38" i="6"/>
  <c r="CJ38" i="6"/>
  <c r="CI38" i="6"/>
  <c r="CH38" i="6"/>
  <c r="CG38" i="6"/>
  <c r="CF38" i="6"/>
  <c r="BX38" i="6"/>
  <c r="BS38" i="6"/>
  <c r="BN38" i="6"/>
  <c r="BI38" i="6"/>
  <c r="BD38" i="6"/>
  <c r="AQ38" i="6"/>
  <c r="AP38" i="6"/>
  <c r="AO38" i="6"/>
  <c r="AF38" i="6"/>
  <c r="AE38" i="6"/>
  <c r="M38" i="6"/>
  <c r="G38" i="6"/>
  <c r="A38" i="6"/>
  <c r="ET37" i="6"/>
  <c r="EO37" i="6"/>
  <c r="EJ37" i="6"/>
  <c r="EE37" i="6"/>
  <c r="DZ37" i="6"/>
  <c r="DM37" i="6"/>
  <c r="DL37" i="6"/>
  <c r="DK37" i="6"/>
  <c r="DI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I37" i="6"/>
  <c r="CH37" i="6"/>
  <c r="CG37" i="6"/>
  <c r="CF37" i="6"/>
  <c r="BX37" i="6"/>
  <c r="BS37" i="6"/>
  <c r="BN37" i="6"/>
  <c r="BI37" i="6"/>
  <c r="BD37" i="6"/>
  <c r="AQ37" i="6"/>
  <c r="AP37" i="6"/>
  <c r="AO37" i="6"/>
  <c r="AF37" i="6"/>
  <c r="AE37" i="6"/>
  <c r="M37" i="6"/>
  <c r="G37" i="6"/>
  <c r="A37" i="6"/>
  <c r="ET36" i="6"/>
  <c r="EO36" i="6"/>
  <c r="EJ36" i="6"/>
  <c r="EE36" i="6"/>
  <c r="DZ36" i="6"/>
  <c r="DM36" i="6"/>
  <c r="DL36" i="6"/>
  <c r="DK36" i="6"/>
  <c r="DI36" i="6"/>
  <c r="DH36" i="6"/>
  <c r="DG36" i="6"/>
  <c r="DF36" i="6"/>
  <c r="DE36" i="6"/>
  <c r="DD36" i="6"/>
  <c r="DC36" i="6"/>
  <c r="DB36" i="6"/>
  <c r="DA36" i="6"/>
  <c r="CZ36" i="6"/>
  <c r="CY36" i="6"/>
  <c r="CX36" i="6"/>
  <c r="CW36" i="6"/>
  <c r="CV36" i="6"/>
  <c r="CU36" i="6"/>
  <c r="CT36" i="6"/>
  <c r="CS36" i="6"/>
  <c r="CR36" i="6"/>
  <c r="CQ36" i="6"/>
  <c r="CP36" i="6"/>
  <c r="CO36" i="6"/>
  <c r="CN36" i="6"/>
  <c r="CM36" i="6"/>
  <c r="CL36" i="6"/>
  <c r="CK36" i="6"/>
  <c r="CJ36" i="6"/>
  <c r="CI36" i="6"/>
  <c r="CH36" i="6"/>
  <c r="CG36" i="6"/>
  <c r="CF36" i="6"/>
  <c r="BX36" i="6"/>
  <c r="BS36" i="6"/>
  <c r="BN36" i="6"/>
  <c r="BI36" i="6"/>
  <c r="BD36" i="6"/>
  <c r="AQ36" i="6"/>
  <c r="AP36" i="6"/>
  <c r="AO36" i="6"/>
  <c r="AF36" i="6"/>
  <c r="AE36" i="6"/>
  <c r="M36" i="6"/>
  <c r="G36" i="6"/>
  <c r="A36" i="6"/>
  <c r="ET35" i="6"/>
  <c r="EO35" i="6"/>
  <c r="EJ35" i="6"/>
  <c r="EE35" i="6"/>
  <c r="DZ35" i="6"/>
  <c r="DM35" i="6"/>
  <c r="DL35" i="6"/>
  <c r="DK35" i="6"/>
  <c r="DI35" i="6"/>
  <c r="DH35" i="6"/>
  <c r="DG35" i="6"/>
  <c r="DF35" i="6"/>
  <c r="DE35" i="6"/>
  <c r="DD35" i="6"/>
  <c r="DC35" i="6"/>
  <c r="DB35" i="6"/>
  <c r="DA35" i="6"/>
  <c r="CZ35" i="6"/>
  <c r="CY35" i="6"/>
  <c r="CX35" i="6"/>
  <c r="CW35" i="6"/>
  <c r="CV35" i="6"/>
  <c r="CU35" i="6"/>
  <c r="CT35" i="6"/>
  <c r="CS35" i="6"/>
  <c r="CR35" i="6"/>
  <c r="CQ35" i="6"/>
  <c r="CP35" i="6"/>
  <c r="CO35" i="6"/>
  <c r="CN35" i="6"/>
  <c r="CM35" i="6"/>
  <c r="CL35" i="6"/>
  <c r="CK35" i="6"/>
  <c r="CJ35" i="6"/>
  <c r="CI35" i="6"/>
  <c r="CH35" i="6"/>
  <c r="CG35" i="6"/>
  <c r="CF35" i="6"/>
  <c r="BX35" i="6"/>
  <c r="BS35" i="6"/>
  <c r="BN35" i="6"/>
  <c r="BI35" i="6"/>
  <c r="BD35" i="6"/>
  <c r="AQ35" i="6"/>
  <c r="AP35" i="6"/>
  <c r="AO35" i="6"/>
  <c r="AF35" i="6"/>
  <c r="AE35" i="6"/>
  <c r="M35" i="6"/>
  <c r="G35" i="6"/>
  <c r="A35" i="6"/>
  <c r="ET34" i="6"/>
  <c r="EO34" i="6"/>
  <c r="EJ34" i="6"/>
  <c r="EE34" i="6"/>
  <c r="DZ34" i="6"/>
  <c r="DM34" i="6"/>
  <c r="DL34" i="6"/>
  <c r="DK34" i="6"/>
  <c r="DI34" i="6"/>
  <c r="DH34" i="6"/>
  <c r="DG34" i="6"/>
  <c r="DF34" i="6"/>
  <c r="DE34" i="6"/>
  <c r="DD34" i="6"/>
  <c r="DC34" i="6"/>
  <c r="DB34" i="6"/>
  <c r="DA34" i="6"/>
  <c r="CZ34" i="6"/>
  <c r="CY34" i="6"/>
  <c r="CX34" i="6"/>
  <c r="CW34" i="6"/>
  <c r="CV34" i="6"/>
  <c r="CU34" i="6"/>
  <c r="CT34" i="6"/>
  <c r="CS34" i="6"/>
  <c r="CR34" i="6"/>
  <c r="CQ34" i="6"/>
  <c r="CP34" i="6"/>
  <c r="CO34" i="6"/>
  <c r="CN34" i="6"/>
  <c r="CM34" i="6"/>
  <c r="CL34" i="6"/>
  <c r="CK34" i="6"/>
  <c r="CJ34" i="6"/>
  <c r="CI34" i="6"/>
  <c r="CH34" i="6"/>
  <c r="CG34" i="6"/>
  <c r="CF34" i="6"/>
  <c r="BX34" i="6"/>
  <c r="BS34" i="6"/>
  <c r="BN34" i="6"/>
  <c r="BI34" i="6"/>
  <c r="BD34" i="6"/>
  <c r="AQ34" i="6"/>
  <c r="AP34" i="6"/>
  <c r="AO34" i="6"/>
  <c r="AF34" i="6"/>
  <c r="AE34" i="6"/>
  <c r="M34" i="6"/>
  <c r="G34" i="6"/>
  <c r="A34" i="6"/>
  <c r="ET33" i="6"/>
  <c r="EO33" i="6"/>
  <c r="EJ33" i="6"/>
  <c r="EE33" i="6"/>
  <c r="DZ33" i="6"/>
  <c r="DM33" i="6"/>
  <c r="DL33" i="6"/>
  <c r="DK33" i="6"/>
  <c r="BX33" i="6"/>
  <c r="BS33" i="6"/>
  <c r="BN33" i="6"/>
  <c r="BI33" i="6"/>
  <c r="BD33" i="6"/>
  <c r="AQ33" i="6"/>
  <c r="AP33" i="6"/>
  <c r="AO33" i="6"/>
  <c r="AF33" i="6"/>
  <c r="AE33" i="6"/>
  <c r="M33" i="6"/>
  <c r="G33" i="6"/>
  <c r="A33" i="6"/>
  <c r="ET32" i="6"/>
  <c r="EO32" i="6"/>
  <c r="EJ32" i="6"/>
  <c r="EE32" i="6"/>
  <c r="DZ32" i="6"/>
  <c r="DM32" i="6"/>
  <c r="DL32" i="6"/>
  <c r="DK32" i="6"/>
  <c r="BX32" i="6"/>
  <c r="BS32" i="6"/>
  <c r="BN32" i="6"/>
  <c r="BI32" i="6"/>
  <c r="BD32" i="6"/>
  <c r="AQ32" i="6"/>
  <c r="AP32" i="6"/>
  <c r="AO32" i="6"/>
  <c r="AF32" i="6"/>
  <c r="AE32" i="6"/>
  <c r="M32" i="6"/>
  <c r="G32" i="6"/>
  <c r="A32" i="6"/>
  <c r="ET31" i="6"/>
  <c r="EO31" i="6"/>
  <c r="EJ31" i="6"/>
  <c r="EE31" i="6"/>
  <c r="DZ31" i="6"/>
  <c r="DM31" i="6"/>
  <c r="DL31" i="6"/>
  <c r="DK31" i="6"/>
  <c r="DC31" i="6"/>
  <c r="DB31" i="6"/>
  <c r="DA31" i="6"/>
  <c r="CZ31" i="6"/>
  <c r="CY31" i="6"/>
  <c r="CX31" i="6"/>
  <c r="CW31" i="6"/>
  <c r="CV31" i="6"/>
  <c r="CU31" i="6"/>
  <c r="CT31" i="6"/>
  <c r="CS31" i="6"/>
  <c r="CR31" i="6"/>
  <c r="CQ31" i="6"/>
  <c r="CP31" i="6"/>
  <c r="CO31" i="6"/>
  <c r="CN31" i="6"/>
  <c r="CM31" i="6"/>
  <c r="CL31" i="6"/>
  <c r="CK31" i="6"/>
  <c r="CJ31" i="6"/>
  <c r="CI31" i="6"/>
  <c r="CH31" i="6"/>
  <c r="CG31" i="6"/>
  <c r="CF31" i="6"/>
  <c r="BX31" i="6"/>
  <c r="BS31" i="6"/>
  <c r="BN31" i="6"/>
  <c r="BI31" i="6"/>
  <c r="BD31" i="6"/>
  <c r="AQ31" i="6"/>
  <c r="AP31" i="6"/>
  <c r="AO31" i="6"/>
  <c r="M31" i="6"/>
  <c r="G31" i="6"/>
  <c r="A31" i="6"/>
  <c r="ET30" i="6"/>
  <c r="EO30" i="6"/>
  <c r="EJ30" i="6"/>
  <c r="EE30" i="6"/>
  <c r="DZ30" i="6"/>
  <c r="DM30" i="6"/>
  <c r="DL30" i="6"/>
  <c r="DK30" i="6"/>
  <c r="CM30" i="6"/>
  <c r="CL30" i="6"/>
  <c r="CK30" i="6"/>
  <c r="CJ30" i="6"/>
  <c r="CI30" i="6"/>
  <c r="CH30" i="6"/>
  <c r="CG30" i="6"/>
  <c r="CF30" i="6"/>
  <c r="BX30" i="6"/>
  <c r="BS30" i="6"/>
  <c r="BN30" i="6"/>
  <c r="BI30" i="6"/>
  <c r="BD30" i="6"/>
  <c r="AQ30" i="6"/>
  <c r="AP30" i="6"/>
  <c r="AO30" i="6"/>
  <c r="M30" i="6"/>
  <c r="G30" i="6"/>
  <c r="A30" i="6"/>
  <c r="ET29" i="6"/>
  <c r="EO29" i="6"/>
  <c r="EJ29" i="6"/>
  <c r="EE29" i="6"/>
  <c r="DZ29" i="6"/>
  <c r="DM29" i="6"/>
  <c r="DL29" i="6"/>
  <c r="DK29" i="6"/>
  <c r="DC29" i="6"/>
  <c r="DB29" i="6"/>
  <c r="DA29" i="6"/>
  <c r="CZ29" i="6"/>
  <c r="CY29" i="6"/>
  <c r="CX29" i="6"/>
  <c r="CW29" i="6"/>
  <c r="CV29" i="6"/>
  <c r="CU29" i="6"/>
  <c r="CT29" i="6"/>
  <c r="CS29" i="6"/>
  <c r="CR29" i="6"/>
  <c r="CQ29" i="6"/>
  <c r="CP29" i="6"/>
  <c r="CO29" i="6"/>
  <c r="CN29" i="6"/>
  <c r="CM29" i="6"/>
  <c r="CL29" i="6"/>
  <c r="CK29" i="6"/>
  <c r="CJ29" i="6"/>
  <c r="CI29" i="6"/>
  <c r="CH29" i="6"/>
  <c r="CG29" i="6"/>
  <c r="CF29" i="6"/>
  <c r="BX29" i="6"/>
  <c r="BS29" i="6"/>
  <c r="BN29" i="6"/>
  <c r="BI29" i="6"/>
  <c r="BD29" i="6"/>
  <c r="AQ29" i="6"/>
  <c r="AP29" i="6"/>
  <c r="AO29" i="6"/>
  <c r="M29" i="6"/>
  <c r="G29" i="6"/>
  <c r="A29" i="6"/>
  <c r="ET28" i="6"/>
  <c r="EO28" i="6"/>
  <c r="EJ28" i="6"/>
  <c r="EE28" i="6"/>
  <c r="DZ28" i="6"/>
  <c r="DM28" i="6"/>
  <c r="DL28" i="6"/>
  <c r="DK28" i="6"/>
  <c r="CM28" i="6"/>
  <c r="CL28" i="6"/>
  <c r="CK28" i="6"/>
  <c r="CJ28" i="6"/>
  <c r="CI28" i="6"/>
  <c r="CH28" i="6"/>
  <c r="CG28" i="6"/>
  <c r="CF28" i="6"/>
  <c r="BX28" i="6"/>
  <c r="BS28" i="6"/>
  <c r="BN28" i="6"/>
  <c r="BI28" i="6"/>
  <c r="BD28" i="6"/>
  <c r="AQ28" i="6"/>
  <c r="AP28" i="6"/>
  <c r="AO28" i="6"/>
  <c r="M28" i="6"/>
  <c r="G28" i="6"/>
  <c r="A28" i="6"/>
  <c r="ET27" i="6"/>
  <c r="EO27" i="6"/>
  <c r="EJ27" i="6"/>
  <c r="EE27" i="6"/>
  <c r="DZ27" i="6"/>
  <c r="DM27" i="6"/>
  <c r="DL27" i="6"/>
  <c r="DK27" i="6"/>
  <c r="DC27" i="6"/>
  <c r="DB27" i="6"/>
  <c r="DA27" i="6"/>
  <c r="CZ27" i="6"/>
  <c r="CY27" i="6"/>
  <c r="CX27" i="6"/>
  <c r="CW27" i="6"/>
  <c r="CV27" i="6"/>
  <c r="CU27" i="6"/>
  <c r="CT27" i="6"/>
  <c r="CS27" i="6"/>
  <c r="CR27" i="6"/>
  <c r="CQ27" i="6"/>
  <c r="CP27" i="6"/>
  <c r="CO27" i="6"/>
  <c r="CN27" i="6"/>
  <c r="CM27" i="6"/>
  <c r="CL27" i="6"/>
  <c r="CK27" i="6"/>
  <c r="CJ27" i="6"/>
  <c r="CI27" i="6"/>
  <c r="CH27" i="6"/>
  <c r="CG27" i="6"/>
  <c r="CF27" i="6"/>
  <c r="BX27" i="6"/>
  <c r="BS27" i="6"/>
  <c r="BN27" i="6"/>
  <c r="BI27" i="6"/>
  <c r="BD27" i="6"/>
  <c r="AQ27" i="6"/>
  <c r="AP27" i="6"/>
  <c r="AO27" i="6"/>
  <c r="M27" i="6"/>
  <c r="G27" i="6"/>
  <c r="A27" i="6"/>
  <c r="ET26" i="6"/>
  <c r="EO26" i="6"/>
  <c r="EJ26" i="6"/>
  <c r="EE26" i="6"/>
  <c r="DZ26" i="6"/>
  <c r="DM26" i="6"/>
  <c r="DL26" i="6"/>
  <c r="DK26" i="6"/>
  <c r="CU26" i="6"/>
  <c r="CT26" i="6"/>
  <c r="CS26" i="6"/>
  <c r="CR26" i="6"/>
  <c r="CQ26" i="6"/>
  <c r="CP26" i="6"/>
  <c r="CO26" i="6"/>
  <c r="CN26" i="6"/>
  <c r="CM26" i="6"/>
  <c r="CL26" i="6"/>
  <c r="CK26" i="6"/>
  <c r="CJ26" i="6"/>
  <c r="CI26" i="6"/>
  <c r="CH26" i="6"/>
  <c r="CG26" i="6"/>
  <c r="CF26" i="6"/>
  <c r="BX26" i="6"/>
  <c r="BS26" i="6"/>
  <c r="BN26" i="6"/>
  <c r="BI26" i="6"/>
  <c r="BD26" i="6"/>
  <c r="AQ26" i="6"/>
  <c r="AP26" i="6"/>
  <c r="AO26" i="6"/>
  <c r="P26" i="6"/>
  <c r="M26" i="6"/>
  <c r="G26" i="6"/>
  <c r="A26" i="6"/>
  <c r="ET25" i="6"/>
  <c r="EO25" i="6"/>
  <c r="EJ25" i="6"/>
  <c r="EE25" i="6"/>
  <c r="DZ25" i="6"/>
  <c r="DM25" i="6"/>
  <c r="DL25" i="6"/>
  <c r="DK25" i="6"/>
  <c r="BX25" i="6"/>
  <c r="BS25" i="6"/>
  <c r="BN25" i="6"/>
  <c r="BI25" i="6"/>
  <c r="BD25" i="6"/>
  <c r="AQ25" i="6"/>
  <c r="AP25" i="6"/>
  <c r="AO25" i="6"/>
  <c r="AF25" i="6"/>
  <c r="AE25" i="6"/>
  <c r="P25" i="6"/>
  <c r="M25" i="6"/>
  <c r="G25" i="6"/>
  <c r="A25" i="6"/>
  <c r="ET24" i="6"/>
  <c r="EO24" i="6"/>
  <c r="EJ24" i="6"/>
  <c r="EE24" i="6"/>
  <c r="DZ24" i="6"/>
  <c r="DM24" i="6"/>
  <c r="DL24" i="6"/>
  <c r="DK24" i="6"/>
  <c r="CS24" i="6"/>
  <c r="CR24" i="6"/>
  <c r="CQ24" i="6"/>
  <c r="CP24" i="6"/>
  <c r="CO24" i="6"/>
  <c r="CN24" i="6"/>
  <c r="CM24" i="6"/>
  <c r="CL24" i="6"/>
  <c r="CK24" i="6"/>
  <c r="CJ24" i="6"/>
  <c r="CI24" i="6"/>
  <c r="CH24" i="6"/>
  <c r="CG24" i="6"/>
  <c r="CF24" i="6"/>
  <c r="BX24" i="6"/>
  <c r="BS24" i="6"/>
  <c r="BN24" i="6"/>
  <c r="BI24" i="6"/>
  <c r="BD24" i="6"/>
  <c r="AQ24" i="6"/>
  <c r="AP24" i="6"/>
  <c r="AO24" i="6"/>
  <c r="M24" i="6"/>
  <c r="G24" i="6"/>
  <c r="A24" i="6"/>
  <c r="ET23" i="6"/>
  <c r="EO23" i="6"/>
  <c r="EJ23" i="6"/>
  <c r="EE23" i="6"/>
  <c r="DZ23" i="6"/>
  <c r="DM23" i="6"/>
  <c r="DL23" i="6"/>
  <c r="DK23" i="6"/>
  <c r="CO23" i="6"/>
  <c r="CN23" i="6"/>
  <c r="CM23" i="6"/>
  <c r="CL23" i="6"/>
  <c r="CK23" i="6"/>
  <c r="CJ23" i="6"/>
  <c r="CI23" i="6"/>
  <c r="CH23" i="6"/>
  <c r="CG23" i="6"/>
  <c r="CF23" i="6"/>
  <c r="BX23" i="6"/>
  <c r="BS23" i="6"/>
  <c r="BN23" i="6"/>
  <c r="BI23" i="6"/>
  <c r="BD23" i="6"/>
  <c r="AQ23" i="6"/>
  <c r="AP23" i="6"/>
  <c r="AO23" i="6"/>
  <c r="M23" i="6"/>
  <c r="G23" i="6"/>
  <c r="A23" i="6"/>
  <c r="ET22" i="6"/>
  <c r="EO22" i="6"/>
  <c r="EJ22" i="6"/>
  <c r="EE22" i="6"/>
  <c r="DZ22" i="6"/>
  <c r="DM22" i="6"/>
  <c r="DL22" i="6"/>
  <c r="DK22" i="6"/>
  <c r="BX22" i="6"/>
  <c r="BS22" i="6"/>
  <c r="BN22" i="6"/>
  <c r="BI22" i="6"/>
  <c r="BD22" i="6"/>
  <c r="AQ22" i="6"/>
  <c r="AP22" i="6"/>
  <c r="AO22" i="6"/>
  <c r="AF22" i="6"/>
  <c r="AE22" i="6"/>
  <c r="P22" i="6"/>
  <c r="M22" i="6"/>
  <c r="G22" i="6"/>
  <c r="A22" i="6"/>
  <c r="ET21" i="6"/>
  <c r="EO21" i="6"/>
  <c r="EJ21" i="6"/>
  <c r="EE21" i="6"/>
  <c r="DZ21" i="6"/>
  <c r="DM21" i="6"/>
  <c r="DL21" i="6"/>
  <c r="DK21" i="6"/>
  <c r="DA21" i="6"/>
  <c r="CZ21" i="6"/>
  <c r="CY21" i="6"/>
  <c r="CX21" i="6"/>
  <c r="CW21" i="6"/>
  <c r="CV21" i="6"/>
  <c r="CU21" i="6"/>
  <c r="CT21" i="6"/>
  <c r="CS21" i="6"/>
  <c r="CR21" i="6"/>
  <c r="CQ21" i="6"/>
  <c r="CP21" i="6"/>
  <c r="CO21" i="6"/>
  <c r="CN21" i="6"/>
  <c r="CM21" i="6"/>
  <c r="CL21" i="6"/>
  <c r="CK21" i="6"/>
  <c r="CJ21" i="6"/>
  <c r="CI21" i="6"/>
  <c r="CH21" i="6"/>
  <c r="CG21" i="6"/>
  <c r="CF21" i="6"/>
  <c r="BX21" i="6"/>
  <c r="BS21" i="6"/>
  <c r="BN21" i="6"/>
  <c r="BI21" i="6"/>
  <c r="BD21" i="6"/>
  <c r="AQ21" i="6"/>
  <c r="AP21" i="6"/>
  <c r="AO21" i="6"/>
  <c r="M21" i="6"/>
  <c r="G21" i="6"/>
  <c r="A21" i="6"/>
  <c r="ET20" i="6"/>
  <c r="EO20" i="6"/>
  <c r="EJ20" i="6"/>
  <c r="EE20" i="6"/>
  <c r="DZ20" i="6"/>
  <c r="DM20" i="6"/>
  <c r="DL20" i="6"/>
  <c r="DK20" i="6"/>
  <c r="CK20" i="6"/>
  <c r="CJ20" i="6"/>
  <c r="CI20" i="6"/>
  <c r="CH20" i="6"/>
  <c r="CG20" i="6"/>
  <c r="CF20" i="6"/>
  <c r="BX20" i="6"/>
  <c r="BS20" i="6"/>
  <c r="BN20" i="6"/>
  <c r="BI20" i="6"/>
  <c r="BD20" i="6"/>
  <c r="AQ20" i="6"/>
  <c r="AP20" i="6"/>
  <c r="AO20" i="6"/>
  <c r="M20" i="6"/>
  <c r="G20" i="6"/>
  <c r="A20" i="6"/>
  <c r="ET19" i="6"/>
  <c r="EO19" i="6"/>
  <c r="EJ19" i="6"/>
  <c r="EE19" i="6"/>
  <c r="DZ19" i="6"/>
  <c r="DM19" i="6"/>
  <c r="DL19" i="6"/>
  <c r="DK19" i="6"/>
  <c r="CW19" i="6"/>
  <c r="CV19" i="6"/>
  <c r="CU19" i="6"/>
  <c r="CT19" i="6"/>
  <c r="CS19" i="6"/>
  <c r="CR19" i="6"/>
  <c r="CQ19" i="6"/>
  <c r="CP19" i="6"/>
  <c r="CO19" i="6"/>
  <c r="CN19" i="6"/>
  <c r="CM19" i="6"/>
  <c r="CL19" i="6"/>
  <c r="CK19" i="6"/>
  <c r="CJ19" i="6"/>
  <c r="CI19" i="6"/>
  <c r="CH19" i="6"/>
  <c r="CG19" i="6"/>
  <c r="CF19" i="6"/>
  <c r="BX19" i="6"/>
  <c r="BS19" i="6"/>
  <c r="BN19" i="6"/>
  <c r="BI19" i="6"/>
  <c r="BD19" i="6"/>
  <c r="AQ19" i="6"/>
  <c r="AP19" i="6"/>
  <c r="AO19" i="6"/>
  <c r="M19" i="6"/>
  <c r="G19" i="6"/>
  <c r="A19" i="6"/>
  <c r="ET18" i="6"/>
  <c r="EO18" i="6"/>
  <c r="EJ18" i="6"/>
  <c r="EE18" i="6"/>
  <c r="DZ18" i="6"/>
  <c r="DM18" i="6"/>
  <c r="DL18" i="6"/>
  <c r="DK18" i="6"/>
  <c r="CU18" i="6"/>
  <c r="CT18" i="6"/>
  <c r="CS18" i="6"/>
  <c r="CR18" i="6"/>
  <c r="CQ18" i="6"/>
  <c r="CP18" i="6"/>
  <c r="CO18" i="6"/>
  <c r="CN18" i="6"/>
  <c r="CM18" i="6"/>
  <c r="CL18" i="6"/>
  <c r="CK18" i="6"/>
  <c r="CJ18" i="6"/>
  <c r="CI18" i="6"/>
  <c r="CH18" i="6"/>
  <c r="CG18" i="6"/>
  <c r="CF18" i="6"/>
  <c r="BX18" i="6"/>
  <c r="BS18" i="6"/>
  <c r="BN18" i="6"/>
  <c r="BI18" i="6"/>
  <c r="BD18" i="6"/>
  <c r="AQ18" i="6"/>
  <c r="AP18" i="6"/>
  <c r="AO18" i="6"/>
  <c r="AF18" i="6"/>
  <c r="AE18" i="6"/>
  <c r="M18" i="6"/>
  <c r="G18" i="6"/>
  <c r="A18" i="6"/>
  <c r="ET17" i="6"/>
  <c r="EO17" i="6"/>
  <c r="EJ17" i="6"/>
  <c r="EE17" i="6"/>
  <c r="DZ17" i="6"/>
  <c r="DM17" i="6"/>
  <c r="DL17" i="6"/>
  <c r="DK17" i="6"/>
  <c r="CK17" i="6"/>
  <c r="CJ17" i="6"/>
  <c r="CI17" i="6"/>
  <c r="CH17" i="6"/>
  <c r="CG17" i="6"/>
  <c r="CF17" i="6"/>
  <c r="BX17" i="6"/>
  <c r="BS17" i="6"/>
  <c r="BN17" i="6"/>
  <c r="BI17" i="6"/>
  <c r="BD17" i="6"/>
  <c r="AQ17" i="6"/>
  <c r="AP17" i="6"/>
  <c r="AO17" i="6"/>
  <c r="M17" i="6"/>
  <c r="G17" i="6"/>
  <c r="A17" i="6"/>
  <c r="ET16" i="6"/>
  <c r="EO16" i="6"/>
  <c r="EJ16" i="6"/>
  <c r="EE16" i="6"/>
  <c r="DZ16" i="6"/>
  <c r="DM16" i="6"/>
  <c r="DL16" i="6"/>
  <c r="DK16" i="6"/>
  <c r="CM16" i="6"/>
  <c r="CL16" i="6"/>
  <c r="CK16" i="6"/>
  <c r="CJ16" i="6"/>
  <c r="CI16" i="6"/>
  <c r="CH16" i="6"/>
  <c r="CG16" i="6"/>
  <c r="CF16" i="6"/>
  <c r="BX16" i="6"/>
  <c r="BS16" i="6"/>
  <c r="BN16" i="6"/>
  <c r="BI16" i="6"/>
  <c r="BD16" i="6"/>
  <c r="AQ16" i="6"/>
  <c r="AP16" i="6"/>
  <c r="AO16" i="6"/>
  <c r="AF16" i="6"/>
  <c r="AE16" i="6"/>
  <c r="M16" i="6"/>
  <c r="G16" i="6"/>
  <c r="A16" i="6"/>
  <c r="ET15" i="6"/>
  <c r="EO15" i="6"/>
  <c r="EJ15" i="6"/>
  <c r="EE15" i="6"/>
  <c r="DZ15" i="6"/>
  <c r="DM15" i="6"/>
  <c r="DL15" i="6"/>
  <c r="DK15" i="6"/>
  <c r="DC15" i="6"/>
  <c r="DB15" i="6"/>
  <c r="DA15" i="6"/>
  <c r="CZ15" i="6"/>
  <c r="CY15" i="6"/>
  <c r="CX15" i="6"/>
  <c r="CW15" i="6"/>
  <c r="CV15" i="6"/>
  <c r="CU15" i="6"/>
  <c r="CT15" i="6"/>
  <c r="CS15" i="6"/>
  <c r="CR15" i="6"/>
  <c r="CQ15" i="6"/>
  <c r="CP15" i="6"/>
  <c r="CO15" i="6"/>
  <c r="CN15" i="6"/>
  <c r="CM15" i="6"/>
  <c r="CL15" i="6"/>
  <c r="CK15" i="6"/>
  <c r="CJ15" i="6"/>
  <c r="CI15" i="6"/>
  <c r="CH15" i="6"/>
  <c r="CG15" i="6"/>
  <c r="CF15" i="6"/>
  <c r="BX15" i="6"/>
  <c r="BS15" i="6"/>
  <c r="BN15" i="6"/>
  <c r="BI15" i="6"/>
  <c r="BD15" i="6"/>
  <c r="AQ15" i="6"/>
  <c r="AP15" i="6"/>
  <c r="AO15" i="6"/>
  <c r="M15" i="6"/>
  <c r="G15" i="6"/>
  <c r="A15" i="6"/>
  <c r="ET14" i="6"/>
  <c r="EO14" i="6"/>
  <c r="EJ14" i="6"/>
  <c r="EE14" i="6"/>
  <c r="DZ14" i="6"/>
  <c r="DM14" i="6"/>
  <c r="DL14" i="6"/>
  <c r="DK14" i="6"/>
  <c r="BX14" i="6"/>
  <c r="BS14" i="6"/>
  <c r="BN14" i="6"/>
  <c r="BI14" i="6"/>
  <c r="BD14" i="6"/>
  <c r="AQ14" i="6"/>
  <c r="AP14" i="6"/>
  <c r="AO14" i="6"/>
  <c r="AF14" i="6"/>
  <c r="AE14" i="6"/>
  <c r="M14" i="6"/>
  <c r="G14" i="6"/>
  <c r="A14" i="6"/>
  <c r="ET13" i="6"/>
  <c r="EO13" i="6"/>
  <c r="EJ13" i="6"/>
  <c r="EE13" i="6"/>
  <c r="DZ13" i="6"/>
  <c r="DM13" i="6"/>
  <c r="DL13" i="6"/>
  <c r="DK13" i="6"/>
  <c r="BX13" i="6"/>
  <c r="BS13" i="6"/>
  <c r="BN13" i="6"/>
  <c r="BI13" i="6"/>
  <c r="BD13" i="6"/>
  <c r="AQ13" i="6"/>
  <c r="AP13" i="6"/>
  <c r="AO13" i="6"/>
  <c r="M13" i="6"/>
  <c r="G13" i="6"/>
  <c r="A13" i="6"/>
  <c r="ET12" i="6"/>
  <c r="EO12" i="6"/>
  <c r="EJ12" i="6"/>
  <c r="EE12" i="6"/>
  <c r="DZ12" i="6"/>
  <c r="DM12" i="6"/>
  <c r="DL12" i="6"/>
  <c r="DK12" i="6"/>
  <c r="CM12" i="6"/>
  <c r="CL12" i="6"/>
  <c r="CK12" i="6"/>
  <c r="CJ12" i="6"/>
  <c r="CI12" i="6"/>
  <c r="CH12" i="6"/>
  <c r="CG12" i="6"/>
  <c r="CF12" i="6"/>
  <c r="BX12" i="6"/>
  <c r="BS12" i="6"/>
  <c r="BN12" i="6"/>
  <c r="BI12" i="6"/>
  <c r="BD12" i="6"/>
  <c r="AQ12" i="6"/>
  <c r="AP12" i="6"/>
  <c r="AO12" i="6"/>
  <c r="M12" i="6"/>
  <c r="G12" i="6"/>
  <c r="A12" i="6"/>
  <c r="ET11" i="6"/>
  <c r="EO11" i="6"/>
  <c r="EJ11" i="6"/>
  <c r="EE11" i="6"/>
  <c r="DZ11" i="6"/>
  <c r="DM11" i="6"/>
  <c r="DL11" i="6"/>
  <c r="DK11" i="6"/>
  <c r="BX11" i="6"/>
  <c r="BS11" i="6"/>
  <c r="BN11" i="6"/>
  <c r="BI11" i="6"/>
  <c r="BD11" i="6"/>
  <c r="AQ11" i="6"/>
  <c r="AP11" i="6"/>
  <c r="AO11" i="6"/>
  <c r="AF11" i="6"/>
  <c r="AE11" i="6"/>
  <c r="M11" i="6"/>
  <c r="G11" i="6"/>
  <c r="A11" i="6"/>
  <c r="ET10" i="6"/>
  <c r="EO10" i="6"/>
  <c r="EJ10" i="6"/>
  <c r="EE10" i="6"/>
  <c r="DZ10" i="6"/>
  <c r="DM10" i="6"/>
  <c r="DL10" i="6"/>
  <c r="DK10" i="6"/>
  <c r="CW10" i="6"/>
  <c r="CV10" i="6"/>
  <c r="CU10" i="6"/>
  <c r="CT10" i="6"/>
  <c r="CS10" i="6"/>
  <c r="CR10" i="6"/>
  <c r="CQ10" i="6"/>
  <c r="CP10" i="6"/>
  <c r="CO10" i="6"/>
  <c r="CN10" i="6"/>
  <c r="CM10" i="6"/>
  <c r="CL10" i="6"/>
  <c r="CK10" i="6"/>
  <c r="CJ10" i="6"/>
  <c r="CI10" i="6"/>
  <c r="CH10" i="6"/>
  <c r="CG10" i="6"/>
  <c r="CF10" i="6"/>
  <c r="BX10" i="6"/>
  <c r="BS10" i="6"/>
  <c r="BN10" i="6"/>
  <c r="BI10" i="6"/>
  <c r="BD10" i="6"/>
  <c r="AQ10" i="6"/>
  <c r="AP10" i="6"/>
  <c r="AO10" i="6"/>
  <c r="M10" i="6"/>
  <c r="G10" i="6"/>
  <c r="A10" i="6"/>
  <c r="ET9" i="6"/>
  <c r="EO9" i="6"/>
  <c r="EJ9" i="6"/>
  <c r="EE9" i="6"/>
  <c r="DZ9" i="6"/>
  <c r="DM9" i="6"/>
  <c r="DL9" i="6"/>
  <c r="DK9" i="6"/>
  <c r="BX9" i="6"/>
  <c r="BS9" i="6"/>
  <c r="BN9" i="6"/>
  <c r="BI9" i="6"/>
  <c r="BD9" i="6"/>
  <c r="AQ9" i="6"/>
  <c r="AP9" i="6"/>
  <c r="AO9" i="6"/>
  <c r="AF9" i="6"/>
  <c r="AE9" i="6"/>
  <c r="M9" i="6"/>
  <c r="G9" i="6"/>
  <c r="A9" i="6"/>
  <c r="ET8" i="6"/>
  <c r="EO8" i="6"/>
  <c r="EJ8" i="6"/>
  <c r="EE8" i="6"/>
  <c r="DZ8" i="6"/>
  <c r="DM8" i="6"/>
  <c r="DL8" i="6"/>
  <c r="DK8" i="6"/>
  <c r="BX8" i="6"/>
  <c r="BS8" i="6"/>
  <c r="BN8" i="6"/>
  <c r="BI8" i="6"/>
  <c r="BD8" i="6"/>
  <c r="AQ8" i="6"/>
  <c r="AP8" i="6"/>
  <c r="AO8" i="6"/>
  <c r="AF8" i="6"/>
  <c r="AE8" i="6"/>
  <c r="M8" i="6"/>
  <c r="G8" i="6"/>
  <c r="A8" i="6"/>
  <c r="ET7" i="6"/>
  <c r="EO7" i="6"/>
  <c r="EJ7" i="6"/>
  <c r="EE7" i="6"/>
  <c r="DZ7" i="6"/>
  <c r="DM7" i="6"/>
  <c r="DL7" i="6"/>
  <c r="DK7" i="6"/>
  <c r="BX7" i="6"/>
  <c r="BS7" i="6"/>
  <c r="BN7" i="6"/>
  <c r="BI7" i="6"/>
  <c r="BD7" i="6"/>
  <c r="AQ7" i="6"/>
  <c r="AP7" i="6"/>
  <c r="AO7" i="6"/>
  <c r="M7" i="6"/>
  <c r="G7" i="6"/>
  <c r="A7" i="6"/>
  <c r="ET6" i="6"/>
  <c r="EO6" i="6"/>
  <c r="EJ6" i="6"/>
  <c r="EE6" i="6"/>
  <c r="DZ6" i="6"/>
  <c r="DM6" i="6"/>
  <c r="DL6" i="6"/>
  <c r="DK6" i="6"/>
  <c r="DI6" i="6"/>
  <c r="DH6" i="6"/>
  <c r="DG6" i="6"/>
  <c r="DF6" i="6"/>
  <c r="DE6" i="6"/>
  <c r="DD6" i="6"/>
  <c r="DC6" i="6"/>
  <c r="DB6" i="6"/>
  <c r="DA6" i="6"/>
  <c r="CZ6" i="6"/>
  <c r="CY6" i="6"/>
  <c r="CX6" i="6"/>
  <c r="CW6" i="6"/>
  <c r="CV6" i="6"/>
  <c r="CU6" i="6"/>
  <c r="CT6" i="6"/>
  <c r="CS6" i="6"/>
  <c r="CR6" i="6"/>
  <c r="CQ6" i="6"/>
  <c r="CP6" i="6"/>
  <c r="CO6" i="6"/>
  <c r="CN6" i="6"/>
  <c r="CM6" i="6"/>
  <c r="CL6" i="6"/>
  <c r="CK6" i="6"/>
  <c r="CJ6" i="6"/>
  <c r="CI6" i="6"/>
  <c r="CH6" i="6"/>
  <c r="CG6" i="6"/>
  <c r="CF6" i="6"/>
  <c r="BX6" i="6"/>
  <c r="BS6" i="6"/>
  <c r="BN6" i="6"/>
  <c r="BI6" i="6"/>
  <c r="BD6" i="6"/>
  <c r="AQ6" i="6"/>
  <c r="AP6" i="6"/>
  <c r="AO6" i="6"/>
  <c r="M6" i="6"/>
  <c r="G6" i="6"/>
  <c r="A6" i="6"/>
  <c r="ET5" i="6"/>
  <c r="EO5" i="6"/>
  <c r="EJ5" i="6"/>
  <c r="EE5" i="6"/>
  <c r="DZ5" i="6"/>
  <c r="DM5" i="6"/>
  <c r="DL5" i="6"/>
  <c r="DK5" i="6"/>
  <c r="DI5" i="6"/>
  <c r="DH5" i="6"/>
  <c r="DG5" i="6"/>
  <c r="DF5" i="6"/>
  <c r="DE5" i="6"/>
  <c r="DD5" i="6"/>
  <c r="DC5" i="6"/>
  <c r="DB5" i="6"/>
  <c r="DA5" i="6"/>
  <c r="CZ5" i="6"/>
  <c r="CY5" i="6"/>
  <c r="CX5" i="6"/>
  <c r="CW5" i="6"/>
  <c r="CV5" i="6"/>
  <c r="CU5" i="6"/>
  <c r="CT5" i="6"/>
  <c r="CS5" i="6"/>
  <c r="CR5" i="6"/>
  <c r="CQ5" i="6"/>
  <c r="CP5" i="6"/>
  <c r="CO5" i="6"/>
  <c r="CN5" i="6"/>
  <c r="CM5" i="6"/>
  <c r="CL5" i="6"/>
  <c r="CK5" i="6"/>
  <c r="CJ5" i="6"/>
  <c r="CI5" i="6"/>
  <c r="CH5" i="6"/>
  <c r="CG5" i="6"/>
  <c r="CF5" i="6"/>
  <c r="BX5" i="6"/>
  <c r="BS5" i="6"/>
  <c r="BN5" i="6"/>
  <c r="BI5" i="6"/>
  <c r="BD5" i="6"/>
  <c r="AQ5" i="6"/>
  <c r="AP5" i="6"/>
  <c r="AO5" i="6"/>
  <c r="M5" i="6"/>
  <c r="G5" i="6"/>
  <c r="A5" i="6"/>
  <c r="ET4" i="6"/>
  <c r="EO4" i="6"/>
  <c r="EJ4" i="6"/>
  <c r="EE4" i="6"/>
  <c r="DZ4" i="6"/>
  <c r="DM4" i="6"/>
  <c r="DL4" i="6"/>
  <c r="DK4" i="6"/>
  <c r="DI4" i="6"/>
  <c r="DH4" i="6"/>
  <c r="DG4" i="6"/>
  <c r="DF4" i="6"/>
  <c r="DE4" i="6"/>
  <c r="DD4" i="6"/>
  <c r="DC4" i="6"/>
  <c r="DB4" i="6"/>
  <c r="DA4" i="6"/>
  <c r="CZ4" i="6"/>
  <c r="CY4" i="6"/>
  <c r="CX4" i="6"/>
  <c r="CW4" i="6"/>
  <c r="CV4" i="6"/>
  <c r="CU4" i="6"/>
  <c r="CT4" i="6"/>
  <c r="CS4" i="6"/>
  <c r="CR4" i="6"/>
  <c r="CQ4" i="6"/>
  <c r="CP4" i="6"/>
  <c r="CO4" i="6"/>
  <c r="CN4" i="6"/>
  <c r="CM4" i="6"/>
  <c r="CL4" i="6"/>
  <c r="CK4" i="6"/>
  <c r="CJ4" i="6"/>
  <c r="CI4" i="6"/>
  <c r="CH4" i="6"/>
  <c r="CG4" i="6"/>
  <c r="CF4" i="6"/>
  <c r="BX4" i="6"/>
  <c r="BS4" i="6"/>
  <c r="BN4" i="6"/>
  <c r="BI4" i="6"/>
  <c r="BD4" i="6"/>
  <c r="AQ4" i="6"/>
  <c r="AP4" i="6"/>
  <c r="AO4" i="6"/>
  <c r="M4" i="6"/>
  <c r="G4" i="6"/>
  <c r="A4" i="6"/>
  <c r="ET3" i="6"/>
  <c r="EO3" i="6"/>
  <c r="EJ3" i="6"/>
  <c r="EE3" i="6"/>
  <c r="DZ3" i="6"/>
  <c r="DM3" i="6"/>
  <c r="DL3" i="6"/>
  <c r="DK3" i="6"/>
  <c r="BX3" i="6"/>
  <c r="BS3" i="6"/>
  <c r="BN3" i="6"/>
  <c r="BI3" i="6"/>
  <c r="BD3" i="6"/>
  <c r="AQ3" i="6"/>
  <c r="AP3" i="6"/>
  <c r="AO3" i="6"/>
  <c r="M3" i="6"/>
  <c r="G3" i="6"/>
  <c r="A3" i="6"/>
  <c r="ET2" i="6"/>
  <c r="EO2" i="6"/>
  <c r="EJ2" i="6"/>
  <c r="EE2" i="6"/>
  <c r="DZ2" i="6"/>
  <c r="DM2" i="6"/>
  <c r="DL2" i="6"/>
  <c r="DK2" i="6"/>
  <c r="BX2" i="6"/>
  <c r="BS2" i="6"/>
  <c r="BN2" i="6"/>
  <c r="BI2" i="6"/>
  <c r="BD2" i="6"/>
  <c r="AQ2" i="6"/>
  <c r="AP2" i="6"/>
  <c r="AO2" i="6"/>
  <c r="AF2" i="6"/>
  <c r="AE2" i="6"/>
  <c r="M2" i="6"/>
  <c r="G2" i="6"/>
  <c r="A2" i="6"/>
</calcChain>
</file>

<file path=xl/sharedStrings.xml><?xml version="1.0" encoding="utf-8"?>
<sst xmlns="http://schemas.openxmlformats.org/spreadsheetml/2006/main" count="12787" uniqueCount="3853">
  <si>
    <t>Accession</t>
  </si>
  <si>
    <t>EEC12627.1</t>
  </si>
  <si>
    <t>EEC11084.1</t>
  </si>
  <si>
    <t>EEC04370.1</t>
  </si>
  <si>
    <t>EEC10156.1</t>
  </si>
  <si>
    <t>EEC10234.1</t>
  </si>
  <si>
    <t>EEC06619.1</t>
  </si>
  <si>
    <t>EEC11164.1</t>
  </si>
  <si>
    <t>EEC02148.1</t>
  </si>
  <si>
    <t>EEC20594.1</t>
  </si>
  <si>
    <t>EEC14187.1</t>
  </si>
  <si>
    <t>EEC19418.1</t>
  </si>
  <si>
    <t>EEC12044.1</t>
  </si>
  <si>
    <t>EEC10745.1</t>
  </si>
  <si>
    <t>AAM93664.1</t>
  </si>
  <si>
    <t>AAY66819.1</t>
  </si>
  <si>
    <t>EEC01472.1</t>
  </si>
  <si>
    <t>EEC11497.1</t>
  </si>
  <si>
    <t>EEC16392.1</t>
  </si>
  <si>
    <t>EEC05763.1</t>
  </si>
  <si>
    <t>AAY66704.1</t>
  </si>
  <si>
    <t>AAY66525.1</t>
  </si>
  <si>
    <t>EEC01412.1</t>
  </si>
  <si>
    <t>EEC09599.1</t>
  </si>
  <si>
    <t>description</t>
  </si>
  <si>
    <t>conserved hypothetical protein [Ixodes scapularis]</t>
  </si>
  <si>
    <t>hypothetical protein IscW_ISCW007105 [Ixodes scapularis]</t>
  </si>
  <si>
    <t>muscle myosin heavy chain, putative [Ixodes scapularis]</t>
  </si>
  <si>
    <t>conserved hypothetical protein, partial [Ixodes scapularis]</t>
  </si>
  <si>
    <t>NADH:CoQ oxidoreductase subunit B18, putative [Ixodes scapularis]</t>
  </si>
  <si>
    <t>lysine-specific histone demethylase, putative [Ixodes scapularis]</t>
  </si>
  <si>
    <t>inositol polyphosphate-1-phosphatase, putative [Ixodes scapularis]</t>
  </si>
  <si>
    <t>chaperone ATP11p, putative [Ixodes scapularis]</t>
  </si>
  <si>
    <t>double-cortin, putative [Ixodes scapularis]</t>
  </si>
  <si>
    <t>type 3 inositol 1,4,5-trisphosphate receptor, putative [Ixodes scapularis]</t>
  </si>
  <si>
    <t>hypothetical protein IscW_ISCW008643, partial [Ixodes scapularis]</t>
  </si>
  <si>
    <t>telomerase-binding protein EST1A, putative [Ixodes scapularis]</t>
  </si>
  <si>
    <t>putative 22.5 kDa secreted protein [Ixodes scapularis]</t>
  </si>
  <si>
    <t>putative secreted protein [Ixodes scapularis]</t>
  </si>
  <si>
    <t>secreted protein, putative [Ixodes scapularis]</t>
  </si>
  <si>
    <t>secreted protein, putative, partial [Ixodes scapularis]</t>
  </si>
  <si>
    <t>secreted salivary gland peptide, putative, partial [Ixodes scapularis]</t>
  </si>
  <si>
    <t>putative salivary secreted protein [Ixodes scapularis]</t>
  </si>
  <si>
    <t>secreted protein [Ixodes scapularis]</t>
  </si>
  <si>
    <t>hypothetical protein IscW_ISCW015830 [Ixodes scapularis]</t>
  </si>
  <si>
    <t>hypothetical protein IscW_ISCW007063 [Ixodes scapularis]</t>
  </si>
  <si>
    <t>FUNCTIONAL CATEGORY</t>
  </si>
  <si>
    <t>Cuticular (Chitin binding protein (Chitin_binding_4)</t>
  </si>
  <si>
    <t>Cytoskeletal</t>
  </si>
  <si>
    <t>Detoxification/antioxidant</t>
  </si>
  <si>
    <t>Enzyme</t>
  </si>
  <si>
    <t>Signaling</t>
  </si>
  <si>
    <t>Storage protein</t>
  </si>
  <si>
    <t>Tick histamine binding protein</t>
  </si>
  <si>
    <t>Tick specific protein</t>
  </si>
  <si>
    <t xml:space="preserve">Tick specific protein </t>
  </si>
  <si>
    <t>Tick specific protein (cysteine rich)</t>
  </si>
  <si>
    <t>Tick specific protein (leucine rich)</t>
  </si>
  <si>
    <t>Tick specific protein (serine rich)</t>
  </si>
  <si>
    <t>occurrence</t>
  </si>
  <si>
    <t>status</t>
  </si>
  <si>
    <t>0_0_1_</t>
  </si>
  <si>
    <t>EEC02823.1</t>
  </si>
  <si>
    <t>EEC11543.1</t>
  </si>
  <si>
    <t>EEC13690.1</t>
  </si>
  <si>
    <t>EEC09647.1</t>
  </si>
  <si>
    <t>AAV80782.1</t>
  </si>
  <si>
    <t>AAY66767.1</t>
  </si>
  <si>
    <t>EEC19195.1</t>
  </si>
  <si>
    <t>EEC17727.1</t>
  </si>
  <si>
    <t>EEC05986.1</t>
  </si>
  <si>
    <t>EEC04477.1</t>
  </si>
  <si>
    <t>AAM93648.1</t>
  </si>
  <si>
    <t>EEC18344.1</t>
  </si>
  <si>
    <t>EEC18671.1</t>
  </si>
  <si>
    <t>EEC15712.1</t>
  </si>
  <si>
    <t>AAY66555.1</t>
  </si>
  <si>
    <t>EEC14737.1</t>
  </si>
  <si>
    <t>monooxygenase, putative [Ixodes scapularis]</t>
  </si>
  <si>
    <t>alpha2-glucosyltransferase, putative [Ixodes scapularis]</t>
  </si>
  <si>
    <t>vacuolar sorting protein VPS24, putative, partial [Ixodes scapularis]</t>
  </si>
  <si>
    <t>apoptosis stimulating of P53, putative [Ixodes scapularis]</t>
  </si>
  <si>
    <t>putative secreted salivary gland peptide [Ixodes scapularis]</t>
  </si>
  <si>
    <t>putative secreted salivary protein [Ixodes scapularis]</t>
  </si>
  <si>
    <t>secreted salivary gland peptide, putative [Ixodes scapularis]</t>
  </si>
  <si>
    <t>hypothetical protein IscW_ISCW022921 [Ixodes scapularis]</t>
  </si>
  <si>
    <t>hypothetical protein IscW_ISCW004109 [Ixodes scapularis]</t>
  </si>
  <si>
    <t>hypothetical protein IscW_ISCW002924, partial [Ixodes scapularis]</t>
  </si>
  <si>
    <t>putative secreted protease inhibitor ISL1156_cluster318 [Ixodes scapularis]</t>
  </si>
  <si>
    <t>von Willebrand factor, putative [Ixodes scapularis]</t>
  </si>
  <si>
    <t>makorin, putative, partial [Ixodes scapularis]</t>
  </si>
  <si>
    <t>60S ribosomal protein L23, putative [Ixodes scapularis]</t>
  </si>
  <si>
    <t>hypothetical protein IscW_ISCW010781 [Ixodes scapularis]</t>
  </si>
  <si>
    <t>Heat shock protein</t>
  </si>
  <si>
    <t>Protease inhibitor (Kunitz/Bovine pancreatic trypsin inhibitor domain;) )</t>
  </si>
  <si>
    <t>Protease inhibitor (Trypsin Inhibitor like cysteine rich domain); TIL domain)</t>
  </si>
  <si>
    <t>Ribosomal protein</t>
  </si>
  <si>
    <t>0_1_0_</t>
  </si>
  <si>
    <t>AAY66553.1</t>
  </si>
  <si>
    <t>AAY66987.1</t>
  </si>
  <si>
    <t>EEC00744.1</t>
  </si>
  <si>
    <t>EEC02397.1</t>
  </si>
  <si>
    <t>EEC02399.1</t>
  </si>
  <si>
    <t>EEC03436.1</t>
  </si>
  <si>
    <t>EEC17055.1</t>
  </si>
  <si>
    <t>EEC17437.1</t>
  </si>
  <si>
    <t>secreted protein, partial [Ixodes scapularis]</t>
  </si>
  <si>
    <t>Tick specific protein (polyglutamine/lysine tail)</t>
  </si>
  <si>
    <t>glutathione peroxidase, putative [Ixodes scapularis]</t>
  </si>
  <si>
    <t>Detoxification/Antioxidant</t>
  </si>
  <si>
    <t>Tick specific protein (polyglutamine tail)</t>
  </si>
  <si>
    <t>hypothetical protein IscW_ISCW024106, partial [Ixodes scapularis]</t>
  </si>
  <si>
    <t>Tick specific protein (glutamate repeat motif)</t>
  </si>
  <si>
    <t>hypothetical protein IscW_ISCW022722 [Ixodes scapularis]</t>
  </si>
  <si>
    <t>Protease (M13 metalloprotease)</t>
  </si>
  <si>
    <t>inosine-uridine preferring nucleoside hydrolase, putative, partial [Ixodes scapularis]</t>
  </si>
  <si>
    <t>0_1_1_</t>
  </si>
  <si>
    <t>EEC17151.1</t>
  </si>
  <si>
    <t>EEC09495.1</t>
  </si>
  <si>
    <t>EEC11064.1</t>
  </si>
  <si>
    <t>AAY66550.1</t>
  </si>
  <si>
    <t>EEC14464.1</t>
  </si>
  <si>
    <t>EEC00903.1</t>
  </si>
  <si>
    <t>vesicle coat complex COPII, subunit SFB3, putative [Ixodes scapularis]</t>
  </si>
  <si>
    <t xml:space="preserve">Cuticular (Chitin binding Peritrophin-A domain) </t>
  </si>
  <si>
    <t>Cuticular (Chitin binding/Insect cuticle protein)</t>
  </si>
  <si>
    <t>cuticular protein, putative [Ixodes scapularis]</t>
  </si>
  <si>
    <t>putative secreted glycine rich salivary protein [Ixodes scapularis]</t>
  </si>
  <si>
    <t>Glycine rich protein</t>
  </si>
  <si>
    <t>glycine proline-rich secreted protein, putative [Ixodes scapularis]</t>
  </si>
  <si>
    <t>Glycine rich proteins (Glycine/proline rich/basic residue rich, highly conserved)</t>
  </si>
  <si>
    <t>1_0_1_</t>
  </si>
  <si>
    <t>AAY66685.1</t>
  </si>
  <si>
    <t>EEC07262.1</t>
  </si>
  <si>
    <t>EEC17564.1</t>
  </si>
  <si>
    <t>EEC11563.1</t>
  </si>
  <si>
    <t>EEC06563.1</t>
  </si>
  <si>
    <t>EEC09465.1</t>
  </si>
  <si>
    <t>EEC13579.1</t>
  </si>
  <si>
    <t>EEC03925.1</t>
  </si>
  <si>
    <t>Protease inhibitor</t>
  </si>
  <si>
    <t>putative secreted cystatin 2 [Ixodes scapularis]</t>
  </si>
  <si>
    <t>Protease inhibitor (Cystatin)</t>
  </si>
  <si>
    <t>secreted cystatin, putative [Ixodes scapularis]</t>
  </si>
  <si>
    <t>Protein synthesis</t>
  </si>
  <si>
    <t>GDI-1 GDP dissociation inhibitor, putative, partial [Ixodes scapularis]</t>
  </si>
  <si>
    <t>calreticulin, putative [Ixodes scapularis]</t>
  </si>
  <si>
    <t>heme lipoprotein precursor, putative [Ixodes scapularis]</t>
  </si>
  <si>
    <t>EEC01810.1</t>
  </si>
  <si>
    <t>EEC09701.1</t>
  </si>
  <si>
    <t>EEC00993.1</t>
  </si>
  <si>
    <t>EEC07075.1</t>
  </si>
  <si>
    <t>EEC07402.1</t>
  </si>
  <si>
    <t>AAY66821.1</t>
  </si>
  <si>
    <t>EEC14470.1</t>
  </si>
  <si>
    <t>EEC15718.1</t>
  </si>
  <si>
    <t>EEC15720.1</t>
  </si>
  <si>
    <t>EEC15723.1</t>
  </si>
  <si>
    <t>EEC03614.1</t>
  </si>
  <si>
    <t>EEC16446.1</t>
  </si>
  <si>
    <t>AAT75324.1</t>
  </si>
  <si>
    <t>EEC01647.1</t>
  </si>
  <si>
    <t>EEC11639.1</t>
  </si>
  <si>
    <t>EEC14892.1</t>
  </si>
  <si>
    <t>EEC19593.1</t>
  </si>
  <si>
    <t>EEC20460.1</t>
  </si>
  <si>
    <t>EEC01195.1</t>
  </si>
  <si>
    <t>paramyosin, putative [Ixodes scapularis]</t>
  </si>
  <si>
    <t>tropomyosin invertebrate, putative, partial [Ixodes scapularis]</t>
  </si>
  <si>
    <t>Cuticular (Chitin binding Peritrophin-A)</t>
  </si>
  <si>
    <t>Cuticular(Chitin binding Peritrophin-A )</t>
  </si>
  <si>
    <t>glycine rich protein [Ixodes scapularis]</t>
  </si>
  <si>
    <t>Glycine rich proteins</t>
  </si>
  <si>
    <t>salivary protein NPL-2, putative [Ixodes scapularis]</t>
  </si>
  <si>
    <t>histone H3, putative [Ixodes scapularis]</t>
  </si>
  <si>
    <t>transcription factor containing NAC and TS-N domains, putative [Ixodes scapularis]</t>
  </si>
  <si>
    <t>HSP70, partial [Ixodes scapularis]</t>
  </si>
  <si>
    <t>heat shock protein 70, putative, partial [Ixodes scapularis]</t>
  </si>
  <si>
    <t>heat shock protein, putative [Ixodes scapularis]</t>
  </si>
  <si>
    <t>heat shock protein, putative, partial [Ixodes scapularis]</t>
  </si>
  <si>
    <t>hypothetical protein IscW_ISCW000834 [Ixodes scapularis]</t>
  </si>
  <si>
    <t>1_1_0_</t>
  </si>
  <si>
    <t>AAY66716.1</t>
  </si>
  <si>
    <t>EEC20127.1</t>
  </si>
  <si>
    <t>AAY66603.1</t>
  </si>
  <si>
    <t>AAY66786.1</t>
  </si>
  <si>
    <t>EEC05916.1</t>
  </si>
  <si>
    <t>EEC20239.1</t>
  </si>
  <si>
    <t>EEC14604.1</t>
  </si>
  <si>
    <t>AAY66605.1</t>
  </si>
  <si>
    <t>AAL30373.1</t>
  </si>
  <si>
    <t>ADJ68002.1</t>
  </si>
  <si>
    <t>EEC01384.1</t>
  </si>
  <si>
    <t>EEC02794.1</t>
  </si>
  <si>
    <t>EEC03514.1</t>
  </si>
  <si>
    <t>EEC03517.1</t>
  </si>
  <si>
    <t>EEC03934.1</t>
  </si>
  <si>
    <t>EEC05710.1</t>
  </si>
  <si>
    <t>EEC05915.1</t>
  </si>
  <si>
    <t>EEC06076.1</t>
  </si>
  <si>
    <t>EEC08136.1</t>
  </si>
  <si>
    <t>EEC11984.1</t>
  </si>
  <si>
    <t>EEC12427.1</t>
  </si>
  <si>
    <t>EEC14639.1</t>
  </si>
  <si>
    <t>EEC20577.1</t>
  </si>
  <si>
    <t>EEC20578.1</t>
  </si>
  <si>
    <t>EEC12621.1</t>
  </si>
  <si>
    <t>EEC04237.1</t>
  </si>
  <si>
    <t>EEC01924.1</t>
  </si>
  <si>
    <t>EEC01927.1</t>
  </si>
  <si>
    <t>EEC01928.1</t>
  </si>
  <si>
    <t>EEC03470.1</t>
  </si>
  <si>
    <t>EEC03471.1</t>
  </si>
  <si>
    <t>EEC04043.1</t>
  </si>
  <si>
    <t>EEC04044.1</t>
  </si>
  <si>
    <t>EEC04674.1</t>
  </si>
  <si>
    <t>EEC04675.1</t>
  </si>
  <si>
    <t>EEC08503.1</t>
  </si>
  <si>
    <t>EEC09165.1</t>
  </si>
  <si>
    <t>EEC09166.1</t>
  </si>
  <si>
    <t>EEC14149.1</t>
  </si>
  <si>
    <t>EEC03688.1</t>
  </si>
  <si>
    <t>EEC05056.1</t>
  </si>
  <si>
    <t>EEC18473.1</t>
  </si>
  <si>
    <t>EEC02131.1</t>
  </si>
  <si>
    <t>EEC07171.1</t>
  </si>
  <si>
    <t>EEC13429.1</t>
  </si>
  <si>
    <t>EEC17118.1</t>
  </si>
  <si>
    <t>EEC14106.1</t>
  </si>
  <si>
    <t>EEC02656.1</t>
  </si>
  <si>
    <t>EEC06154.1</t>
  </si>
  <si>
    <t>EEC09556.1</t>
  </si>
  <si>
    <t>EEC09557.1</t>
  </si>
  <si>
    <t>EEC09558.1</t>
  </si>
  <si>
    <t>EEC00212.1</t>
  </si>
  <si>
    <t>EEC12401.1</t>
  </si>
  <si>
    <t>EEC13271.1</t>
  </si>
  <si>
    <t>EEC14178.1</t>
  </si>
  <si>
    <t>EEC06365.1</t>
  </si>
  <si>
    <t>EEC13528.1</t>
  </si>
  <si>
    <t>microplusin preprotein-like [Ixodes scapularis]</t>
  </si>
  <si>
    <t>Antimicrobial</t>
  </si>
  <si>
    <t>ricinusin, putative [Ixodes scapularis]</t>
  </si>
  <si>
    <t>thioredoxin-dependent peroxide reductase [Ixodes scapularis]</t>
  </si>
  <si>
    <t>mitochondrial truncated thioredoxin-dependent peroxide reductase precursor, partial [Ixodes scapularis]</t>
  </si>
  <si>
    <t>malate dehydrogenase, putative [Ixodes scapularis]</t>
  </si>
  <si>
    <t>chaperonin subunit, putative [Ixodes scapularis]</t>
  </si>
  <si>
    <t>putative salivary protein, partial [Ixodes scapularis]</t>
  </si>
  <si>
    <t>Blood clotting</t>
  </si>
  <si>
    <t>actin, partial [Ixodes scapularis]</t>
  </si>
  <si>
    <t>alpha tubulin [Ixodes scapularis]</t>
  </si>
  <si>
    <t>alpha tubulin, putative [Ixodes scapularis]</t>
  </si>
  <si>
    <t>beta tubulin [Ixodes scapularis]</t>
  </si>
  <si>
    <t>actin, putative, partial [Ixodes scapularis]</t>
  </si>
  <si>
    <t>beta-tubulin, putative [Ixodes scapularis]</t>
  </si>
  <si>
    <t>beta tubulin, putative, partial [Ixodes scapularis]</t>
  </si>
  <si>
    <t>alpha-tubulin, putative [Ixodes scapularis]</t>
  </si>
  <si>
    <t>beta-tubulin, putative, partial [Ixodes scapularis]</t>
  </si>
  <si>
    <t>RAS protein, putative, partial [Ixodes scapularis]</t>
  </si>
  <si>
    <t>cuticle protein, putative [Ixodes scapularis]</t>
  </si>
  <si>
    <t>Cuticular (insect cuticle protein/chitin binding)</t>
  </si>
  <si>
    <t>structural constituent of cuticle, putative [Ixodes scapularis]</t>
  </si>
  <si>
    <t>cuticular protein, putative, partial [Ixodes scapularis]</t>
  </si>
  <si>
    <t>Cuticular (insect cuticle protein/chitin binding)/35-36 amino acid motif known as the R_R</t>
  </si>
  <si>
    <t>Heat shock proteins</t>
  </si>
  <si>
    <t>Hsp90 protein, putative [Ixodes scapularis]</t>
  </si>
  <si>
    <t>ATP synthase subunit alpha, sodium ion specific, putative [Ixodes scapularis]</t>
  </si>
  <si>
    <t>glyceraldehyde 3-phosphate dehydrogenase, putative [Ixodes scapularis]</t>
  </si>
  <si>
    <t>triosephosphate isomerase, putative [Ixodes scapularis]</t>
  </si>
  <si>
    <t>F0F1-type ATP synthase, beta subunit, putative [Ixodes scapularis]</t>
  </si>
  <si>
    <t>multifunctional chaperone, putative [Ixodes scapularis]</t>
  </si>
  <si>
    <t>Histone</t>
  </si>
  <si>
    <t>Core histone H2A/H2B/H3/H4 [Ixodes scapularis]</t>
  </si>
  <si>
    <t>histone 2A [Ixodes scapularis]</t>
  </si>
  <si>
    <t>histone H2B, putative [Ixodes scapularis]</t>
  </si>
  <si>
    <t>histone H4, putative [Ixodes scapularis]</t>
  </si>
  <si>
    <t>40S ribosomal protein S27A, putative [Ixodes scapularis]</t>
  </si>
  <si>
    <t>translation initiation factor if-2, putative, partial [Ixodes scapularis]</t>
  </si>
  <si>
    <t>translation elongation factor EF-1 alpha/Tu, putative [Ixodes scapularis]</t>
  </si>
  <si>
    <t>ubiquitin/40S ribosomal protein S27A fusion, putative [Ixodes scapularis]</t>
  </si>
  <si>
    <t>hypothetical protein IscW_ISCW004438 [Ixodes scapularis]</t>
  </si>
  <si>
    <t>Tick specific proteins</t>
  </si>
  <si>
    <t>Protease</t>
  </si>
  <si>
    <t>1_1_1_</t>
  </si>
  <si>
    <t>AAK97814.1</t>
  </si>
  <si>
    <t>glutathione peroxidase [Ixodes scapularis]</t>
  </si>
  <si>
    <t>AAM93645.1</t>
  </si>
  <si>
    <t>alpha-2-macroglobulin, partial [Ixodes scapularis]</t>
  </si>
  <si>
    <t>AAO85923.1</t>
  </si>
  <si>
    <t>Is6 [Ixodes scapularis]</t>
  </si>
  <si>
    <t>AAV63539.1</t>
  </si>
  <si>
    <t>fed tick salivary protein 5 [Ixodes scapularis]</t>
  </si>
  <si>
    <t>AAV80788.1</t>
  </si>
  <si>
    <t>AAV80791.1</t>
  </si>
  <si>
    <t>AAY66581.1</t>
  </si>
  <si>
    <t>AAY66588.1</t>
  </si>
  <si>
    <t>angiopoietin-like protein, partial [Ixodes scapularis]</t>
  </si>
  <si>
    <t>AAY66722.1</t>
  </si>
  <si>
    <t>salivary selenoprotein M precursor [Ixodes scapularis]</t>
  </si>
  <si>
    <t>AAY66814.1</t>
  </si>
  <si>
    <t>selenium dependent salivary glutathione peroxidase [Ixodes scapularis]</t>
  </si>
  <si>
    <t>AAY66847.1</t>
  </si>
  <si>
    <t>superoxide dismutase Cu-Zn [Ixodes scapularis]</t>
  </si>
  <si>
    <t>AAY66852.1</t>
  </si>
  <si>
    <t>ADP/ATP translocase [Ixodes scapularis]</t>
  </si>
  <si>
    <t>AAY66864.1</t>
  </si>
  <si>
    <t>cytoplasmic cystatin [Ixodes scapularis]</t>
  </si>
  <si>
    <t>AAY66869.1</t>
  </si>
  <si>
    <t>NADH dehydrogenase 1 alpha subcomplex [Ixodes scapularis]</t>
  </si>
  <si>
    <t>AAY66872.1</t>
  </si>
  <si>
    <t>ATP synthase D chain [Ixodes scapularis]</t>
  </si>
  <si>
    <t>AAY66877.1</t>
  </si>
  <si>
    <t>nonmuscle myosin essential light chain [Ixodes scapularis]</t>
  </si>
  <si>
    <t>AAY66885.1</t>
  </si>
  <si>
    <t>ribosomal protein S18, partial [Ixodes scapularis]</t>
  </si>
  <si>
    <t>AAY66899.1</t>
  </si>
  <si>
    <t>ribosomal protein S12 [Ixodes scapularis]</t>
  </si>
  <si>
    <t>AAY66912.1</t>
  </si>
  <si>
    <t>putative heat shock-related protein [Ixodes scapularis]</t>
  </si>
  <si>
    <t>AAY66963.1</t>
  </si>
  <si>
    <t>40S ribosomal protein S7-like, partial [Ixodes scapularis]</t>
  </si>
  <si>
    <t>AAY66965.1</t>
  </si>
  <si>
    <t>40S ribosomal protein S30 [Ixodes scapularis]</t>
  </si>
  <si>
    <t>AAY66973.1</t>
  </si>
  <si>
    <t>protein disulfide-isomerase [Ixodes scapularis]</t>
  </si>
  <si>
    <t>AAY66982.1</t>
  </si>
  <si>
    <t>cyclophilin A [Ixodes scapularis]</t>
  </si>
  <si>
    <t>AAY66986.1</t>
  </si>
  <si>
    <t>F1F0-type ATP synthase subunit g [Ixodes scapularis]</t>
  </si>
  <si>
    <t>AEE89467.1</t>
  </si>
  <si>
    <t>salivary protein antigen P23 [Ixodes scapularis]</t>
  </si>
  <si>
    <t>AID54718.1</t>
  </si>
  <si>
    <t>blood meal-induced serine protease inhibitor [Ixodes scapularis]</t>
  </si>
  <si>
    <t>EEC00135.1</t>
  </si>
  <si>
    <t>alkaline phosphatase, putative [Ixodes scapularis]</t>
  </si>
  <si>
    <t>EEC00164.1</t>
  </si>
  <si>
    <t>ATP synthase D chain, putative [Ixodes scapularis]</t>
  </si>
  <si>
    <t>EEC00200.1</t>
  </si>
  <si>
    <t>ATP synthase F chain [Ixodes scapularis]</t>
  </si>
  <si>
    <t>EEC00374.1</t>
  </si>
  <si>
    <t>EEC00400.1</t>
  </si>
  <si>
    <t>protein hu-li tai shao, putative [Ixodes scapularis]</t>
  </si>
  <si>
    <t>EEC00426.1</t>
  </si>
  <si>
    <t>EEC00524.1</t>
  </si>
  <si>
    <t>myosin heavy chain, skeletal muscle or cardiac muscle, putative [Ixodes scapularis]</t>
  </si>
  <si>
    <t>EEC00570.1</t>
  </si>
  <si>
    <t>spectrin alpha chain, putative [Ixodes scapularis]</t>
  </si>
  <si>
    <t>EEC00593.1</t>
  </si>
  <si>
    <t>meprin A metalloprotease, putative [Ixodes scapularis]</t>
  </si>
  <si>
    <t>EEC00594.1</t>
  </si>
  <si>
    <t>EEC00620.1</t>
  </si>
  <si>
    <t>EEC00630.1</t>
  </si>
  <si>
    <t>EEC00639.1</t>
  </si>
  <si>
    <t>40S ribosomal protein S30, putative [Ixodes scapularis]</t>
  </si>
  <si>
    <t>EEC00674.1</t>
  </si>
  <si>
    <t>anhydro-N-acetylmuramic acid kinase, putative [Ixodes scapularis]</t>
  </si>
  <si>
    <t>EEC00680.1</t>
  </si>
  <si>
    <t>actin, putative [Ixodes scapularis]</t>
  </si>
  <si>
    <t>EEC00725.1</t>
  </si>
  <si>
    <t>thioredoxin H2 protein, putative [Ixodes scapularis]</t>
  </si>
  <si>
    <t>EEC00727.1</t>
  </si>
  <si>
    <t>EEC00832.1</t>
  </si>
  <si>
    <t>sorting nexin, putative [Ixodes scapularis]</t>
  </si>
  <si>
    <t>EEC00876.1</t>
  </si>
  <si>
    <t>lamin, putative [Ixodes scapularis]</t>
  </si>
  <si>
    <t>EEC00912.1</t>
  </si>
  <si>
    <t>homocysteine S-methyltransferase, putative [Ixodes scapularis]</t>
  </si>
  <si>
    <t>EEC00917.1</t>
  </si>
  <si>
    <t>acid methyltransferase, putative [Ixodes scapularis]</t>
  </si>
  <si>
    <t>EEC01000.1</t>
  </si>
  <si>
    <t>manganese superoxide dismutase, putative, partial [Ixodes scapularis]</t>
  </si>
  <si>
    <t>EEC01013.1</t>
  </si>
  <si>
    <t>serine protease, putative [Ixodes scapularis]</t>
  </si>
  <si>
    <t>EEC01026.1</t>
  </si>
  <si>
    <t>EEC01057.1</t>
  </si>
  <si>
    <t>hypothetical protein IscW_ISCW015904 [Ixodes scapularis]</t>
  </si>
  <si>
    <t>EEC01072.1</t>
  </si>
  <si>
    <t>beta-1,4-mannosyl-glycoprotein beta-1,4-N-acetylglucosaminyl-transferase, putative [Ixodes scapularis]</t>
  </si>
  <si>
    <t>EEC01091.1</t>
  </si>
  <si>
    <t>lumican, putative [Ixodes scapularis]</t>
  </si>
  <si>
    <t>EEC01138.1</t>
  </si>
  <si>
    <t>medium-chain acyl-CoA dehydrogenase, putative [Ixodes scapularis]</t>
  </si>
  <si>
    <t>EEC01200.1</t>
  </si>
  <si>
    <t>D-3-phosphoglycerate dehydrogenase, putative, partial [Ixodes scapularis]</t>
  </si>
  <si>
    <t>EEC01266.1</t>
  </si>
  <si>
    <t>hypothetical protein IscW_ISCW000172 [Ixodes scapularis]</t>
  </si>
  <si>
    <t>EEC01294.1</t>
  </si>
  <si>
    <t>calmodulin, putative [Ixodes scapularis]</t>
  </si>
  <si>
    <t>EEC01310.1</t>
  </si>
  <si>
    <t>EEC01318.1</t>
  </si>
  <si>
    <t>chaperonin complex component, TCP-1 gamma subunit, putative [Ixodes scapularis]</t>
  </si>
  <si>
    <t>EEC01366.1</t>
  </si>
  <si>
    <t>40S ribosomal protein S7, putative [Ixodes scapularis]</t>
  </si>
  <si>
    <t>EEC01368.1</t>
  </si>
  <si>
    <t>EEC01375.1</t>
  </si>
  <si>
    <t>EEC01434.1</t>
  </si>
  <si>
    <t>thrombin inhibitor, putative [Ixodes scapularis]</t>
  </si>
  <si>
    <t>EEC01463.1</t>
  </si>
  <si>
    <t>glutamate dehydrogenase, putative [Ixodes scapularis]</t>
  </si>
  <si>
    <t>EEC01536.1</t>
  </si>
  <si>
    <t>hypothetical protein IscW_ISCW001139 [Ixodes scapularis]</t>
  </si>
  <si>
    <t>EEC01538.1</t>
  </si>
  <si>
    <t>secreted GGY protein, putative [Ixodes scapularis]</t>
  </si>
  <si>
    <t>EEC01554.1</t>
  </si>
  <si>
    <t>thioredoxin domain-containing protein, putative [Ixodes scapularis]</t>
  </si>
  <si>
    <t>EEC01575.1</t>
  </si>
  <si>
    <t>hypothetical protein IscW_ISCW001652 [Ixodes scapularis]</t>
  </si>
  <si>
    <t>EEC01576.1</t>
  </si>
  <si>
    <t>EEC01613.1</t>
  </si>
  <si>
    <t>protein disulfide isomerase, putative [Ixodes scapularis]</t>
  </si>
  <si>
    <t>EEC01614.1</t>
  </si>
  <si>
    <t>janus-A, putative [Ixodes scapularis]</t>
  </si>
  <si>
    <t>EEC01653.1</t>
  </si>
  <si>
    <t>S-adenosylhomocysteine hydrolase, putative [Ixodes scapularis]</t>
  </si>
  <si>
    <t>EEC01729.1</t>
  </si>
  <si>
    <t>Mapmodulin, putative [Ixodes scapularis]</t>
  </si>
  <si>
    <t>EEC01730.1</t>
  </si>
  <si>
    <t>EEC01745.1</t>
  </si>
  <si>
    <t>processing peptidase beta subunit, putative [Ixodes scapularis]</t>
  </si>
  <si>
    <t>EEC01763.1</t>
  </si>
  <si>
    <t>3-phosphoglycerate kinase, putative [Ixodes scapularis]</t>
  </si>
  <si>
    <t>EEC01767.1</t>
  </si>
  <si>
    <t>proline and glutamine-rich splicing factor (SFPQ), putative [Ixodes scapularis]</t>
  </si>
  <si>
    <t>EEC01793.1</t>
  </si>
  <si>
    <t>EEC01796.1</t>
  </si>
  <si>
    <t>translation initiation factor 4F, helicase subunit, putative, partial [Ixodes scapularis]</t>
  </si>
  <si>
    <t>EEC01895.1</t>
  </si>
  <si>
    <t>hemolin, putative, partial [Ixodes scapularis]</t>
  </si>
  <si>
    <t>EEC01921.1</t>
  </si>
  <si>
    <t>EEC01925.1</t>
  </si>
  <si>
    <t>EEC01926.1</t>
  </si>
  <si>
    <t>EEC01936.1</t>
  </si>
  <si>
    <t>chitinase, putative [Ixodes scapularis]</t>
  </si>
  <si>
    <t>EEC02000.1</t>
  </si>
  <si>
    <t>voltage-dependent anion-selective channel, putative [Ixodes scapularis]</t>
  </si>
  <si>
    <t>EEC02047.1</t>
  </si>
  <si>
    <t>prohibitin, putative [Ixodes scapularis]</t>
  </si>
  <si>
    <t>EEC02063.1</t>
  </si>
  <si>
    <t>flavin-containing monooxygenase, putative [Ixodes scapularis]</t>
  </si>
  <si>
    <t>EEC02129.1</t>
  </si>
  <si>
    <t>F0F1-type ATP synthase, alpha subunit, putative [Ixodes scapularis]</t>
  </si>
  <si>
    <t>EEC02228.1</t>
  </si>
  <si>
    <t>EEC02290.1</t>
  </si>
  <si>
    <t>secreted inorganic pyrophosphatase, putative, partial [Ixodes scapularis]</t>
  </si>
  <si>
    <t>EEC02299.1</t>
  </si>
  <si>
    <t>adenylate kinase isoenzyme, putative [Ixodes scapularis]</t>
  </si>
  <si>
    <t>EEC02308.1</t>
  </si>
  <si>
    <t>PDZ domain protein [Ixodes scapularis]</t>
  </si>
  <si>
    <t>EEC02351.1</t>
  </si>
  <si>
    <t>hemolectin, putative, partial [Ixodes scapularis]</t>
  </si>
  <si>
    <t>EEC02360.1</t>
  </si>
  <si>
    <t>E1b-55kD-associated protein, putative [Ixodes scapularis]</t>
  </si>
  <si>
    <t>EEC02361.1</t>
  </si>
  <si>
    <t>ribosomal protein L11, putative [Ixodes scapularis]</t>
  </si>
  <si>
    <t>EEC02407.1</t>
  </si>
  <si>
    <t>cytochrome C oxidase subunit VIc [Ixodes scapularis]</t>
  </si>
  <si>
    <t>EEC02422.1</t>
  </si>
  <si>
    <t>fibrinogen, putative [Ixodes scapularis]</t>
  </si>
  <si>
    <t>EEC02464.1</t>
  </si>
  <si>
    <t>N-acetyltransferase, putative, partial [Ixodes scapularis]</t>
  </si>
  <si>
    <t>EEC02492.1</t>
  </si>
  <si>
    <t>fasciclin, putative [Ixodes scapularis]</t>
  </si>
  <si>
    <t>EEC02529.1</t>
  </si>
  <si>
    <t>EEC02541.1</t>
  </si>
  <si>
    <t>EEC02542.1</t>
  </si>
  <si>
    <t>EEC02546.1</t>
  </si>
  <si>
    <t>sodium/chloride dependent transporter, putative [Ixodes scapularis]</t>
  </si>
  <si>
    <t>EEC02577.1</t>
  </si>
  <si>
    <t>EEC02614.1</t>
  </si>
  <si>
    <t>medium-chain acyl-CoA dehydrogenase, putative, partial [Ixodes scapularis]</t>
  </si>
  <si>
    <t>EEC02665.1</t>
  </si>
  <si>
    <t>chloride channel, putative [Ixodes scapularis]</t>
  </si>
  <si>
    <t>EEC02680.1</t>
  </si>
  <si>
    <t>pterin-4-alpha-carbinolamine dehydratase, putative, partial [Ixodes scapularis]</t>
  </si>
  <si>
    <t>EEC02682.1</t>
  </si>
  <si>
    <t>alpha-crystallin B chain, putative [Ixodes scapularis]</t>
  </si>
  <si>
    <t>EEC02684.1</t>
  </si>
  <si>
    <t>EEC02729.1</t>
  </si>
  <si>
    <t>palmitoyl-protein thioesterase precursor, putative [Ixodes scapularis]</t>
  </si>
  <si>
    <t>EEC02737.1</t>
  </si>
  <si>
    <t>granulin, putative, partial [Ixodes scapularis]</t>
  </si>
  <si>
    <t>EEC02741.1</t>
  </si>
  <si>
    <t>catalase, putative [Ixodes scapularis]</t>
  </si>
  <si>
    <t>EEC02761.1</t>
  </si>
  <si>
    <t>DEK domain-containing protein, putative [Ixodes scapularis]</t>
  </si>
  <si>
    <t>EEC02762.1</t>
  </si>
  <si>
    <t>EEC02857.1</t>
  </si>
  <si>
    <t>EEC02880.1</t>
  </si>
  <si>
    <t>cAMP-dependent protein kinase type I-beta regulatory subunit, putative, partial [Ixodes scapularis]</t>
  </si>
  <si>
    <t>EEC02977.1</t>
  </si>
  <si>
    <t>Hsp70, putative, partial [Ixodes scapularis]</t>
  </si>
  <si>
    <t>EEC03048.1</t>
  </si>
  <si>
    <t>Cdc42 protein, putative, partial [Ixodes scapularis]</t>
  </si>
  <si>
    <t>EEC03076.1</t>
  </si>
  <si>
    <t>EEC03121.1</t>
  </si>
  <si>
    <t>NADH:ubiquinone oxidoreductase, NDUFC2/B14.5B subunit, putative [Ixodes scapularis]</t>
  </si>
  <si>
    <t>EEC03122.1</t>
  </si>
  <si>
    <t>DNA-binding protein, putative [Ixodes scapularis]</t>
  </si>
  <si>
    <t>EEC03472.1</t>
  </si>
  <si>
    <t>EEC03473.1</t>
  </si>
  <si>
    <t>EEC03474.1</t>
  </si>
  <si>
    <t>EEC03557.1</t>
  </si>
  <si>
    <t>microtubule-binding protein, putative, partial [Ixodes scapularis]</t>
  </si>
  <si>
    <t>EEC03582.1</t>
  </si>
  <si>
    <t>THO complex subunit, putative [Ixodes scapularis]</t>
  </si>
  <si>
    <t>EEC03607.1</t>
  </si>
  <si>
    <t>hypothetical protein IscW_ISCW002960 [Ixodes scapularis]</t>
  </si>
  <si>
    <t>EEC03622.1</t>
  </si>
  <si>
    <t>EEC03647.1</t>
  </si>
  <si>
    <t>peptidyl-prolyl cis-trans isomerase, putative [Ixodes scapularis]</t>
  </si>
  <si>
    <t>EEC03752.1</t>
  </si>
  <si>
    <t>myosin regulatory light chain, putative [Ixodes scapularis]</t>
  </si>
  <si>
    <t>EEC03753.1</t>
  </si>
  <si>
    <t>EEC03789.1</t>
  </si>
  <si>
    <t>tyrosine kinase, putative [Ixodes scapularis]</t>
  </si>
  <si>
    <t>EEC03844.1</t>
  </si>
  <si>
    <t>single-stranded DNA binding protein P9, putative [Ixodes scapularis]</t>
  </si>
  <si>
    <t>EEC03926.1</t>
  </si>
  <si>
    <t>EEC03946.1</t>
  </si>
  <si>
    <t>peroxisomal acyl-CoA oxidase, putative [Ixodes scapularis]</t>
  </si>
  <si>
    <t>EEC03949.1</t>
  </si>
  <si>
    <t>NADH-ubiquinone reductase, putative [Ixodes scapularis]</t>
  </si>
  <si>
    <t>EEC04019.1</t>
  </si>
  <si>
    <t>EEC04075.1</t>
  </si>
  <si>
    <t>hypothetical protein IscW_ISCW003343 [Ixodes scapularis]</t>
  </si>
  <si>
    <t>EEC04184.1</t>
  </si>
  <si>
    <t>short chain alcohol dehydrogenase, putative [Ixodes scapularis]</t>
  </si>
  <si>
    <t>EEC04417.1</t>
  </si>
  <si>
    <t>2-oxoglutarate dehydrogenase, putative [Ixodes scapularis]</t>
  </si>
  <si>
    <t>EEC04423.1</t>
  </si>
  <si>
    <t>hypothetical protein IscW_ISCW003329 [Ixodes scapularis]</t>
  </si>
  <si>
    <t>EEC04431.1</t>
  </si>
  <si>
    <t>lysosomal acid phosphatase, putative [Ixodes scapularis]</t>
  </si>
  <si>
    <t>EEC04510.1</t>
  </si>
  <si>
    <t>40S ribosomal protein S12, putative [Ixodes scapularis]</t>
  </si>
  <si>
    <t>EEC04528.1</t>
  </si>
  <si>
    <t>cyclophilin B precursor, putative [Ixodes scapularis]</t>
  </si>
  <si>
    <t>EEC04651.1</t>
  </si>
  <si>
    <t>LIM domain-containing protein, putative [Ixodes scapularis]</t>
  </si>
  <si>
    <t>EEC04838.1</t>
  </si>
  <si>
    <t>hypothetical protein IscW_ISCW024302 [Ixodes scapularis]</t>
  </si>
  <si>
    <t>EEC04856.1</t>
  </si>
  <si>
    <t>EEC04875.1</t>
  </si>
  <si>
    <t>beta-N-acetylhexosaminidase, putative [Ixodes scapularis]</t>
  </si>
  <si>
    <t>EEC04936.1</t>
  </si>
  <si>
    <t>cathepsin C, putative [Ixodes scapularis]</t>
  </si>
  <si>
    <t>EEC04963.1</t>
  </si>
  <si>
    <t>nucleolar protein, putative, partial [Ixodes scapularis]</t>
  </si>
  <si>
    <t>EEC05052.1</t>
  </si>
  <si>
    <t>tRNA selenocysteine associated protein, putative, partial [Ixodes scapularis]</t>
  </si>
  <si>
    <t>EEC05115.1</t>
  </si>
  <si>
    <t>EEC05121.1</t>
  </si>
  <si>
    <t>heat shock protein [Ixodes scapularis]</t>
  </si>
  <si>
    <t>EEC05122.1</t>
  </si>
  <si>
    <t>EEC05133.1</t>
  </si>
  <si>
    <t>ubiquinol-cytochrome C reductase hinge protein, putative [Ixodes scapularis]</t>
  </si>
  <si>
    <t>EEC05171.1</t>
  </si>
  <si>
    <t>EEC05200.1</t>
  </si>
  <si>
    <t>longipain, putative [Ixodes scapularis]</t>
  </si>
  <si>
    <t>EEC05274.1</t>
  </si>
  <si>
    <t>Is6, putative [Ixodes scapularis]</t>
  </si>
  <si>
    <t>EEC05364.1</t>
  </si>
  <si>
    <t>NADP-dependent isocitrate dehydrogenase, putative [Ixodes scapularis]</t>
  </si>
  <si>
    <t>EEC05406.1</t>
  </si>
  <si>
    <t>translation initiation inhibitor UK114/IBM1, putative, partial [Ixodes scapularis]</t>
  </si>
  <si>
    <t>EEC05430.1</t>
  </si>
  <si>
    <t>ribosomal protein L12, putative [Ixodes scapularis]</t>
  </si>
  <si>
    <t>EEC05465.1</t>
  </si>
  <si>
    <t>muscle LIM protein isoform A isoform, putative [Ixodes scapularis]</t>
  </si>
  <si>
    <t>EEC05533.1</t>
  </si>
  <si>
    <t>RING finger-containing protein, putative [Ixodes scapularis]</t>
  </si>
  <si>
    <t>EEC05627.1</t>
  </si>
  <si>
    <t>titin, putative [Ixodes scapularis]</t>
  </si>
  <si>
    <t>EEC05628.1</t>
  </si>
  <si>
    <t>kettin, putative [Ixodes scapularis]</t>
  </si>
  <si>
    <t>EEC05696.1</t>
  </si>
  <si>
    <t>EEC05697.1</t>
  </si>
  <si>
    <t>EEC05874.1</t>
  </si>
  <si>
    <t>EEC05876.1</t>
  </si>
  <si>
    <t>hypothetical protein IscW_ISCW004528, partial [Ixodes scapularis]</t>
  </si>
  <si>
    <t>EEC05877.1</t>
  </si>
  <si>
    <t>apolipophorin, putative, partial [Ixodes scapularis]</t>
  </si>
  <si>
    <t>EEC05884.1</t>
  </si>
  <si>
    <t>glutathione S-transferase, putative, partial [Ixodes scapularis]</t>
  </si>
  <si>
    <t>EEC05896.1</t>
  </si>
  <si>
    <t>serine protease inhibitor, putative [Ixodes scapularis]</t>
  </si>
  <si>
    <t>EEC05907.1</t>
  </si>
  <si>
    <t>EEC05987.1</t>
  </si>
  <si>
    <t>calponin/transgelin, putative [Ixodes scapularis]</t>
  </si>
  <si>
    <t>EEC05988.1</t>
  </si>
  <si>
    <t>calponin, putative [Ixodes scapularis]</t>
  </si>
  <si>
    <t>EEC05995.1</t>
  </si>
  <si>
    <t>carbon-nitrogen hydrolase, putative [Ixodes scapularis]</t>
  </si>
  <si>
    <t>EEC06067.1</t>
  </si>
  <si>
    <t>cytochrome b5 domain-containing protein, putative, partial [Ixodes scapularis]</t>
  </si>
  <si>
    <t>EEC06089.1</t>
  </si>
  <si>
    <t>hypothetical protein IscW_ISCW017994 [Ixodes scapularis]</t>
  </si>
  <si>
    <t>EEC06101.1</t>
  </si>
  <si>
    <t>isocitrate dehydrogenase, putative, partial [Ixodes scapularis]</t>
  </si>
  <si>
    <t>EEC06118.1</t>
  </si>
  <si>
    <t>4-hydroxyphenylpyruvate dioxygenase, putative [Ixodes scapularis]</t>
  </si>
  <si>
    <t>EEC06150.1</t>
  </si>
  <si>
    <t>EEC06447.1</t>
  </si>
  <si>
    <t>CNDP dipeptidase, putative, partial [Ixodes scapularis]</t>
  </si>
  <si>
    <t>EEC06453.1</t>
  </si>
  <si>
    <t>heat shock protein 20.6, putative [Ixodes scapularis]</t>
  </si>
  <si>
    <t>EEC06456.1</t>
  </si>
  <si>
    <t>hypothetical protein IscW_ISCW004158, partial [Ixodes scapularis]</t>
  </si>
  <si>
    <t>EEC06471.1</t>
  </si>
  <si>
    <t>ankyrin 2,3/unc44, putative [Ixodes scapularis]</t>
  </si>
  <si>
    <t>EEC06527.1</t>
  </si>
  <si>
    <t>glutathione S-transferase, putative [Ixodes scapularis]</t>
  </si>
  <si>
    <t>EEC06580.1</t>
  </si>
  <si>
    <t>aspartic protease, putative [Ixodes scapularis]</t>
  </si>
  <si>
    <t>EEC06600.1</t>
  </si>
  <si>
    <t>dimeric dihydrodiol dehydrogenase, putative [Ixodes scapularis]</t>
  </si>
  <si>
    <t>EEC06688.1</t>
  </si>
  <si>
    <t>elongation factor 1-beta [Ixodes scapularis]</t>
  </si>
  <si>
    <t>EEC06692.1</t>
  </si>
  <si>
    <t>hemelipoglycoprotein precursor, putative, partial [Ixodes scapularis]</t>
  </si>
  <si>
    <t>EEC06821.1</t>
  </si>
  <si>
    <t>enolase, putative [Ixodes scapularis]</t>
  </si>
  <si>
    <t>EEC06842.1</t>
  </si>
  <si>
    <t>nucleolar protein, putative [Ixodes scapularis]</t>
  </si>
  <si>
    <t>EEC06983.1</t>
  </si>
  <si>
    <t>dihydroorotase, putative, partial [Ixodes scapularis]</t>
  </si>
  <si>
    <t>EEC07025.1</t>
  </si>
  <si>
    <t>PDZ domain-containing protein, putative, partial [Ixodes scapularis]</t>
  </si>
  <si>
    <t>EEC07044.1</t>
  </si>
  <si>
    <t>pur-alpha, putative, partial [Ixodes scapularis]</t>
  </si>
  <si>
    <t>EEC07084.1</t>
  </si>
  <si>
    <t>fasciclin domain-containing protein, putative [Ixodes scapularis]</t>
  </si>
  <si>
    <t>EEC07133.1</t>
  </si>
  <si>
    <t>neurofilament medium polypeptide, putative, partial [Ixodes scapularis]</t>
  </si>
  <si>
    <t>EEC07147.1</t>
  </si>
  <si>
    <t>short-chain dehydrogenase, putative, partial [Ixodes scapularis]</t>
  </si>
  <si>
    <t>EEC07268.1</t>
  </si>
  <si>
    <t>serpin 2 precursor, putative [Ixodes scapularis]</t>
  </si>
  <si>
    <t>EEC07269.1</t>
  </si>
  <si>
    <t>adipocyte plasma membrane-associated protein, putative [Ixodes scapularis]</t>
  </si>
  <si>
    <t>EEC07391.1</t>
  </si>
  <si>
    <t>EEC07399.1</t>
  </si>
  <si>
    <t>EEC07418.1</t>
  </si>
  <si>
    <t>bridging integrator, putative [Ixodes scapularis]</t>
  </si>
  <si>
    <t>EEC07421.1</t>
  </si>
  <si>
    <t>EEC07459.1</t>
  </si>
  <si>
    <t>EEC07486.1</t>
  </si>
  <si>
    <t>fructose-1,6-bisphosphatase, putative, partial [Ixodes scapularis]</t>
  </si>
  <si>
    <t>EEC07490.1</t>
  </si>
  <si>
    <t>estradiol 17-beta-dehydrogenase, putative [Ixodes scapularis]</t>
  </si>
  <si>
    <t>EEC07535.1</t>
  </si>
  <si>
    <t>Filamin-C, putative [Ixodes scapularis]</t>
  </si>
  <si>
    <t>EEC07568.1</t>
  </si>
  <si>
    <t>EEC07802.1</t>
  </si>
  <si>
    <t>hypothetical protein IscW_ISCW024317 [Ixodes scapularis]</t>
  </si>
  <si>
    <t>EEC07845.1</t>
  </si>
  <si>
    <t>EEC07958.1</t>
  </si>
  <si>
    <t>actin depolymerizing factor, putative [Ixodes scapularis]</t>
  </si>
  <si>
    <t>EEC08006.1</t>
  </si>
  <si>
    <t>KH domain RNA binding protein, putative, partial [Ixodes scapularis]</t>
  </si>
  <si>
    <t>EEC08037.1</t>
  </si>
  <si>
    <t>Kunitz domain protein, putative, partial [Ixodes scapularis]</t>
  </si>
  <si>
    <t>EEC08039.1</t>
  </si>
  <si>
    <t>EEC08041.1</t>
  </si>
  <si>
    <t>EEC08061.1</t>
  </si>
  <si>
    <t>serpin-2 precursor, putative, partial [Ixodes scapularis]</t>
  </si>
  <si>
    <t>EEC08190.1</t>
  </si>
  <si>
    <t>cysteine proteinase, putative, partial [Ixodes scapularis]</t>
  </si>
  <si>
    <t>EEC08196.1</t>
  </si>
  <si>
    <t>beat protein, putative, partial [Ixodes scapularis]</t>
  </si>
  <si>
    <t>EEC08209.1</t>
  </si>
  <si>
    <t>Attractin and platelet-activating factor acetylhydrolase, putative [Ixodes scapularis]</t>
  </si>
  <si>
    <t>EEC08254.1</t>
  </si>
  <si>
    <t>EEC08267.1</t>
  </si>
  <si>
    <t>glutamine synthetase, putative [Ixodes scapularis]</t>
  </si>
  <si>
    <t>EEC08458.1</t>
  </si>
  <si>
    <t>gamma-glutamyltransferase, putative, partial [Ixodes scapularis]</t>
  </si>
  <si>
    <t>EEC08506.1</t>
  </si>
  <si>
    <t>EEC08535.1</t>
  </si>
  <si>
    <t>microtubule-binding protein, putative [Ixodes scapularis]</t>
  </si>
  <si>
    <t>EEC08541.1</t>
  </si>
  <si>
    <t>cytochrome C oxidase, subunit VIa/COX13, putative [Ixodes scapularis]</t>
  </si>
  <si>
    <t>EEC08586.1</t>
  </si>
  <si>
    <t>RSZp22 protein, putative [Ixodes scapularis]</t>
  </si>
  <si>
    <t>EEC08686.1</t>
  </si>
  <si>
    <t>Niemann-Pick type C1 domain-containing protein, putative [Ixodes scapularis]</t>
  </si>
  <si>
    <t>EEC08693.1</t>
  </si>
  <si>
    <t>DEAD box ATP-dependent RNA helicase, putative, partial [Ixodes scapularis]</t>
  </si>
  <si>
    <t>EEC08724.1</t>
  </si>
  <si>
    <t>glycogenin-1, putative, partial [Ixodes scapularis]</t>
  </si>
  <si>
    <t>EEC08764.1</t>
  </si>
  <si>
    <t>EEC08765.1</t>
  </si>
  <si>
    <t>trypsin, putative, partial [Ixodes scapularis]</t>
  </si>
  <si>
    <t>EEC08766.1</t>
  </si>
  <si>
    <t>EEC08797.1</t>
  </si>
  <si>
    <t>60S acidic ribosomal protein P1, putative, partial [Ixodes scapularis]</t>
  </si>
  <si>
    <t>EEC08879.1</t>
  </si>
  <si>
    <t>integrin alpha-ps, putative [Ixodes scapularis]</t>
  </si>
  <si>
    <t>EEC08918.1</t>
  </si>
  <si>
    <t>acetyl-CoA acetyltransferase, putative, partial [Ixodes scapularis]</t>
  </si>
  <si>
    <t>EEC08919.1</t>
  </si>
  <si>
    <t>hydroxyacyl-CoA dehydrogenase, putative, partial [Ixodes scapularis]</t>
  </si>
  <si>
    <t>EEC08930.1</t>
  </si>
  <si>
    <t>selenium-binding protein, putative, partial [Ixodes scapularis]</t>
  </si>
  <si>
    <t>EEC09121.1</t>
  </si>
  <si>
    <t>EEC09194.1</t>
  </si>
  <si>
    <t>EEC09195.1</t>
  </si>
  <si>
    <t>EEC09201.1</t>
  </si>
  <si>
    <t>F1F0 ATP-synthase subunit Cf6, putative [Ixodes scapularis]</t>
  </si>
  <si>
    <t>EEC09261.1</t>
  </si>
  <si>
    <t>secretory protein, putative, partial [Ixodes scapularis]</t>
  </si>
  <si>
    <t>EEC09384.1</t>
  </si>
  <si>
    <t>translationally controlled tumor protein, putative, partial [Ixodes scapularis]</t>
  </si>
  <si>
    <t>EEC09428.1</t>
  </si>
  <si>
    <t>EEC09430.1</t>
  </si>
  <si>
    <t>EEC09504.1</t>
  </si>
  <si>
    <t>F1F0-type ATP synthase subunit G, putative [Ixodes scapularis]</t>
  </si>
  <si>
    <t>EEC09530.1</t>
  </si>
  <si>
    <t>hemocyte protein-glutamine gamma-glutamyltransferase, putative, partial [Ixodes scapularis]</t>
  </si>
  <si>
    <t>EEC09564.1</t>
  </si>
  <si>
    <t>20S proteasome, regulatory subunit alpha type PSMA7/PRE6, putative [Ixodes scapularis]</t>
  </si>
  <si>
    <t>EEC09565.1</t>
  </si>
  <si>
    <t>nuclear transport factor, putative [Ixodes scapularis]</t>
  </si>
  <si>
    <t>EEC09570.1</t>
  </si>
  <si>
    <t>EEC09582.1</t>
  </si>
  <si>
    <t>EEC09584.1</t>
  </si>
  <si>
    <t>hypothetical protein IscW_ISCW019852 [Ixodes scapularis]</t>
  </si>
  <si>
    <t>EEC09656.1</t>
  </si>
  <si>
    <t>serpin-4 precursor, putative, partial [Ixodes scapularis]</t>
  </si>
  <si>
    <t>EEC09752.1</t>
  </si>
  <si>
    <t>hypothetical protein IscW_ISCW007130 [Ixodes scapularis]</t>
  </si>
  <si>
    <t>EEC09774.1</t>
  </si>
  <si>
    <t>Embryonic protein DC-8, putative [Ixodes scapularis]</t>
  </si>
  <si>
    <t>EEC09889.1</t>
  </si>
  <si>
    <t>EEC09946.1</t>
  </si>
  <si>
    <t>glutamine synthetase 1, putative, partial [Ixodes scapularis]</t>
  </si>
  <si>
    <t>EEC10004.1</t>
  </si>
  <si>
    <t>cytochrome P450, putative, partial [Ixodes scapularis]</t>
  </si>
  <si>
    <t>EEC10093.1</t>
  </si>
  <si>
    <t>alpha-macroglobulin, putative, partial [Ixodes scapularis]</t>
  </si>
  <si>
    <t>EEC10094.1</t>
  </si>
  <si>
    <t>EEC10096.1</t>
  </si>
  <si>
    <t>alpha-2-macroglobulin, putative, partial [Ixodes scapularis]</t>
  </si>
  <si>
    <t>EEC10144.1</t>
  </si>
  <si>
    <t>ubiquinol cytochrome C reductase, putative [Ixodes scapularis]</t>
  </si>
  <si>
    <t>EEC10184.1</t>
  </si>
  <si>
    <t>ornithine decarboxylase, putative, partial [Ixodes scapularis]</t>
  </si>
  <si>
    <t>EEC10196.1</t>
  </si>
  <si>
    <t>EEC10220.1</t>
  </si>
  <si>
    <t>4-aminobutyrate aminotransferase, putative [Ixodes scapularis]</t>
  </si>
  <si>
    <t>EEC10299.1</t>
  </si>
  <si>
    <t>peroxinectin, putative [Ixodes scapularis]</t>
  </si>
  <si>
    <t>EEC10395.1</t>
  </si>
  <si>
    <t>NADH dehydrogenase, putative [Ixodes scapularis]</t>
  </si>
  <si>
    <t>EEC10437.1</t>
  </si>
  <si>
    <t>glyoxylate/hydroxypyruvate reductase, putative [Ixodes scapularis]</t>
  </si>
  <si>
    <t>EEC10490.1</t>
  </si>
  <si>
    <t>aminoimidazole-4-carboxamide ribonucleotidetransformylase/IMP cyclohydrolase, putative, partial [Ixodes scapularis]</t>
  </si>
  <si>
    <t>EEC10587.1</t>
  </si>
  <si>
    <t>GTP-binding protein, putative [Ixodes scapularis]</t>
  </si>
  <si>
    <t>EEC10609.1</t>
  </si>
  <si>
    <t>RNA-binding protein musashi, putative [Ixodes scapularis]</t>
  </si>
  <si>
    <t>EEC10688.1</t>
  </si>
  <si>
    <t>villin, putative, partial [Ixodes scapularis]</t>
  </si>
  <si>
    <t>EEC10891.1</t>
  </si>
  <si>
    <t>small nuclear ribonucleoprotein Sm D1, putative [Ixodes scapularis]</t>
  </si>
  <si>
    <t>EEC10926.1</t>
  </si>
  <si>
    <t>EEC10927.1</t>
  </si>
  <si>
    <t>heat shock protein 20.5, putative [Ixodes scapularis]</t>
  </si>
  <si>
    <t>EEC10997.1</t>
  </si>
  <si>
    <t>alternative splicing factor SRp20/9G8, putative [Ixodes scapularis]</t>
  </si>
  <si>
    <t>EEC11013.1</t>
  </si>
  <si>
    <t>hebreain, putative [Ixodes scapularis]</t>
  </si>
  <si>
    <t>EEC11042.1</t>
  </si>
  <si>
    <t>hypothetical protein IscW_ISCW019289 [Ixodes scapularis]</t>
  </si>
  <si>
    <t>EEC11050.1</t>
  </si>
  <si>
    <t>EEC11060.1</t>
  </si>
  <si>
    <t>EEC11065.1</t>
  </si>
  <si>
    <t>hypothetical protein IscW_ISCW019776 [Ixodes scapularis]</t>
  </si>
  <si>
    <t>EEC11068.1</t>
  </si>
  <si>
    <t>hypothetical protein IscW_ISCW019779 [Ixodes scapularis]</t>
  </si>
  <si>
    <t>EEC11234.1</t>
  </si>
  <si>
    <t>EEC11235.1</t>
  </si>
  <si>
    <t>EEC11273.1</t>
  </si>
  <si>
    <t>hypothetical protein IscW_ISCW008836 [Ixodes scapularis]</t>
  </si>
  <si>
    <t>EEC11284.1</t>
  </si>
  <si>
    <t>glycoprotein gC1qBP, putative [Ixodes scapularis]</t>
  </si>
  <si>
    <t>EEC11291.1</t>
  </si>
  <si>
    <t>EEC11292.1</t>
  </si>
  <si>
    <t>EEC11380.1</t>
  </si>
  <si>
    <t>ribosomal protein L4, putative [Ixodes scapularis]</t>
  </si>
  <si>
    <t>EEC11420.1</t>
  </si>
  <si>
    <t>CAP-Gly domain-containing linker protein, putative [Ixodes scapularis]</t>
  </si>
  <si>
    <t>EEC11822.1</t>
  </si>
  <si>
    <t>hypothetical protein IscW_ISCW009515, partial [Ixodes scapularis]</t>
  </si>
  <si>
    <t>EEC11837.1</t>
  </si>
  <si>
    <t>EEC11965.1</t>
  </si>
  <si>
    <t>branched chain alpha-keto acid dehydrogenase, putative [Ixodes scapularis]</t>
  </si>
  <si>
    <t>EEC11990.1</t>
  </si>
  <si>
    <t>aldehyde dehydrogenase, putative [Ixodes scapularis]</t>
  </si>
  <si>
    <t>EEC12049.1</t>
  </si>
  <si>
    <t>transmembrane protein, putative, partial [Ixodes scapularis]</t>
  </si>
  <si>
    <t>EEC12074.1</t>
  </si>
  <si>
    <t>EEC12229.1</t>
  </si>
  <si>
    <t>HEAT repeat-containing protein [Ixodes scapularis]</t>
  </si>
  <si>
    <t>EEC12276.1</t>
  </si>
  <si>
    <t>Paxillin, putative [Ixodes scapularis]</t>
  </si>
  <si>
    <t>EEC12306.1</t>
  </si>
  <si>
    <t>fumarylacetoacetase, putative [Ixodes scapularis]</t>
  </si>
  <si>
    <t>EEC12307.1</t>
  </si>
  <si>
    <t>pyruvate kinase, putative [Ixodes scapularis]</t>
  </si>
  <si>
    <t>EEC12357.1</t>
  </si>
  <si>
    <t>proteasome, subunit beta, putative [Ixodes scapularis]</t>
  </si>
  <si>
    <t>EEC12371.1</t>
  </si>
  <si>
    <t>cyclophilin A, putative [Ixodes scapularis]</t>
  </si>
  <si>
    <t>EEC12408.1</t>
  </si>
  <si>
    <t>endocytosis/signaling protein EHD1, putative, partial [Ixodes scapularis]</t>
  </si>
  <si>
    <t>EEC12423.1</t>
  </si>
  <si>
    <t>EEC12432.1</t>
  </si>
  <si>
    <t>phosphoglycerate mutase, putative [Ixodes scapularis]</t>
  </si>
  <si>
    <t>EEC12475.1</t>
  </si>
  <si>
    <t>ribosomal protein S19, putative [Ixodes scapularis]</t>
  </si>
  <si>
    <t>EEC12476.1</t>
  </si>
  <si>
    <t>succinate dehydrogenase, putative [Ixodes scapularis]</t>
  </si>
  <si>
    <t>EEC12583.1</t>
  </si>
  <si>
    <t>leucine-rich transmembrane protein, putative [Ixodes scapularis]</t>
  </si>
  <si>
    <t>EEC12646.1</t>
  </si>
  <si>
    <t>transcriptional regulator, putative [Ixodes scapularis]</t>
  </si>
  <si>
    <t>EEC12678.1</t>
  </si>
  <si>
    <t>GOT2 aspartate aminotransferase, putative [Ixodes scapularis]</t>
  </si>
  <si>
    <t>EEC12698.1</t>
  </si>
  <si>
    <t>laminin gamma-1 chain, putative, partial [Ixodes scapularis]</t>
  </si>
  <si>
    <t>EEC12710.1</t>
  </si>
  <si>
    <t>rho GDP dissociation inhibitor, putative, partial [Ixodes scapularis]</t>
  </si>
  <si>
    <t>EEC12762.1</t>
  </si>
  <si>
    <t>EEC12772.1</t>
  </si>
  <si>
    <t>cytochrome C oxidase subunit Va [Ixodes scapularis]</t>
  </si>
  <si>
    <t>EEC12826.1</t>
  </si>
  <si>
    <t>galectin, putative [Ixodes scapularis]</t>
  </si>
  <si>
    <t>EEC12828.1</t>
  </si>
  <si>
    <t>chymotrypsin-elastase inhibitor ixodidin, putative, partial [Ixodes scapularis]</t>
  </si>
  <si>
    <t>EEC12870.1</t>
  </si>
  <si>
    <t>neuronal cell adhesion molecule, putative [Ixodes scapularis]</t>
  </si>
  <si>
    <t>EEC12915.1</t>
  </si>
  <si>
    <t>f-actin capping protein beta subunit, putative [Ixodes scapularis]</t>
  </si>
  <si>
    <t>EEC12960.1</t>
  </si>
  <si>
    <t>enoyl-CoA hydratase, putative, partial [Ixodes scapularis]</t>
  </si>
  <si>
    <t>EEC12988.1</t>
  </si>
  <si>
    <t>EEC12996.1</t>
  </si>
  <si>
    <t>alpha-B-crystallin, putative [Ixodes scapularis]</t>
  </si>
  <si>
    <t>EEC13100.1</t>
  </si>
  <si>
    <t>molecular chaperone, putative [Ixodes scapularis]</t>
  </si>
  <si>
    <t>EEC13206.1</t>
  </si>
  <si>
    <t>cytochrome C, putative [Ixodes scapularis]</t>
  </si>
  <si>
    <t>EEC13226.1</t>
  </si>
  <si>
    <t>Misexpression suppressor of KSR, putative [Ixodes scapularis]</t>
  </si>
  <si>
    <t>EEC13287.1</t>
  </si>
  <si>
    <t>EEC13300.1</t>
  </si>
  <si>
    <t>triacylglycerol lipase, putative, partial [Ixodes scapularis]</t>
  </si>
  <si>
    <t>EEC13303.1</t>
  </si>
  <si>
    <t>hypothetical protein IscW_ISCW009032 [Ixodes scapularis]</t>
  </si>
  <si>
    <t>EEC13355.1</t>
  </si>
  <si>
    <t>ATP-citrate synthase, putative [Ixodes scapularis]</t>
  </si>
  <si>
    <t>EEC13404.1</t>
  </si>
  <si>
    <t>citrate synthase, putative, partial [Ixodes scapularis]</t>
  </si>
  <si>
    <t>EEC13574.1</t>
  </si>
  <si>
    <t>EEC13575.1</t>
  </si>
  <si>
    <t>hypothetical protein IscW_ISCW021705, partial [Ixodes scapularis]</t>
  </si>
  <si>
    <t>EEC13576.1</t>
  </si>
  <si>
    <t>hypothetical protein IscW_ISCW021706, partial [Ixodes scapularis]</t>
  </si>
  <si>
    <t>EEC13578.1</t>
  </si>
  <si>
    <t>hemelipoglycoprotein precursor, putative [Ixodes scapularis]</t>
  </si>
  <si>
    <t>EEC13586.1</t>
  </si>
  <si>
    <t>EEC13721.1</t>
  </si>
  <si>
    <t>EEC13790.1</t>
  </si>
  <si>
    <t>ribosomal protein, putative, partial [Ixodes scapularis]</t>
  </si>
  <si>
    <t>EEC13812.1</t>
  </si>
  <si>
    <t>hypothetical protein IscW_ISCW011195 [Ixodes scapularis]</t>
  </si>
  <si>
    <t>EEC13825.1</t>
  </si>
  <si>
    <t>ADP/ATP translocase, putative [Ixodes scapularis]</t>
  </si>
  <si>
    <t>EEC13826.1</t>
  </si>
  <si>
    <t>EEC13856.1</t>
  </si>
  <si>
    <t>26S protease regulatory subunit 6B, putative [Ixodes scapularis]</t>
  </si>
  <si>
    <t>EEC13942.1</t>
  </si>
  <si>
    <t>protein 4.1G, putative [Ixodes scapularis]</t>
  </si>
  <si>
    <t>EEC13995.1</t>
  </si>
  <si>
    <t>DNA replication factor/protein phosphatase inhibitor SET/SPR-2, putative [Ixodes scapularis]</t>
  </si>
  <si>
    <t>EEC14003.1</t>
  </si>
  <si>
    <t>Ulip2 protein, putative [Ixodes scapularis]</t>
  </si>
  <si>
    <t>EEC14022.1</t>
  </si>
  <si>
    <t>EEC14037.1</t>
  </si>
  <si>
    <t>GTP-binding nuclear protein RAN1, putative [Ixodes scapularis]</t>
  </si>
  <si>
    <t>EEC14078.1</t>
  </si>
  <si>
    <t>proteasome subunit alpha type, putative [Ixodes scapularis]</t>
  </si>
  <si>
    <t>EEC14083.1</t>
  </si>
  <si>
    <t>10.4 kDa basic protein, putative [Ixodes scapularis]</t>
  </si>
  <si>
    <t>EEC14089.1</t>
  </si>
  <si>
    <t>vacuolar protein-sorting protein, putative [Ixodes scapularis]</t>
  </si>
  <si>
    <t>EEC14090.1</t>
  </si>
  <si>
    <t>spectrin beta chain, putative [Ixodes scapularis]</t>
  </si>
  <si>
    <t>EEC14101.1</t>
  </si>
  <si>
    <t>fructose 1,6-bisphosphate aldolase, putative [Ixodes scapularis]</t>
  </si>
  <si>
    <t>EEC14119.1</t>
  </si>
  <si>
    <t>EEC14126.1</t>
  </si>
  <si>
    <t>radixin, moesin, putative [Ixodes scapularis]</t>
  </si>
  <si>
    <t>EEC14132.1</t>
  </si>
  <si>
    <t>F1F0-ATP synthase, subunit OSCP/ATP5, putative [Ixodes scapularis]</t>
  </si>
  <si>
    <t>EEC14134.1</t>
  </si>
  <si>
    <t>EEC14150.1</t>
  </si>
  <si>
    <t>EEC14163.1</t>
  </si>
  <si>
    <t>succinyl-CoA synthetase, beta subunit, putative, partial [Ixodes scapularis]</t>
  </si>
  <si>
    <t>EEC14232.1</t>
  </si>
  <si>
    <t>EEC14235.1</t>
  </si>
  <si>
    <t>EEC14237.1</t>
  </si>
  <si>
    <t>serpin, putative [Ixodes scapularis]</t>
  </si>
  <si>
    <t>EEC14249.1</t>
  </si>
  <si>
    <t>vinculin, putative [Ixodes scapularis]</t>
  </si>
  <si>
    <t>EEC14253.1</t>
  </si>
  <si>
    <t>calcyphosine/tpp, putative [Ixodes scapularis]</t>
  </si>
  <si>
    <t>EEC14254.1</t>
  </si>
  <si>
    <t>EEC14287.1</t>
  </si>
  <si>
    <t>tensin, putative, partial [Ixodes scapularis]</t>
  </si>
  <si>
    <t>EEC14317.1</t>
  </si>
  <si>
    <t>EEC14359.1</t>
  </si>
  <si>
    <t>RNA binding motif-containing protein, putative, partial [Ixodes scapularis]</t>
  </si>
  <si>
    <t>EEC14439.1</t>
  </si>
  <si>
    <t>flavonol reductase/cinnamoyl-CoA reductase, putative, partial [Ixodes scapularis]</t>
  </si>
  <si>
    <t>EEC14463.1</t>
  </si>
  <si>
    <t>GGY domain-containing protein, putative, partial [Ixodes scapularis]</t>
  </si>
  <si>
    <t>EEC14465.1</t>
  </si>
  <si>
    <t>glycine-rich secreted protein, putative [Ixodes scapularis]</t>
  </si>
  <si>
    <t>EEC14471.1</t>
  </si>
  <si>
    <t>EEC14472.1</t>
  </si>
  <si>
    <t>EEC14474.1</t>
  </si>
  <si>
    <t>EEC14494.1</t>
  </si>
  <si>
    <t>EEC14567.1</t>
  </si>
  <si>
    <t>hypothetical protein IscW_ISCW010942 [Ixodes scapularis]</t>
  </si>
  <si>
    <t>EEC14609.1</t>
  </si>
  <si>
    <t>EEC14613.1</t>
  </si>
  <si>
    <t>saposin, putative [Ixodes scapularis]</t>
  </si>
  <si>
    <t>EEC14650.1</t>
  </si>
  <si>
    <t>trypsin inhibitor, putative [Ixodes scapularis]</t>
  </si>
  <si>
    <t>EEC14653.1</t>
  </si>
  <si>
    <t>NADP-dependent malic enzyme, putative, partial [Ixodes scapularis]</t>
  </si>
  <si>
    <t>EEC14669.1</t>
  </si>
  <si>
    <t>DNA-binding protein Smubp-2, putative [Ixodes scapularis]</t>
  </si>
  <si>
    <t>EEC14682.1</t>
  </si>
  <si>
    <t>nucleotide excision repair factor NEF2, RAD23 component, putative [Ixodes scapularis]</t>
  </si>
  <si>
    <t>EEC14748.1</t>
  </si>
  <si>
    <t>hypothetical protein IscW_ISCW011239 [Ixodes scapularis]</t>
  </si>
  <si>
    <t>EEC14858.1</t>
  </si>
  <si>
    <t>hypothetical protein IscW_ISCW011576 [Ixodes scapularis]</t>
  </si>
  <si>
    <t>EEC14947.1</t>
  </si>
  <si>
    <t>laminin alpha-4 chain, putative [Ixodes scapularis]</t>
  </si>
  <si>
    <t>EEC15058.1</t>
  </si>
  <si>
    <t>hypothetical protein IscW_ISCW021372 [Ixodes scapularis]</t>
  </si>
  <si>
    <t>EEC15132.1</t>
  </si>
  <si>
    <t>EEC15144.1</t>
  </si>
  <si>
    <t>EEC15194.1</t>
  </si>
  <si>
    <t>EEC15206.1</t>
  </si>
  <si>
    <t>hypothetical protein IscW_ISCW011413, partial [Ixodes scapularis]</t>
  </si>
  <si>
    <t>EEC15219.1</t>
  </si>
  <si>
    <t>translation initiation factor eIF3, p35 subunit, putative, partial [Ixodes scapularis]</t>
  </si>
  <si>
    <t>EEC15288.1</t>
  </si>
  <si>
    <t>alkyl hydroperoxide reductase, thiol specific antioxidant, putative [Ixodes scapularis]</t>
  </si>
  <si>
    <t>EEC15463.1</t>
  </si>
  <si>
    <t>aconitase, putative [Ixodes scapularis]</t>
  </si>
  <si>
    <t>EEC15473.1</t>
  </si>
  <si>
    <t>EEC15571.1</t>
  </si>
  <si>
    <t>EEC15669.1</t>
  </si>
  <si>
    <t>glycine rich secreted cement protein, putative, partial [Ixodes scapularis]</t>
  </si>
  <si>
    <t>EEC15670.1</t>
  </si>
  <si>
    <t>EEC15677.1</t>
  </si>
  <si>
    <t>EEC15678.1</t>
  </si>
  <si>
    <t>secreted cysteine rich protein, putative [Ixodes scapularis]</t>
  </si>
  <si>
    <t>EEC15679.1</t>
  </si>
  <si>
    <t>EEC15711.1</t>
  </si>
  <si>
    <t>proproteinase E, putative, partial [Ixodes scapularis]</t>
  </si>
  <si>
    <t>EEC15715.1</t>
  </si>
  <si>
    <t>EEC15722.1</t>
  </si>
  <si>
    <t>EEC15725.1</t>
  </si>
  <si>
    <t>EEC15773.1</t>
  </si>
  <si>
    <t>alpha-1 collagen type III, putative, partial [Ixodes scapularis]</t>
  </si>
  <si>
    <t>EEC15787.1</t>
  </si>
  <si>
    <t>ribosomal protein L18, putative [Ixodes scapularis]</t>
  </si>
  <si>
    <t>EEC15845.1</t>
  </si>
  <si>
    <t>EEC15887.1</t>
  </si>
  <si>
    <t>aldehyde dehydrogenase, putative, partial [Ixodes scapularis]</t>
  </si>
  <si>
    <t>EEC15915.1</t>
  </si>
  <si>
    <t>dihydropteridine reductase, putative [Ixodes scapularis]</t>
  </si>
  <si>
    <t>EEC15985.1</t>
  </si>
  <si>
    <t>electron transfer flavoprotein, beta subunit, putative [Ixodes scapularis]</t>
  </si>
  <si>
    <t>EEC15996.1</t>
  </si>
  <si>
    <t>calponin, putative, partial [Ixodes scapularis]</t>
  </si>
  <si>
    <t>EEC16107.1</t>
  </si>
  <si>
    <t>EEC16158.1</t>
  </si>
  <si>
    <t>40S ribosomal protein S23, putative [Ixodes scapularis]</t>
  </si>
  <si>
    <t>EEC16167.1</t>
  </si>
  <si>
    <t>lipophorin receptor, putative [Ixodes scapularis]</t>
  </si>
  <si>
    <t>EEC16196.1</t>
  </si>
  <si>
    <t>cAMP-dependent protein kinase type II regulatory subunit, putative [Ixodes scapularis]</t>
  </si>
  <si>
    <t>EEC16230.1</t>
  </si>
  <si>
    <t>alpha-L-fucosidase, putative, partial [Ixodes scapularis]</t>
  </si>
  <si>
    <t>EEC16260.1</t>
  </si>
  <si>
    <t>EEC16270.1</t>
  </si>
  <si>
    <t>hypothetical protein IscW_ISCW012179 [Ixodes scapularis]</t>
  </si>
  <si>
    <t>EEC16362.1</t>
  </si>
  <si>
    <t>65-kDa macrophage protein, putative, partial [Ixodes scapularis]</t>
  </si>
  <si>
    <t>EEC16364.1</t>
  </si>
  <si>
    <t>phosphoglucomutase, putative [Ixodes scapularis]</t>
  </si>
  <si>
    <t>EEC16393.1</t>
  </si>
  <si>
    <t>annexin V, putative, partial [Ixodes scapularis]</t>
  </si>
  <si>
    <t>EEC16574.1</t>
  </si>
  <si>
    <t>EEC16629.1</t>
  </si>
  <si>
    <t>LIM domain-binding protein, putative, partial [Ixodes scapularis]</t>
  </si>
  <si>
    <t>EEC16773.1</t>
  </si>
  <si>
    <t>hypothetical protein IscW_ISCW022878 [Ixodes scapularis]</t>
  </si>
  <si>
    <t>EEC16786.1</t>
  </si>
  <si>
    <t>hypothetical protein IscW_ISCW022893, partial [Ixodes scapularis]</t>
  </si>
  <si>
    <t>EEC16801.1</t>
  </si>
  <si>
    <t>EEC16856.1</t>
  </si>
  <si>
    <t>EEC16905.1</t>
  </si>
  <si>
    <t>EEC16910.1</t>
  </si>
  <si>
    <t>EEC17139.1</t>
  </si>
  <si>
    <t>EEC17153.1</t>
  </si>
  <si>
    <t>peritrophin A, putative [Ixodes scapularis]</t>
  </si>
  <si>
    <t>EEC17184.1</t>
  </si>
  <si>
    <t>EEC17186.1</t>
  </si>
  <si>
    <t>EEC17187.1</t>
  </si>
  <si>
    <t>EEC17191.1</t>
  </si>
  <si>
    <t>EEC17228.1</t>
  </si>
  <si>
    <t>EEC17262.1</t>
  </si>
  <si>
    <t>40S ribosomal protein S5, putative [Ixodes scapularis]</t>
  </si>
  <si>
    <t>EEC17290.1</t>
  </si>
  <si>
    <t>EEC17298.1</t>
  </si>
  <si>
    <t>NADH-ubiquinone oxidoreductase, NDUFS3/30 kDa subunit, putative [Ixodes scapularis]</t>
  </si>
  <si>
    <t>EEC17399.1</t>
  </si>
  <si>
    <t>EEC17400.1</t>
  </si>
  <si>
    <t>myosin light chain 1, putative [Ixodes scapularis]</t>
  </si>
  <si>
    <t>EEC17417.1</t>
  </si>
  <si>
    <t>hypothetical protein IscW_ISCW012749 [Ixodes scapularis]</t>
  </si>
  <si>
    <t>EEC17500.1</t>
  </si>
  <si>
    <t>senescence marker protein-30, putative [Ixodes scapularis]</t>
  </si>
  <si>
    <t>EEC17587.1</t>
  </si>
  <si>
    <t>EEC17731.1</t>
  </si>
  <si>
    <t>ovochymase, putative [Ixodes scapularis]</t>
  </si>
  <si>
    <t>EEC17779.1</t>
  </si>
  <si>
    <t>hypothetical protein IscW_ISCW013355 [Ixodes scapularis]</t>
  </si>
  <si>
    <t>EEC17808.1</t>
  </si>
  <si>
    <t>huntingtin interacting protein, putative [Ixodes scapularis]</t>
  </si>
  <si>
    <t>EEC17835.1</t>
  </si>
  <si>
    <t>phospholipid-hydroperoxide glutathione peroxidase, putative [Ixodes scapularis]</t>
  </si>
  <si>
    <t>EEC17914.1</t>
  </si>
  <si>
    <t>EEC17915.1</t>
  </si>
  <si>
    <t>EEC17935.1</t>
  </si>
  <si>
    <t>BIGH3, putative [Ixodes scapularis]</t>
  </si>
  <si>
    <t>EEC17939.1</t>
  </si>
  <si>
    <t>EEC17944.1</t>
  </si>
  <si>
    <t>EEC17998.1</t>
  </si>
  <si>
    <t>phospholipase A2 precursor, putative [Ixodes scapularis]</t>
  </si>
  <si>
    <t>EEC18008.1</t>
  </si>
  <si>
    <t>acetylcholinesterase/butyrylcholinesterase, putative, partial [Ixodes scapularis]</t>
  </si>
  <si>
    <t>EEC18025.1</t>
  </si>
  <si>
    <t>hypothetical protein IscW_ISCW014417 [Ixodes scapularis]</t>
  </si>
  <si>
    <t>EEC18154.1</t>
  </si>
  <si>
    <t>superoxide-dismutase, putative [Ixodes scapularis]</t>
  </si>
  <si>
    <t>EEC18201.1</t>
  </si>
  <si>
    <t>EEC18202.1</t>
  </si>
  <si>
    <t>hypothetical protein IscW_ISCW023167 [Ixodes scapularis]</t>
  </si>
  <si>
    <t>EEC18204.1</t>
  </si>
  <si>
    <t>EEC18307.1</t>
  </si>
  <si>
    <t>hypothetical protein IscW_ISCW014890 [Ixodes scapularis]</t>
  </si>
  <si>
    <t>EEC18325.1</t>
  </si>
  <si>
    <t>EEC18326.1</t>
  </si>
  <si>
    <t>hypothetical protein IscW_ISCW023802, partial [Ixodes scapularis]</t>
  </si>
  <si>
    <t>EEC18345.1</t>
  </si>
  <si>
    <t>EEC18404.1</t>
  </si>
  <si>
    <t>profilin, putative, partial [Ixodes scapularis]</t>
  </si>
  <si>
    <t>EEC18416.1</t>
  </si>
  <si>
    <t>EEC18444.1</t>
  </si>
  <si>
    <t>salivary lipid interacting protein, putative [Ixodes scapularis]</t>
  </si>
  <si>
    <t>EEC18480.1</t>
  </si>
  <si>
    <t>NADH-ubiquinone dehydrogenase, putative [Ixodes scapularis]</t>
  </si>
  <si>
    <t>EEC18541.1</t>
  </si>
  <si>
    <t>sprouty protein evh1 domain-containing protein, putative, partial [Ixodes scapularis]</t>
  </si>
  <si>
    <t>EEC18588.1</t>
  </si>
  <si>
    <t>EEC18633.1</t>
  </si>
  <si>
    <t>splicing factor, putative, partial [Ixodes scapularis]</t>
  </si>
  <si>
    <t>EEC18635.1</t>
  </si>
  <si>
    <t>electron transfer flavoprotein, alpha subunit, putative, partial [Ixodes scapularis]</t>
  </si>
  <si>
    <t>EEC18665.1</t>
  </si>
  <si>
    <t>quinone oxidoreductase, putative, partial [Ixodes scapularis]</t>
  </si>
  <si>
    <t>EEC18682.1</t>
  </si>
  <si>
    <t>EEC18716.1</t>
  </si>
  <si>
    <t>4SNc-Tudor domain protein, putative [Ixodes scapularis]</t>
  </si>
  <si>
    <t>EEC18729.1</t>
  </si>
  <si>
    <t>EEC18742.1</t>
  </si>
  <si>
    <t>EEC18745.1</t>
  </si>
  <si>
    <t>3-hydroxyacyl-CoA dehydrogenase, putative [Ixodes scapularis]</t>
  </si>
  <si>
    <t>EEC18748.1</t>
  </si>
  <si>
    <t>EEC18755.1</t>
  </si>
  <si>
    <t>hypothetical protein IscW_ISCW023296 [Ixodes scapularis]</t>
  </si>
  <si>
    <t>EEC18788.1</t>
  </si>
  <si>
    <t>EEC18874.1</t>
  </si>
  <si>
    <t>transcriptional regulator DJ-1, putative [Ixodes scapularis]</t>
  </si>
  <si>
    <t>EEC18973.1</t>
  </si>
  <si>
    <t>serpin-8 precursor, putative [Ixodes scapularis]</t>
  </si>
  <si>
    <t>EEC18978.1</t>
  </si>
  <si>
    <t>PERQ amino acid-rich with GYF domain-containing protein, putative [Ixodes scapularis]</t>
  </si>
  <si>
    <t>EEC18998.1</t>
  </si>
  <si>
    <t>alpha-actinin, putative [Ixodes scapularis]</t>
  </si>
  <si>
    <t>EEC19006.1</t>
  </si>
  <si>
    <t>acetyl-CoA hydrolase, putative [Ixodes scapularis]</t>
  </si>
  <si>
    <t>EEC19167.1</t>
  </si>
  <si>
    <t>EEC19169.1</t>
  </si>
  <si>
    <t>ATP synthase gamma subunit, putative, partial [Ixodes scapularis]</t>
  </si>
  <si>
    <t>EEC19186.1</t>
  </si>
  <si>
    <t>vacuolar H+-ATPase V1 sector, subunit G, putative [Ixodes scapularis]</t>
  </si>
  <si>
    <t>EEC19450.1</t>
  </si>
  <si>
    <t>troponin, putative, partial [Ixodes scapularis]</t>
  </si>
  <si>
    <t>EEC19451.1</t>
  </si>
  <si>
    <t>hypothetical protein IscW_ISCW023442 [Ixodes scapularis]</t>
  </si>
  <si>
    <t>EEC19452.1</t>
  </si>
  <si>
    <t>troponin I protein, putative [Ixodes scapularis]</t>
  </si>
  <si>
    <t>EEC19553.1</t>
  </si>
  <si>
    <t>serpin-1 precursor, putative [Ixodes scapularis]</t>
  </si>
  <si>
    <t>EEC19555.1</t>
  </si>
  <si>
    <t>EEC19556.1</t>
  </si>
  <si>
    <t>EEC19557.1</t>
  </si>
  <si>
    <t>serpin-4 precursor, putative [Ixodes scapularis]</t>
  </si>
  <si>
    <t>EEC19558.1</t>
  </si>
  <si>
    <t>EEC19579.1</t>
  </si>
  <si>
    <t>adenylate cyclase-associated protein, putative [Ixodes scapularis]</t>
  </si>
  <si>
    <t>EEC19626.1</t>
  </si>
  <si>
    <t>phosphatidylethanolamine-binding protein, putative [Ixodes scapularis]</t>
  </si>
  <si>
    <t>EEC19633.1</t>
  </si>
  <si>
    <t>aspartate aminotransferase, putative [Ixodes scapularis]</t>
  </si>
  <si>
    <t>EEC19722.1</t>
  </si>
  <si>
    <t>RNA binding motif-containing protein, putative [Ixodes scapularis]</t>
  </si>
  <si>
    <t>EEC19780.1</t>
  </si>
  <si>
    <t>EEC19803.1</t>
  </si>
  <si>
    <t>EEC19814.1</t>
  </si>
  <si>
    <t>20-hydroxysteroid dehydrogenase, putative [Ixodes scapularis]</t>
  </si>
  <si>
    <t>EEC19858.1</t>
  </si>
  <si>
    <t>nucleoside diphosphate kinase, putative [Ixodes scapularis]</t>
  </si>
  <si>
    <t>EEC19862.1</t>
  </si>
  <si>
    <t>NADH-ubiquinone oxidoreductase, subunit NDUFB10/PDSW, putative [Ixodes scapularis]</t>
  </si>
  <si>
    <t>EEC19877.1</t>
  </si>
  <si>
    <t>NADH:ubiquinone oxidoreductase, NDUFB9/B22 subunit, putative [Ixodes scapularis]</t>
  </si>
  <si>
    <t>EEC19942.1</t>
  </si>
  <si>
    <t>small heat shock protein, putative, partial [Ixodes scapularis]</t>
  </si>
  <si>
    <t>EEC19958.1</t>
  </si>
  <si>
    <t>talin, putative [Ixodes scapularis]</t>
  </si>
  <si>
    <t>EEC20000.1</t>
  </si>
  <si>
    <t>EEC20008.1</t>
  </si>
  <si>
    <t>transaldolase, putative [Ixodes scapularis]</t>
  </si>
  <si>
    <t>EEC20016.1</t>
  </si>
  <si>
    <t>hypothetical protein IscW_ISCW014234, partial [Ixodes scapularis]</t>
  </si>
  <si>
    <t>EEC20130.1</t>
  </si>
  <si>
    <t>EEC20135.1</t>
  </si>
  <si>
    <t>hypothetical protein IscW_ISCW023909 [Ixodes scapularis]</t>
  </si>
  <si>
    <t>EEC20173.1</t>
  </si>
  <si>
    <t>elongation factor, putative [Ixodes scapularis]</t>
  </si>
  <si>
    <t>EEC20182.1</t>
  </si>
  <si>
    <t>fatty acid-binding protein FABP, putative [Ixodes scapularis]</t>
  </si>
  <si>
    <t>EEC20304.1</t>
  </si>
  <si>
    <t>selenoprotein, putative [Ixodes scapularis]</t>
  </si>
  <si>
    <t>EEC20364.1</t>
  </si>
  <si>
    <t>HMG-box transcription factor, putative [Ixodes scapularis]</t>
  </si>
  <si>
    <t>EEC20421.1</t>
  </si>
  <si>
    <t>carbonic anhydrase, putative [Ixodes scapularis]</t>
  </si>
  <si>
    <t>EEC20429.1</t>
  </si>
  <si>
    <t>hypothetical protein IscW_ISCW015113 [Ixodes scapularis]</t>
  </si>
  <si>
    <t>EEC20437.1</t>
  </si>
  <si>
    <t>40S ribosomal protein S10, putative [Ixodes scapularis]</t>
  </si>
  <si>
    <t>EEC20488.1</t>
  </si>
  <si>
    <t>lipoate-protein ligase B, putative [Ixodes scapularis]</t>
  </si>
  <si>
    <t>EEC20512.1</t>
  </si>
  <si>
    <t>enoyl-CoA isomerase, putative, partial [Ixodes scapularis]</t>
  </si>
  <si>
    <t>EEC20557.1</t>
  </si>
  <si>
    <t>1_0_0_</t>
  </si>
  <si>
    <t>A0A0A0MQP7</t>
  </si>
  <si>
    <t>G1SDT0</t>
  </si>
  <si>
    <t>G1SH05</t>
  </si>
  <si>
    <t>G1SK59</t>
  </si>
  <si>
    <t>G1SPP3</t>
  </si>
  <si>
    <t>G1SSK9</t>
  </si>
  <si>
    <t>G1STB6</t>
  </si>
  <si>
    <t>G1SY02</t>
  </si>
  <si>
    <t>G1SY36</t>
  </si>
  <si>
    <t>G1T0B7</t>
  </si>
  <si>
    <t>G1T221</t>
  </si>
  <si>
    <t>G1T4J4</t>
  </si>
  <si>
    <t>G1TFC2</t>
  </si>
  <si>
    <t>G1TJC3</t>
  </si>
  <si>
    <t>G1TKC3</t>
  </si>
  <si>
    <t>G1TNS4</t>
  </si>
  <si>
    <t>G1TQR0</t>
  </si>
  <si>
    <t>G1TR82</t>
  </si>
  <si>
    <t>G1U031</t>
  </si>
  <si>
    <t>G1U410</t>
  </si>
  <si>
    <t>G1U466</t>
  </si>
  <si>
    <t>G1U5S4</t>
  </si>
  <si>
    <t>P58772</t>
  </si>
  <si>
    <t>P68135</t>
  </si>
  <si>
    <t>A0A068BC12</t>
  </si>
  <si>
    <t>G1SCP8</t>
  </si>
  <si>
    <t>P29751</t>
  </si>
  <si>
    <t>Q69G36</t>
  </si>
  <si>
    <t>B7NZA8</t>
  </si>
  <si>
    <t>G1SXI9</t>
  </si>
  <si>
    <t>U3KMH9</t>
  </si>
  <si>
    <t>B7NZM8</t>
  </si>
  <si>
    <t>P62160</t>
  </si>
  <si>
    <t>G1SD89</t>
  </si>
  <si>
    <t>G1SDN2</t>
  </si>
  <si>
    <t>G1SHX4</t>
  </si>
  <si>
    <t>G1SHY2</t>
  </si>
  <si>
    <t>G1SHZ4</t>
  </si>
  <si>
    <t>G1SKE3</t>
  </si>
  <si>
    <t>G1SL10</t>
  </si>
  <si>
    <t>G1SQ02</t>
  </si>
  <si>
    <t>G1SUH1</t>
  </si>
  <si>
    <t>G1SWB8</t>
  </si>
  <si>
    <t>G1SWG8</t>
  </si>
  <si>
    <t>G1T1V0</t>
  </si>
  <si>
    <t>G1T1Y7</t>
  </si>
  <si>
    <t>G1T4R6</t>
  </si>
  <si>
    <t>G1T4S1</t>
  </si>
  <si>
    <t>G1T6D3</t>
  </si>
  <si>
    <t>G1T8T1</t>
  </si>
  <si>
    <t>G1TAY6</t>
  </si>
  <si>
    <t>G1TDN6</t>
  </si>
  <si>
    <t>G1TDN8</t>
  </si>
  <si>
    <t>G1TE79</t>
  </si>
  <si>
    <t>G1TE82</t>
  </si>
  <si>
    <t>G1TMP1</t>
  </si>
  <si>
    <t>G1TYI7</t>
  </si>
  <si>
    <t>G1U758</t>
  </si>
  <si>
    <t>G1U9G5</t>
  </si>
  <si>
    <t>G1U9I8</t>
  </si>
  <si>
    <t>G1U9K5</t>
  </si>
  <si>
    <t>Q28706</t>
  </si>
  <si>
    <t>Q29426</t>
  </si>
  <si>
    <t>Q2ENC7</t>
  </si>
  <si>
    <t>G1TI39</t>
  </si>
  <si>
    <t>G1T346</t>
  </si>
  <si>
    <t>G1SUH8</t>
  </si>
  <si>
    <t>G1SWB0</t>
  </si>
  <si>
    <t>G1TUC8</t>
  </si>
  <si>
    <t>G1SWK6</t>
  </si>
  <si>
    <t>G1T1V9</t>
  </si>
  <si>
    <t>G1T8Q6</t>
  </si>
  <si>
    <t>G1T9M9</t>
  </si>
  <si>
    <t>G1U7L4</t>
  </si>
  <si>
    <t>P30946</t>
  </si>
  <si>
    <t>G1SUX8</t>
  </si>
  <si>
    <t>G1TRC0</t>
  </si>
  <si>
    <t>G1SGC2</t>
  </si>
  <si>
    <t>G1SSZ2</t>
  </si>
  <si>
    <t>G1SVP6</t>
  </si>
  <si>
    <t>G1T0Z2</t>
  </si>
  <si>
    <t>G1T8H6</t>
  </si>
  <si>
    <t>G1TD51</t>
  </si>
  <si>
    <t>G1TE68</t>
  </si>
  <si>
    <t>G1TH39</t>
  </si>
  <si>
    <t>G1TJR7</t>
  </si>
  <si>
    <t>G1TMN0</t>
  </si>
  <si>
    <t>G1TN68</t>
  </si>
  <si>
    <t>G1TNB7</t>
  </si>
  <si>
    <t>G1TUJ8</t>
  </si>
  <si>
    <t>G1U2G1</t>
  </si>
  <si>
    <t>G1U2Q4</t>
  </si>
  <si>
    <t>O62695</t>
  </si>
  <si>
    <t>P84246</t>
  </si>
  <si>
    <t>G1T6G5</t>
  </si>
  <si>
    <t>G1TKV4</t>
  </si>
  <si>
    <t>G1TNW5</t>
  </si>
  <si>
    <t>G1TQ90</t>
  </si>
  <si>
    <t>G1TRK0</t>
  </si>
  <si>
    <t>G1TWR1</t>
  </si>
  <si>
    <t>G1TX56</t>
  </si>
  <si>
    <t>Q6TXQ2</t>
  </si>
  <si>
    <t>G1SKT4</t>
  </si>
  <si>
    <t>G1SR03</t>
  </si>
  <si>
    <t>G1TS29</t>
  </si>
  <si>
    <t>G1U6C7</t>
  </si>
  <si>
    <t>Q0QEN9</t>
  </si>
  <si>
    <t>B7NZF1</t>
  </si>
  <si>
    <t>G1SEV2</t>
  </si>
  <si>
    <t>G1SF46</t>
  </si>
  <si>
    <t>G1TMS5</t>
  </si>
  <si>
    <t>P21195</t>
  </si>
  <si>
    <t>G1TM98</t>
  </si>
  <si>
    <t>G1U6W1</t>
  </si>
  <si>
    <t>P68105</t>
  </si>
  <si>
    <t>Q71V39</t>
  </si>
  <si>
    <t>G1TLQ8</t>
  </si>
  <si>
    <t>G1SDF8</t>
  </si>
  <si>
    <t>G1SK22</t>
  </si>
  <si>
    <t>G1TLT8</t>
  </si>
  <si>
    <t>G1TWL4</t>
  </si>
  <si>
    <t>G1U1A8</t>
  </si>
  <si>
    <t>G1TZL0</t>
  </si>
  <si>
    <t>U3KMI4</t>
  </si>
  <si>
    <t>G1SH81</t>
  </si>
  <si>
    <t>B7NZQ6</t>
  </si>
  <si>
    <t>G1SNS5</t>
  </si>
  <si>
    <t>G1TAD2</t>
  </si>
  <si>
    <t>U3KN82</t>
  </si>
  <si>
    <t>G1SUV5</t>
  </si>
  <si>
    <t>U3KM96</t>
  </si>
  <si>
    <t>G1U3E0</t>
  </si>
  <si>
    <t>B7PCF6.1</t>
  </si>
  <si>
    <t>U3KP46</t>
  </si>
  <si>
    <t>G1TFL3</t>
  </si>
  <si>
    <t>G1U7V8</t>
  </si>
  <si>
    <t>G1TEM1</t>
  </si>
  <si>
    <t>G1SDU5</t>
  </si>
  <si>
    <t>G1T9S9</t>
  </si>
  <si>
    <t>G1U4H8</t>
  </si>
  <si>
    <t>Q07931</t>
  </si>
  <si>
    <t>Q95JE9</t>
  </si>
  <si>
    <t>G1TUD0</t>
  </si>
  <si>
    <t>G1TWW0</t>
  </si>
  <si>
    <t>U3KMN4</t>
  </si>
  <si>
    <t>G1T3X9</t>
  </si>
  <si>
    <t>Q9MYS1</t>
  </si>
  <si>
    <t>G1T8I1</t>
  </si>
  <si>
    <t>G1SUF8</t>
  </si>
  <si>
    <t>G1T7I8</t>
  </si>
  <si>
    <t>G1T670</t>
  </si>
  <si>
    <t>G1T6S4</t>
  </si>
  <si>
    <t>G1SET2</t>
  </si>
  <si>
    <t>G1SN05</t>
  </si>
  <si>
    <t>G1SZ59</t>
  </si>
  <si>
    <t>U3KMQ3</t>
  </si>
  <si>
    <t>G1T117</t>
  </si>
  <si>
    <t>Q4PM64.1</t>
  </si>
  <si>
    <t>Q4PMB3.1</t>
  </si>
  <si>
    <t>R9W542</t>
  </si>
  <si>
    <t>U3KMP9</t>
  </si>
  <si>
    <t>A0A0H5BWD6</t>
  </si>
  <si>
    <t>G1SH10</t>
  </si>
  <si>
    <t>G1SI06</t>
  </si>
  <si>
    <t>G1SNI6</t>
  </si>
  <si>
    <t>G1SVI9</t>
  </si>
  <si>
    <t>G1SYY8</t>
  </si>
  <si>
    <t>G1TDN4</t>
  </si>
  <si>
    <t>G1TGR5</t>
  </si>
  <si>
    <t>G1U3C5</t>
  </si>
  <si>
    <t>G1U3T2</t>
  </si>
  <si>
    <t>Q4PLZ3.1</t>
  </si>
  <si>
    <t>U3KNW0</t>
  </si>
  <si>
    <t>U3KPQ3</t>
  </si>
  <si>
    <t>U3KPH3</t>
  </si>
  <si>
    <t>G1T9T8</t>
  </si>
  <si>
    <t>G1SZI5</t>
  </si>
  <si>
    <t>G1T9T7</t>
  </si>
  <si>
    <t>G1TDK5</t>
  </si>
  <si>
    <t>G1TNX9</t>
  </si>
  <si>
    <t>G1U949</t>
  </si>
  <si>
    <t>Q9GLM9</t>
  </si>
  <si>
    <t>U3KP79</t>
  </si>
  <si>
    <t>G1T2A6</t>
  </si>
  <si>
    <t>G1T3L8</t>
  </si>
  <si>
    <t>G1TA63</t>
  </si>
  <si>
    <t>G1TH61</t>
  </si>
  <si>
    <t>G1U7I9</t>
  </si>
  <si>
    <t>G1T3I9</t>
  </si>
  <si>
    <t>G1TK75</t>
  </si>
  <si>
    <t>G1U9S7</t>
  </si>
  <si>
    <t>G1SPD6</t>
  </si>
  <si>
    <t>G1SY56</t>
  </si>
  <si>
    <t>G1TD47</t>
  </si>
  <si>
    <t>G1SQH2</t>
  </si>
  <si>
    <t>G1T8F7</t>
  </si>
  <si>
    <t>G1TAC6</t>
  </si>
  <si>
    <t>G1SFV1</t>
  </si>
  <si>
    <t>G1SLD6</t>
  </si>
  <si>
    <t>G1SSN9</t>
  </si>
  <si>
    <t>G1SZ47</t>
  </si>
  <si>
    <t>G1TG00</t>
  </si>
  <si>
    <t>Q4PM04.1</t>
  </si>
  <si>
    <t>U3KMB2</t>
  </si>
  <si>
    <t>G1T3J0</t>
  </si>
  <si>
    <t>G1SJX0</t>
  </si>
  <si>
    <t>G1SM01</t>
  </si>
  <si>
    <t>G1STF2</t>
  </si>
  <si>
    <t>G1SX59</t>
  </si>
  <si>
    <t>G1T1T2</t>
  </si>
  <si>
    <t>G1T291</t>
  </si>
  <si>
    <t>Q5ZQK3</t>
  </si>
  <si>
    <t>U3KPK2</t>
  </si>
  <si>
    <t>G1T464</t>
  </si>
  <si>
    <t>G1T5W0</t>
  </si>
  <si>
    <t>G1T5Z5</t>
  </si>
  <si>
    <t>G1TKZ9</t>
  </si>
  <si>
    <t>G1TNM3</t>
  </si>
  <si>
    <t>G1TQ56</t>
  </si>
  <si>
    <t>G1TZC6</t>
  </si>
  <si>
    <t>G1U046</t>
  </si>
  <si>
    <t>G1U9C3</t>
  </si>
  <si>
    <t>A0A088QE26</t>
  </si>
  <si>
    <t>A0A0A0MQQ2</t>
  </si>
  <si>
    <t>G1SNE8</t>
  </si>
  <si>
    <t>G1SVK5</t>
  </si>
  <si>
    <t>G1SXG6</t>
  </si>
  <si>
    <t>G1T1H6</t>
  </si>
  <si>
    <t>G1T5Q9</t>
  </si>
  <si>
    <t>G1T6B8</t>
  </si>
  <si>
    <t>G1TGV8</t>
  </si>
  <si>
    <t>G1U846</t>
  </si>
  <si>
    <t>O62663</t>
  </si>
  <si>
    <t>P07467</t>
  </si>
  <si>
    <t>P25230</t>
  </si>
  <si>
    <t>P37709</t>
  </si>
  <si>
    <t>P50117</t>
  </si>
  <si>
    <t>Q6SQH4</t>
  </si>
  <si>
    <t>G1T0W8</t>
  </si>
  <si>
    <t>G1TB36</t>
  </si>
  <si>
    <t>G1TKX3</t>
  </si>
  <si>
    <t>G1TWA7</t>
  </si>
  <si>
    <t>G1U754</t>
  </si>
  <si>
    <t>G1U9R6</t>
  </si>
  <si>
    <t>O02816</t>
  </si>
  <si>
    <t>O77688</t>
  </si>
  <si>
    <t>O97644</t>
  </si>
  <si>
    <t>Q7M322</t>
  </si>
  <si>
    <t>B7NZ89</t>
  </si>
  <si>
    <t>B7NZH1</t>
  </si>
  <si>
    <t>B7NZQ1</t>
  </si>
  <si>
    <t>G1SDR2</t>
  </si>
  <si>
    <t>G1SER8</t>
  </si>
  <si>
    <t>G1SHB9</t>
  </si>
  <si>
    <t>G1SL24</t>
  </si>
  <si>
    <t>G1SL62</t>
  </si>
  <si>
    <t>G1SL68</t>
  </si>
  <si>
    <t>G1SPP0</t>
  </si>
  <si>
    <t>G1T4V7</t>
  </si>
  <si>
    <t>G1TC33</t>
  </si>
  <si>
    <t>G1TDJ5</t>
  </si>
  <si>
    <t>G1TJK2</t>
  </si>
  <si>
    <t>G1TKL2</t>
  </si>
  <si>
    <t>G1TMV1</t>
  </si>
  <si>
    <t>G1TPA5</t>
  </si>
  <si>
    <t>G1U469</t>
  </si>
  <si>
    <t>G1U4E6</t>
  </si>
  <si>
    <t>Q28713</t>
  </si>
  <si>
    <t>Q99105</t>
  </si>
  <si>
    <t>G1SJG0</t>
  </si>
  <si>
    <t>G1SJZ9</t>
  </si>
  <si>
    <t>G1SYD4</t>
  </si>
  <si>
    <t>G1T569</t>
  </si>
  <si>
    <t>G1U9R0</t>
  </si>
  <si>
    <t>P11909</t>
  </si>
  <si>
    <t>P27170</t>
  </si>
  <si>
    <t>G1SPF5</t>
  </si>
  <si>
    <t>G1SZD6</t>
  </si>
  <si>
    <t>G1T6W7</t>
  </si>
  <si>
    <t>G1TAH7</t>
  </si>
  <si>
    <t>G1TC44</t>
  </si>
  <si>
    <t>G1TU90</t>
  </si>
  <si>
    <t>G1TZP0</t>
  </si>
  <si>
    <t>G1U974</t>
  </si>
  <si>
    <t>Q9TTC6</t>
  </si>
  <si>
    <t>G1SDY5</t>
  </si>
  <si>
    <t>G1SIT9</t>
  </si>
  <si>
    <t>B7NZP9</t>
  </si>
  <si>
    <t>G1SMX2</t>
  </si>
  <si>
    <t>G1SP97</t>
  </si>
  <si>
    <t>G1SWS0</t>
  </si>
  <si>
    <t>G1SWS9</t>
  </si>
  <si>
    <t>G1SYD6</t>
  </si>
  <si>
    <t>G1T2Z5</t>
  </si>
  <si>
    <t>G1T4P0</t>
  </si>
  <si>
    <t>G1T4P5</t>
  </si>
  <si>
    <t>G1T4Q6</t>
  </si>
  <si>
    <t>G1T5V9</t>
  </si>
  <si>
    <t>G1T6X1</t>
  </si>
  <si>
    <t>G1T6X4</t>
  </si>
  <si>
    <t>G1T823</t>
  </si>
  <si>
    <t>G1T8J0</t>
  </si>
  <si>
    <t>G1T933</t>
  </si>
  <si>
    <t>G1TPK8</t>
  </si>
  <si>
    <t>G1U0R6</t>
  </si>
  <si>
    <t>G1U323</t>
  </si>
  <si>
    <t>G1U6M8</t>
  </si>
  <si>
    <t>P02456</t>
  </si>
  <si>
    <t>G1TRF1</t>
  </si>
  <si>
    <t>G1SSY8</t>
  </si>
  <si>
    <t>G1T7D1</t>
  </si>
  <si>
    <t>G1T7F1</t>
  </si>
  <si>
    <t>G1TJC1</t>
  </si>
  <si>
    <t>G1TP83</t>
  </si>
  <si>
    <t>G1TQ05</t>
  </si>
  <si>
    <t>G1U155</t>
  </si>
  <si>
    <t>G1U7C6</t>
  </si>
  <si>
    <t>P02251</t>
  </si>
  <si>
    <t>P02252</t>
  </si>
  <si>
    <t>A0A0C6FQU5</t>
  </si>
  <si>
    <t>A0A0C6G052</t>
  </si>
  <si>
    <t>A0A0C6G056</t>
  </si>
  <si>
    <t>A0A0C6G3P3</t>
  </si>
  <si>
    <t>A0A0C6G5I3</t>
  </si>
  <si>
    <t>A0A0C6G6Z2</t>
  </si>
  <si>
    <t>G1SJ56</t>
  </si>
  <si>
    <t>G1SJM0</t>
  </si>
  <si>
    <t>G1SKF1</t>
  </si>
  <si>
    <t>G1SL53</t>
  </si>
  <si>
    <t>G1SQI2</t>
  </si>
  <si>
    <t>G1SQX9</t>
  </si>
  <si>
    <t>G1ST17</t>
  </si>
  <si>
    <t>G1STJ4</t>
  </si>
  <si>
    <t>G1TBS8</t>
  </si>
  <si>
    <t>G1TDI4</t>
  </si>
  <si>
    <t>G1TED6</t>
  </si>
  <si>
    <t>G1TEM7</t>
  </si>
  <si>
    <t>G1TFW8</t>
  </si>
  <si>
    <t>G1TIS5</t>
  </si>
  <si>
    <t>G1TMP9</t>
  </si>
  <si>
    <t>G1TN25</t>
  </si>
  <si>
    <t>G1TPE2</t>
  </si>
  <si>
    <t>G1TPZ1</t>
  </si>
  <si>
    <t>G1TRW8</t>
  </si>
  <si>
    <t>G1U0D7</t>
  </si>
  <si>
    <t>G1U1C7</t>
  </si>
  <si>
    <t>G1U9S2</t>
  </si>
  <si>
    <t>G8ZF12</t>
  </si>
  <si>
    <t>G8ZF16</t>
  </si>
  <si>
    <t>G8ZF18</t>
  </si>
  <si>
    <t>G8ZF19</t>
  </si>
  <si>
    <t>G8ZF20</t>
  </si>
  <si>
    <t>G8ZF22</t>
  </si>
  <si>
    <t>G8ZF24</t>
  </si>
  <si>
    <t>G8ZF25</t>
  </si>
  <si>
    <t>G8ZF27</t>
  </si>
  <si>
    <t>G8ZF28</t>
  </si>
  <si>
    <t>G8ZF31</t>
  </si>
  <si>
    <t>G8ZF32</t>
  </si>
  <si>
    <t>G8ZF33</t>
  </si>
  <si>
    <t>G8ZF34</t>
  </si>
  <si>
    <t>G8ZF35</t>
  </si>
  <si>
    <t>G8ZF38</t>
  </si>
  <si>
    <t>G8ZF40</t>
  </si>
  <si>
    <t>G8ZF41</t>
  </si>
  <si>
    <t>G8ZF42</t>
  </si>
  <si>
    <t>G8ZF50</t>
  </si>
  <si>
    <t>G8ZF55</t>
  </si>
  <si>
    <t>G8ZF57</t>
  </si>
  <si>
    <t>G8ZF59</t>
  </si>
  <si>
    <t>G8ZF61</t>
  </si>
  <si>
    <t>P01377</t>
  </si>
  <si>
    <t>P01870</t>
  </si>
  <si>
    <t>P01948</t>
  </si>
  <si>
    <t>P02057</t>
  </si>
  <si>
    <t>P02099</t>
  </si>
  <si>
    <t>P03988</t>
  </si>
  <si>
    <t>P04221</t>
  </si>
  <si>
    <t>P12247</t>
  </si>
  <si>
    <t>P19007</t>
  </si>
  <si>
    <t>P19134</t>
  </si>
  <si>
    <t>P20058</t>
  </si>
  <si>
    <t>P26202</t>
  </si>
  <si>
    <t>P47845</t>
  </si>
  <si>
    <t>P80191</t>
  </si>
  <si>
    <t>Q28694</t>
  </si>
  <si>
    <t>Q28698</t>
  </si>
  <si>
    <t>Q28888</t>
  </si>
  <si>
    <t>Q6LEJ1</t>
  </si>
  <si>
    <t>Q6LEJ2</t>
  </si>
  <si>
    <t>Q8MJF1</t>
  </si>
  <si>
    <t>U3KLW4</t>
  </si>
  <si>
    <t>U3KMC6</t>
  </si>
  <si>
    <t>U3KML1</t>
  </si>
  <si>
    <t>U3KMR2</t>
  </si>
  <si>
    <t>G1SK04</t>
  </si>
  <si>
    <t>G1SYJ4</t>
  </si>
  <si>
    <t>G1T9N2</t>
  </si>
  <si>
    <t>G1TJG6</t>
  </si>
  <si>
    <t>G1TLE3</t>
  </si>
  <si>
    <t>G1TYG1</t>
  </si>
  <si>
    <t>P00883</t>
  </si>
  <si>
    <t>P11974</t>
  </si>
  <si>
    <t>P25704</t>
  </si>
  <si>
    <t>B7NZM1</t>
  </si>
  <si>
    <t>G1SJM1</t>
  </si>
  <si>
    <t>G1SZ91</t>
  </si>
  <si>
    <t>G1SZV5</t>
  </si>
  <si>
    <t>Q2PPJ8</t>
  </si>
  <si>
    <t>Q8WN94</t>
  </si>
  <si>
    <t>G1SLT8</t>
  </si>
  <si>
    <t>G1SPB8</t>
  </si>
  <si>
    <t>G1T336</t>
  </si>
  <si>
    <t>G1T586</t>
  </si>
  <si>
    <t>G1T7H0</t>
  </si>
  <si>
    <t>G1T7Z6</t>
  </si>
  <si>
    <t>G1TMU2</t>
  </si>
  <si>
    <t>G1TVT0</t>
  </si>
  <si>
    <t>G1U0J2</t>
  </si>
  <si>
    <t>G1U248</t>
  </si>
  <si>
    <t>O19049</t>
  </si>
  <si>
    <t>O77768</t>
  </si>
  <si>
    <t>A5HC45</t>
  </si>
  <si>
    <t>G1TUA3</t>
  </si>
  <si>
    <t>G1SCK5</t>
  </si>
  <si>
    <t>G1TME7</t>
  </si>
  <si>
    <t>G1TSY8</t>
  </si>
  <si>
    <t>P23035</t>
  </si>
  <si>
    <t>Q07298</t>
  </si>
  <si>
    <t>Q28665</t>
  </si>
  <si>
    <t>Q28666</t>
  </si>
  <si>
    <t>G1SQD1</t>
  </si>
  <si>
    <t>G1T916</t>
  </si>
  <si>
    <t>G1TC37</t>
  </si>
  <si>
    <t>P10160</t>
  </si>
  <si>
    <t>G1T8P4</t>
  </si>
  <si>
    <t>G1U001</t>
  </si>
  <si>
    <t>P19943</t>
  </si>
  <si>
    <t>G1SRH7</t>
  </si>
  <si>
    <t>G1SU82</t>
  </si>
  <si>
    <t>G1SUZ1</t>
  </si>
  <si>
    <t>G1SV22</t>
  </si>
  <si>
    <t>G1SYM4</t>
  </si>
  <si>
    <t>G1SZC2</t>
  </si>
  <si>
    <t>G1SZH0</t>
  </si>
  <si>
    <t>G1T432</t>
  </si>
  <si>
    <t>G1T7R2</t>
  </si>
  <si>
    <t>G1T7S0</t>
  </si>
  <si>
    <t>G1T8G5</t>
  </si>
  <si>
    <t>G1TKE3</t>
  </si>
  <si>
    <t>G1U415</t>
  </si>
  <si>
    <t>G1U4P8</t>
  </si>
  <si>
    <t>P15253</t>
  </si>
  <si>
    <t>Q9TRA5</t>
  </si>
  <si>
    <t>A0A0G2JH23</t>
  </si>
  <si>
    <t>G1SFA3</t>
  </si>
  <si>
    <t>G1SL50</t>
  </si>
  <si>
    <t>G1SLQ4</t>
  </si>
  <si>
    <t>G1SQ70</t>
  </si>
  <si>
    <t>G1SS91</t>
  </si>
  <si>
    <t>G1ST52</t>
  </si>
  <si>
    <t>G1SUU3</t>
  </si>
  <si>
    <t>G1T4K6</t>
  </si>
  <si>
    <t>G1T5L0</t>
  </si>
  <si>
    <t>G1TEQ0</t>
  </si>
  <si>
    <t>G1TFU1</t>
  </si>
  <si>
    <t>G1THZ6</t>
  </si>
  <si>
    <t>G1TL31</t>
  </si>
  <si>
    <t>G1TLA0</t>
  </si>
  <si>
    <t>G1TPF8</t>
  </si>
  <si>
    <t>G1TS12</t>
  </si>
  <si>
    <t>G1TTH1</t>
  </si>
  <si>
    <t>G1TU78</t>
  </si>
  <si>
    <t>G1TUA6</t>
  </si>
  <si>
    <t>G1TUI9</t>
  </si>
  <si>
    <t>G1TUM0</t>
  </si>
  <si>
    <t>G1TV71</t>
  </si>
  <si>
    <t>G1TVD5</t>
  </si>
  <si>
    <t>G1TXB6</t>
  </si>
  <si>
    <t>G1TXI1</t>
  </si>
  <si>
    <t>G1U2Q5</t>
  </si>
  <si>
    <t>G1U4G2</t>
  </si>
  <si>
    <t>G1U7K4</t>
  </si>
  <si>
    <t>G1U7K9</t>
  </si>
  <si>
    <t>G1U9J5</t>
  </si>
  <si>
    <t>G1U9Q9</t>
  </si>
  <si>
    <t>U3KLT3</t>
  </si>
  <si>
    <t>G1STV0</t>
  </si>
  <si>
    <t>Q9XSG0</t>
  </si>
  <si>
    <t>G1SCI9</t>
  </si>
  <si>
    <t>G1SCY4</t>
  </si>
  <si>
    <t>G1SR41</t>
  </si>
  <si>
    <t>G1SSL0</t>
  </si>
  <si>
    <t>G1SU98</t>
  </si>
  <si>
    <t>Q09YN4</t>
  </si>
  <si>
    <t>G1T1F7</t>
  </si>
  <si>
    <t>G1T295</t>
  </si>
  <si>
    <t>G1SEL0</t>
  </si>
  <si>
    <t>G1SR65</t>
  </si>
  <si>
    <t>G1SQ18</t>
  </si>
  <si>
    <t>G1TW43</t>
  </si>
  <si>
    <t>G1U0K9</t>
  </si>
  <si>
    <t>G1TSX5</t>
  </si>
  <si>
    <t>G1SQE8</t>
  </si>
  <si>
    <t>G1SSZ8</t>
  </si>
  <si>
    <t>G1T8N1</t>
  </si>
  <si>
    <t>A0A0E3X260</t>
  </si>
  <si>
    <t>B2ZTE9</t>
  </si>
  <si>
    <t>G1SDW8</t>
  </si>
  <si>
    <t>G1SEK8</t>
  </si>
  <si>
    <t>G1SGB5</t>
  </si>
  <si>
    <t>G1SVW9</t>
  </si>
  <si>
    <t>G1SZR8</t>
  </si>
  <si>
    <t>G1T0F8</t>
  </si>
  <si>
    <t>G1T2W6</t>
  </si>
  <si>
    <t>G1TAN3</t>
  </si>
  <si>
    <t>G1TF67</t>
  </si>
  <si>
    <t>G1TKX5</t>
  </si>
  <si>
    <t>G1TNR8</t>
  </si>
  <si>
    <t>G1TRF0</t>
  </si>
  <si>
    <t>G1TVC0</t>
  </si>
  <si>
    <t>G1U1T8</t>
  </si>
  <si>
    <t>G1U9B4</t>
  </si>
  <si>
    <t>P01376</t>
  </si>
  <si>
    <t>P34032</t>
  </si>
  <si>
    <t>G1SEZ9</t>
  </si>
  <si>
    <t>G1SKD9</t>
  </si>
  <si>
    <t>G1SNJ9</t>
  </si>
  <si>
    <t>G1SP22</t>
  </si>
  <si>
    <t>G1T8G9</t>
  </si>
  <si>
    <t>G1SDJ7</t>
  </si>
  <si>
    <t>G1SJS1</t>
  </si>
  <si>
    <t>G1SLM0</t>
  </si>
  <si>
    <t>G1SMY1</t>
  </si>
  <si>
    <t>G1SQM7</t>
  </si>
  <si>
    <t>G1T695</t>
  </si>
  <si>
    <t>G1TLW3</t>
  </si>
  <si>
    <t>G1TPN3</t>
  </si>
  <si>
    <t>G1TSK0</t>
  </si>
  <si>
    <t>G1TUH9</t>
  </si>
  <si>
    <t>G1TWL0</t>
  </si>
  <si>
    <t>U3KLZ3</t>
  </si>
  <si>
    <t>G1SNV9</t>
  </si>
  <si>
    <t>P53787</t>
  </si>
  <si>
    <t>G1SE76</t>
  </si>
  <si>
    <t>G1T3D8</t>
  </si>
  <si>
    <t>G1TPS1</t>
  </si>
  <si>
    <t>G1U6A8</t>
  </si>
  <si>
    <t>G1SFV4</t>
  </si>
  <si>
    <t>G1SIG2</t>
  </si>
  <si>
    <t>G1SL16</t>
  </si>
  <si>
    <t>G1SLD5</t>
  </si>
  <si>
    <t>G1TAG8</t>
  </si>
  <si>
    <t>G1TTB8</t>
  </si>
  <si>
    <t>G1T6Q8</t>
  </si>
  <si>
    <t>P09451</t>
  </si>
  <si>
    <t>B6V9S9</t>
  </si>
  <si>
    <t>G1SI79</t>
  </si>
  <si>
    <t>G1SQJ9</t>
  </si>
  <si>
    <t>G1ST68</t>
  </si>
  <si>
    <t>G1ST78</t>
  </si>
  <si>
    <t>G1SZ44</t>
  </si>
  <si>
    <t>G1T168</t>
  </si>
  <si>
    <t>G1T638</t>
  </si>
  <si>
    <t>G1T7N7</t>
  </si>
  <si>
    <t>G1TAQ7</t>
  </si>
  <si>
    <t>G1TD36</t>
  </si>
  <si>
    <t>G1TEC1</t>
  </si>
  <si>
    <t>G1TEW2</t>
  </si>
  <si>
    <t>G1TF04</t>
  </si>
  <si>
    <t>G1TFA7</t>
  </si>
  <si>
    <t>G1TGC3</t>
  </si>
  <si>
    <t>G1TI92</t>
  </si>
  <si>
    <t>G1TIJ9</t>
  </si>
  <si>
    <t>G1TIW2</t>
  </si>
  <si>
    <t>G1TJ66</t>
  </si>
  <si>
    <t>G1TJT7</t>
  </si>
  <si>
    <t>G1TKV1</t>
  </si>
  <si>
    <t>G1TM80</t>
  </si>
  <si>
    <t>G1TMM8</t>
  </si>
  <si>
    <t>G1TNC3</t>
  </si>
  <si>
    <t>G1TPH6</t>
  </si>
  <si>
    <t>G1TPQ9</t>
  </si>
  <si>
    <t>G1TQR2</t>
  </si>
  <si>
    <t>G1TRP8</t>
  </si>
  <si>
    <t>G1TUF3</t>
  </si>
  <si>
    <t>G1TVN7</t>
  </si>
  <si>
    <t>G1TWB8</t>
  </si>
  <si>
    <t>G1TY70</t>
  </si>
  <si>
    <t>G1U0E7</t>
  </si>
  <si>
    <t>G1U0F2</t>
  </si>
  <si>
    <t>G1U0Z0</t>
  </si>
  <si>
    <t>G1U1U4</t>
  </si>
  <si>
    <t>G1U422</t>
  </si>
  <si>
    <t>G1U598</t>
  </si>
  <si>
    <t>G1U5S9</t>
  </si>
  <si>
    <t>G1U675</t>
  </si>
  <si>
    <t>G1U6X6</t>
  </si>
  <si>
    <t>G1U7T5</t>
  </si>
  <si>
    <t>G1U8T8</t>
  </si>
  <si>
    <t>G1U9S3</t>
  </si>
  <si>
    <t>U3KM01</t>
  </si>
  <si>
    <t>G1SI83</t>
  </si>
  <si>
    <t>G1SXP7</t>
  </si>
  <si>
    <t>G1SCT0</t>
  </si>
  <si>
    <t>G1T8V2</t>
  </si>
  <si>
    <t>Q07003</t>
  </si>
  <si>
    <t>G1SXP3</t>
  </si>
  <si>
    <t>G1T0R9</t>
  </si>
  <si>
    <t>G1T8Z0</t>
  </si>
  <si>
    <t>G1TT06</t>
  </si>
  <si>
    <t>G1TY06</t>
  </si>
  <si>
    <t>G1TY33</t>
  </si>
  <si>
    <t>P00919</t>
  </si>
  <si>
    <t>G1SLL7</t>
  </si>
  <si>
    <t>G1T2L1</t>
  </si>
  <si>
    <t>G1TBC1</t>
  </si>
  <si>
    <t>G1T0G5</t>
  </si>
  <si>
    <t>G1T1N8</t>
  </si>
  <si>
    <t>G1T4H3</t>
  </si>
  <si>
    <t>G1TF91</t>
  </si>
  <si>
    <t>G1SN00</t>
  </si>
  <si>
    <t>G1SPR9</t>
  </si>
  <si>
    <t>C1J961</t>
  </si>
  <si>
    <t>D9I2Z7</t>
  </si>
  <si>
    <t>D9IL80</t>
  </si>
  <si>
    <t>G1SE61</t>
  </si>
  <si>
    <t>G1SFT4</t>
  </si>
  <si>
    <t>G1SN83</t>
  </si>
  <si>
    <t>G1SR38</t>
  </si>
  <si>
    <t>G1SYV9</t>
  </si>
  <si>
    <t>G1T6W2</t>
  </si>
  <si>
    <t>G1T6W5</t>
  </si>
  <si>
    <t>G1T754</t>
  </si>
  <si>
    <t>G1TFI6</t>
  </si>
  <si>
    <t>G1TFQ8</t>
  </si>
  <si>
    <t>G1TJG8</t>
  </si>
  <si>
    <t>G1TP66</t>
  </si>
  <si>
    <t>G1TSA5</t>
  </si>
  <si>
    <t>G1U5J7</t>
  </si>
  <si>
    <t>G1U687</t>
  </si>
  <si>
    <t>G1SR48</t>
  </si>
  <si>
    <t>G1T380</t>
  </si>
  <si>
    <t>G1SQV9</t>
  </si>
  <si>
    <t>G1T229</t>
  </si>
  <si>
    <t>G1TZA1</t>
  </si>
  <si>
    <t>G1TAI8</t>
  </si>
  <si>
    <t>A5HC55</t>
  </si>
  <si>
    <t>B7NZG1</t>
  </si>
  <si>
    <t>G1SIB6</t>
  </si>
  <si>
    <t>G1SL57</t>
  </si>
  <si>
    <t>G1SNK5</t>
  </si>
  <si>
    <t>G1SP46</t>
  </si>
  <si>
    <t>G1SRG0</t>
  </si>
  <si>
    <t>G1SWS6</t>
  </si>
  <si>
    <t>G1SX52</t>
  </si>
  <si>
    <t>G1T085</t>
  </si>
  <si>
    <t>G1T2C4</t>
  </si>
  <si>
    <t>G1TA37</t>
  </si>
  <si>
    <t>G1TBS1</t>
  </si>
  <si>
    <t>G1TFT0</t>
  </si>
  <si>
    <t>G1TI08</t>
  </si>
  <si>
    <t>G1TJP1</t>
  </si>
  <si>
    <t>G1TKC9</t>
  </si>
  <si>
    <t>G1TRK3</t>
  </si>
  <si>
    <t>G1TV92</t>
  </si>
  <si>
    <t>G1U0Q7</t>
  </si>
  <si>
    <t>G1U1Q8</t>
  </si>
  <si>
    <t>G1U723</t>
  </si>
  <si>
    <t>G1T814</t>
  </si>
  <si>
    <t>G1TCH7</t>
  </si>
  <si>
    <t>G1TCJ1</t>
  </si>
  <si>
    <t>G1SQG5</t>
  </si>
  <si>
    <t>B7NZM0</t>
  </si>
  <si>
    <t>G1SN31</t>
  </si>
  <si>
    <t>G1SXX5</t>
  </si>
  <si>
    <t>G1U2V8</t>
  </si>
  <si>
    <t>Q9GK63</t>
  </si>
  <si>
    <t>Q9GK67</t>
  </si>
  <si>
    <t>G1T7I4</t>
  </si>
  <si>
    <t>G1SIJ2</t>
  </si>
  <si>
    <t>G1SUA9</t>
  </si>
  <si>
    <t>G1T2U6</t>
  </si>
  <si>
    <t>G1U0S4</t>
  </si>
  <si>
    <t>U3KM82</t>
  </si>
  <si>
    <t>U3KNA5</t>
  </si>
  <si>
    <t>G1U2W8</t>
  </si>
  <si>
    <t>G1U6R8</t>
  </si>
  <si>
    <t>A5HC39</t>
  </si>
  <si>
    <t>G1SS52</t>
  </si>
  <si>
    <t>G1SV24</t>
  </si>
  <si>
    <t>G1TXC0</t>
  </si>
  <si>
    <t>G1TYM1</t>
  </si>
  <si>
    <t>G1SHX1</t>
  </si>
  <si>
    <t>Q9TS84</t>
  </si>
  <si>
    <t>G1TUH4</t>
  </si>
  <si>
    <t>G1SIK0</t>
  </si>
  <si>
    <t>G1SZA4</t>
  </si>
  <si>
    <t>G1TCD0</t>
  </si>
  <si>
    <t>G1U7R0</t>
  </si>
  <si>
    <t>Q45GR2</t>
  </si>
  <si>
    <t>G1T663</t>
  </si>
  <si>
    <t>G1TIB4</t>
  </si>
  <si>
    <t>G1U6T5</t>
  </si>
  <si>
    <t>G1SL85</t>
  </si>
  <si>
    <t>G1SLY0</t>
  </si>
  <si>
    <t>G1T2J0</t>
  </si>
  <si>
    <t>Q9TT15</t>
  </si>
  <si>
    <t>Q9TTJ6</t>
  </si>
  <si>
    <t>G1TKG6</t>
  </si>
  <si>
    <t>G1TPJ8</t>
  </si>
  <si>
    <t>G1T983</t>
  </si>
  <si>
    <t>G1TJR9</t>
  </si>
  <si>
    <t>U3KNT2</t>
  </si>
  <si>
    <t>Actin, cytoplasmic 1 OS=Oryctolagus cuniculus GN=ACTB PE=3 SV=1</t>
  </si>
  <si>
    <t>Uncharacterized protein OS=Oryctolagus cuniculus GN=ACTBL2 PE=3 SV=1</t>
  </si>
  <si>
    <t>Uncharacterized protein OS=Oryctolagus cuniculus GN=TUBB PE=3 SV=1</t>
  </si>
  <si>
    <t>Uncharacterized protein OS=Oryctolagus cuniculus GN=ACTG2 PE=3 SV=1</t>
  </si>
  <si>
    <t>Uncharacterized protein (Fragment) OS=Oryctolagus cuniculus GN=KRT4 PE=3 SV=1</t>
  </si>
  <si>
    <t>Uncharacterized protein OS=Oryctolagus cuniculus GN=LOC100349893 PE=3 SV=1</t>
  </si>
  <si>
    <t>Uncharacterized protein OS=Oryctolagus cuniculus GN=ACTC1 PE=3 SV=1</t>
  </si>
  <si>
    <t>Uncharacterized protein OS=Oryctolagus cuniculus GN=TUBB2A PE=3 SV=1</t>
  </si>
  <si>
    <t>Uncharacterized protein OS=Oryctolagus cuniculus GN=TPM4 PE=3 SV=1</t>
  </si>
  <si>
    <t>Uncharacterized protein OS=Oryctolagus cuniculus GN=TUBA3E PE=3 SV=1</t>
  </si>
  <si>
    <t>Uncharacterized protein OS=Oryctolagus cuniculus GN=TPM3 PE=3 SV=1</t>
  </si>
  <si>
    <t>Uncharacterized protein OS=Oryctolagus cuniculus GN=TUBB2B PE=3 SV=1</t>
  </si>
  <si>
    <t>Uncharacterized protein OS=Oryctolagus cuniculus GN=TUBA8 PE=3 SV=2</t>
  </si>
  <si>
    <t>Uncharacterized protein (Fragment) OS=Oryctolagus cuniculus GN=TUBB6 PE=3 SV=1</t>
  </si>
  <si>
    <t>Uncharacterized protein OS=Oryctolagus cuniculus GN=LOC100346652 PE=3 SV=1</t>
  </si>
  <si>
    <t>Uncharacterized protein OS=Oryctolagus cuniculus GN=LOC100357567 PE=3 SV=1</t>
  </si>
  <si>
    <t>Uncharacterized protein OS=Oryctolagus cuniculus GN=ACTN1 PE=4 SV=1</t>
  </si>
  <si>
    <t>Uncharacterized protein OS=Oryctolagus cuniculus GN=TUBA4A PE=3 SV=1</t>
  </si>
  <si>
    <t>Uncharacterized protein OS=Oryctolagus cuniculus GN=LOC100350027 PE=3 SV=2</t>
  </si>
  <si>
    <t>Uncharacterized protein OS=Oryctolagus cuniculus GN=TUBB4A PE=3 SV=1</t>
  </si>
  <si>
    <t>Uncharacterized protein OS=Oryctolagus cuniculus GN=TUBA1A PE=3 SV=1</t>
  </si>
  <si>
    <t>Uncharacterized protein (Fragment) OS=Oryctolagus cuniculus GN=TUBB3 PE=3 SV=1</t>
  </si>
  <si>
    <t>Tropomyosin alpha-1 chain OS=Oryctolagus cuniculus GN=TPM1 PE=1 SV=1</t>
  </si>
  <si>
    <t>Actin, alpha skeletal muscle OS=Oryctolagus cuniculus GN=ACTA1 PE=1 SV=1</t>
  </si>
  <si>
    <t>Beta-tropomyosin isoform 2 OS=Oryctolagus cuniculus GN=Tpm2 PE=2 SV=1</t>
  </si>
  <si>
    <t>Uncharacterized protein (Fragment) OS=Oryctolagus cuniculus GN=MSN PE=4 SV=1</t>
  </si>
  <si>
    <t>Actin, cytoplasmic 1 OS=Oryctolagus cuniculus GN=ACTB PE=2 SV=1</t>
  </si>
  <si>
    <t>Smooth muscle alpha-tropomyosin (Fragment) OS=Oryctolagus cuniculus PE=2 SV=1</t>
  </si>
  <si>
    <t>COX6B protein (Predicted) (Fragment) OS=Oryctolagus cuniculus GN=COX6B PE=4 SV=1</t>
  </si>
  <si>
    <t>Detoxification antioxidant</t>
  </si>
  <si>
    <t>Uncharacterized protein OS=Oryctolagus cuniculus GN=COX6B1 PE=4 SV=1</t>
  </si>
  <si>
    <t>Malate dehydrogenase OS=Oryctolagus cuniculus GN=MDH2 PE=3 SV=1</t>
  </si>
  <si>
    <t>Tyrosine 3-monooxygenase/tryptophan 5-monooxygenase activation protein, eta polypeptide (Predicted) OS=Oryctolagus cuniculus GN=YWHAH PE=3 SV=1</t>
  </si>
  <si>
    <t>Calmodulin OS=Oryctolagus cuniculus GN=CALM PE=1 SV=2</t>
  </si>
  <si>
    <t>Extracellular</t>
  </si>
  <si>
    <t>Uncharacterized protein (Fragment) OS=Oryctolagus cuniculus GN=COL6A2 PE=4 SV=1</t>
  </si>
  <si>
    <t>Uncharacterized protein OS=Oryctolagus cuniculus GN=KRT17 PE=3 SV=1</t>
  </si>
  <si>
    <t>Uncharacterized protein OS=Oryctolagus cuniculus GN=KRT84 PE=3 SV=1</t>
  </si>
  <si>
    <t>Uncharacterized protein (Fragment) OS=Oryctolagus cuniculus GN=KRT75 PE=3 SV=1</t>
  </si>
  <si>
    <t>Uncharacterized protein OS=Oryctolagus cuniculus GN=KRT7 PE=3 SV=2</t>
  </si>
  <si>
    <t>Uncharacterized protein OS=Oryctolagus cuniculus GN=LOC100352401 PE=3 SV=1</t>
  </si>
  <si>
    <t>Uncharacterized protein OS=Oryctolagus cuniculus GN=TUBA1B PE=3 SV=1</t>
  </si>
  <si>
    <t>Uncharacterized protein OS=Oryctolagus cuniculus GN=PRDX1 PE=4 SV=1</t>
  </si>
  <si>
    <t>Uncharacterized protein OS=Oryctolagus cuniculus GN=KRT72 PE=3 SV=1</t>
  </si>
  <si>
    <t>Uncharacterized protein OS=Oryctolagus cuniculus GN=KRT27 PE=4 SV=1</t>
  </si>
  <si>
    <t>Uncharacterized protein OS=Oryctolagus cuniculus GN=FARP2 PE=4 SV=2</t>
  </si>
  <si>
    <t>Uncharacterized protein OS=Oryctolagus cuniculus GN=KRT10 PE=3 SV=1</t>
  </si>
  <si>
    <t>Uncharacterized protein OS=Oryctolagus cuniculus GN=KRT14 PE=3 SV=2</t>
  </si>
  <si>
    <t>Uncharacterized protein OS=Oryctolagus cuniculus GN=KRT16 PE=3 SV=2</t>
  </si>
  <si>
    <t>Uncharacterized protein OS=Oryctolagus cuniculus GN=KRT13 PE=3 SV=2</t>
  </si>
  <si>
    <t>Uncharacterized protein (Fragment) OS=Oryctolagus cuniculus GN=KRT28 PE=4 SV=1</t>
  </si>
  <si>
    <t>Uncharacterized protein OS=Oryctolagus cuniculus GN=KRT19 PE=3 SV=1</t>
  </si>
  <si>
    <t>Uncharacterized protein OS=Oryctolagus cuniculus GN=KRT5 PE=3 SV=1</t>
  </si>
  <si>
    <t>Uncharacterized protein OS=Oryctolagus cuniculus GN=KRT73 PE=3 SV=1</t>
  </si>
  <si>
    <t>Uncharacterized protein OS=Oryctolagus cuniculus GN=KRT20 PE=3 SV=1</t>
  </si>
  <si>
    <t>Uncharacterized protein OS=Oryctolagus cuniculus GN=KRT23 PE=3 SV=1</t>
  </si>
  <si>
    <t>Uncharacterized protein OS=Oryctolagus cuniculus GN=LOC100008885 PE=4 SV=1</t>
  </si>
  <si>
    <t>Uncharacterized protein OS=Oryctolagus cuniculus GN=KRT76 PE=4 SV=1</t>
  </si>
  <si>
    <t>Uncharacterized protein OS=Oryctolagus cuniculus GN=KRT18 PE=3 SV=1</t>
  </si>
  <si>
    <t>Uncharacterized protein OS=Oryctolagus cuniculus GN=KRT78 PE=3 SV=1</t>
  </si>
  <si>
    <t>Uncharacterized protein OS=Oryctolagus cuniculus GN=KRT77 PE=3 SV=2</t>
  </si>
  <si>
    <t>Uncharacterized protein OS=Oryctolagus cuniculus GN=KRT71 PE=3 SV=1</t>
  </si>
  <si>
    <t>Keratin, type I cytoskeletal 12 (Fragment) OS=Oryctolagus cuniculus GN=KRT12 PE=2 SV=1</t>
  </si>
  <si>
    <t>Keratin, type II cytoskeletal 3 OS=Oryctolagus cuniculus GN=KRT3 PE=2 SV=1</t>
  </si>
  <si>
    <t>Keratin 10 (Fragment) OS=Oryctolagus cuniculus PE=2 SV=1</t>
  </si>
  <si>
    <t>Uncharacterized protein OS=Oryctolagus cuniculus GN=RDX PE=4 SV=2</t>
  </si>
  <si>
    <t>Uncharacterized protein OS=Oryctolagus cuniculus GN=SPTAN1 PE=4 SV=2</t>
  </si>
  <si>
    <t>Uncharacterized protein OS=Oryctolagus cuniculus GN=KRT2 PE=3 SV=1</t>
  </si>
  <si>
    <t>Extracellular </t>
  </si>
  <si>
    <t>Uncharacterized protein OS=Oryctolagus cuniculus GN=KRT25 PE=4 SV=1</t>
  </si>
  <si>
    <t>Uncharacterized protein OS=Oryctolagus cuniculus GN=ACTN4 PE=4 SV=2</t>
  </si>
  <si>
    <t>Uncharacterized protein OS=Oryctolagus cuniculus GN=HSP90AB1 PE=4 SV=1</t>
  </si>
  <si>
    <t>heat shock protein </t>
  </si>
  <si>
    <t>Uncharacterized protein OS=Oryctolagus cuniculus GN=HSPA2 PE=3 SV=1</t>
  </si>
  <si>
    <t>Heat shock protein HSP 90-beta OS=Oryctolagus cuniculus GN=HSP90AB1 PE=3 SV=2</t>
  </si>
  <si>
    <t>Uncharacterized protein (Fragment) OS=Oryctolagus cuniculus GN=HSPA8 PE=3 SV=1</t>
  </si>
  <si>
    <t>Uncharacterized protein (Fragment) OS=Oryctolagus cuniculus GN=HSPA5 PE=3 SV=1</t>
  </si>
  <si>
    <t>Heat shock protein HSP 90-alpha OS=Oryctolagus cuniculus GN=HSP90AA1 PE=1 SV=2</t>
  </si>
  <si>
    <t>Uncharacterized protein (Fragment) OS=Oryctolagus cuniculus GN=LOC100354435 PE=3 SV=1</t>
  </si>
  <si>
    <t>Uncharacterized protein OS=Oryctolagus cuniculus GN=LOC100354037 PE=3 SV=1</t>
  </si>
  <si>
    <t>Histone H2A (Fragment) OS=Oryctolagus cuniculus GN=H2AFZ PE=3 SV=1</t>
  </si>
  <si>
    <t>Histone H2A OS=Oryctolagus cuniculus GN=LOC100347019 PE=3 SV=1</t>
  </si>
  <si>
    <t>Histone H2A OS=Oryctolagus cuniculus GN=HIST1H2AC PE=3 SV=1</t>
  </si>
  <si>
    <t>Histone H2A OS=Oryctolagus cuniculus GN=HIST1H2AA PE=3 SV=1</t>
  </si>
  <si>
    <t>Histone H3 OS=Oryctolagus cuniculus GN=H3F3B PE=3 SV=1</t>
  </si>
  <si>
    <t>Histone H4 OS=Oryctolagus cuniculus GN=LOC100354956 PE=3 SV=1</t>
  </si>
  <si>
    <t>Histone H2A OS=Oryctolagus cuniculus GN=HIST2H2AA4 PE=3 SV=1</t>
  </si>
  <si>
    <t>Histone H3 (Fragment) OS=Oryctolagus cuniculus PE=3 SV=1</t>
  </si>
  <si>
    <t>Histone H2A OS=Oryctolagus cuniculus GN=LOC100345168 PE=3 SV=1</t>
  </si>
  <si>
    <t>Histone H4 OS=Oryctolagus cuniculus GN=HIST1H4F PE=3 SV=1</t>
  </si>
  <si>
    <t>Histone H3 OS=Oryctolagus cuniculus GN=LOC100354792 PE=3 SV=1</t>
  </si>
  <si>
    <t>Histone H2A OS=Oryctolagus cuniculus GN=LOC103345138 PE=3 SV=1</t>
  </si>
  <si>
    <t>Histone H2A OS=Oryctolagus cuniculus GN=H2AFJ PE=3 SV=1</t>
  </si>
  <si>
    <t>Histone H2A OS=Oryctolagus cuniculus GN=LOC100348485 PE=3 SV=1</t>
  </si>
  <si>
    <t>Histone H2A.V OS=Oryctolagus cuniculus GN=H2AFV PE=2 SV=3</t>
  </si>
  <si>
    <t>Histone H3.3 OS=Oryctolagus cuniculus GN=H3F3A PE=2 SV=2</t>
  </si>
  <si>
    <t>Uncharacterized protein OS=Oryctolagus cuniculus GN=H3F3C PE=4 SV=1</t>
  </si>
  <si>
    <t>Histone H3 OS=Oryctolagus cuniculus GN=LOC103350067 PE=3 SV=1</t>
  </si>
  <si>
    <t>Histone H3 OS=Oryctolagus cuniculus GN=LOC100341005 PE=3 SV=1</t>
  </si>
  <si>
    <t>Uncharacterized protein OS=Oryctolagus cuniculus GN=LOC100344410 PE=4 SV=1</t>
  </si>
  <si>
    <t>Histone H3 OS=Oryctolagus cuniculus GN=LOC100347117 PE=3 SV=1</t>
  </si>
  <si>
    <t>Histone H3 OS=Oryctolagus cuniculus GN=LOC103349695 PE=3 SV=1</t>
  </si>
  <si>
    <t>Histone H3 OS=Oryctolagus cuniculus GN=LOC100354642 PE=3 SV=1</t>
  </si>
  <si>
    <t>H3L-like histone (Fragment) OS=Oryctolagus cuniculus PE=4 SV=1</t>
  </si>
  <si>
    <t>ATP synthase subunit alpha OS=Oryctolagus cuniculus GN=ATP5A1 PE=3 SV=1</t>
  </si>
  <si>
    <t>Metabolism/energy</t>
  </si>
  <si>
    <t>Uncharacterized protein OS=Oryctolagus cuniculus GN=VCP PE=3 SV=1</t>
  </si>
  <si>
    <t>Triosephosphate isomerase OS=Oryctolagus cuniculus GN=TPI1 PE=3 SV=1</t>
  </si>
  <si>
    <t>ATP synthase subunit beta OS=Oryctolagus cuniculus PE=3 SV=1</t>
  </si>
  <si>
    <t>ATP synthase subunit beta (Fragment) OS=Oryctolagus cuniculus GN=ATP5B PE=2 SV=1</t>
  </si>
  <si>
    <t>Protein disulfide-isomerase OS=Oryctolagus cuniculus GN=PDIA3 PE=3 SV=1</t>
  </si>
  <si>
    <t>Protein metabolism</t>
  </si>
  <si>
    <t>Protein disulfide-isomerase OS=Oryctolagus cuniculus GN=PDIA3 PE=3 SV=2</t>
  </si>
  <si>
    <t>Uncharacterized protein OS=Oryctolagus cuniculus GN=UBB PE=4 SV=1</t>
  </si>
  <si>
    <t>Uncharacterized protein OS=Oryctolagus cuniculus GN=CCT5 PE=3 SV=1</t>
  </si>
  <si>
    <t>Protein disulfide-isomerase OS=Oryctolagus cuniculus GN=P4HB PE=2 SV=1</t>
  </si>
  <si>
    <t>Elongation factor 1-alpha OS=Oryctolagus cuniculus GN=EEF1A1 PE=3 SV=1</t>
  </si>
  <si>
    <t>Elongation factor 1-alpha OS=Oryctolagus cuniculus GN=LOC100345095 PE=3 SV=1</t>
  </si>
  <si>
    <t>Elongation factor 1-alpha 1 OS=Oryctolagus cuniculus GN=EEF1A1 PE=1 SV=1</t>
  </si>
  <si>
    <t>Elongation factor 1-alpha 2 OS=Oryctolagus cuniculus GN=EEF1A2 PE=1 SV=1</t>
  </si>
  <si>
    <t>Uncharacterized protein OS=Oryctolagus cuniculus GN=PSMC3 PE=3 SV=2</t>
  </si>
  <si>
    <t>Uncharacterized protein (Fragment) OS=Oryctolagus cuniculus PE=3 SV=1</t>
  </si>
  <si>
    <t>Uncharacterized protein OS=Oryctolagus cuniculus GN=RPS27A PE=1 SV=1</t>
  </si>
  <si>
    <t>40S ribosomal protein SA OS=Oryctolagus cuniculus GN=LOC100340199 PE=1 SV=2</t>
  </si>
  <si>
    <t>40S ribosomal protein SA OS=Oryctolagus cuniculus GN=LOC100344316 PE=3 SV=1</t>
  </si>
  <si>
    <t>Uncharacterized protein OS=Oryctolagus cuniculus GN=RPS27A PE=4 SV=1</t>
  </si>
  <si>
    <t>Uncharacterized protein OS=Oryctolagus cuniculus GN=RAP1A PE=4 SV=1</t>
  </si>
  <si>
    <t>Uncharacterized protein OS=Oryctolagus cuniculus GN=NACA PE=4 SV=2</t>
  </si>
  <si>
    <t>GDP dissociation inhibitor 1 (Predicted) OS=Oryctolagus cuniculus GN=GDI1 PE=4 SV=1</t>
  </si>
  <si>
    <t>Uncharacterized protein (Fragment) OS=Oryctolagus cuniculus PE=4 SV=1</t>
  </si>
  <si>
    <t>Uncharacterized protein OS=Oryctolagus cuniculus GN=SMAP2 PE=4 SV=1</t>
  </si>
  <si>
    <t>Uncharacterized protein OS=Oryctolagus cuniculus PE=4 SV=1</t>
  </si>
  <si>
    <t>Uncharacterized protein OS=Oryctolagus cuniculus GN=HSP90AB1 PE=3 SV=1</t>
  </si>
  <si>
    <t>Unknown function</t>
  </si>
  <si>
    <t>Uncharacterized protein OS=Oryctolagus cuniculus GN=RAP1B PE=4 SV=1</t>
  </si>
  <si>
    <t>RecName: Full=Antimicrobial peptide microplusin; Flags: Precursor</t>
  </si>
  <si>
    <t>Uncharacterized protein OS=Oryctolagus cuniculus GN=TUBB1 PE=4 SV=1</t>
  </si>
  <si>
    <t>Uncharacterized protein OS=Oryctolagus cuniculus GN=ACTN2 PE=4 SV=1</t>
  </si>
  <si>
    <t>Uncharacterized protein OS=Oryctolagus cuniculus GN=MACF1 PE=4 SV=2</t>
  </si>
  <si>
    <t>Uncharacterized protein OS=Oryctolagus cuniculus GN=TUBAL3 PE=3 SV=2</t>
  </si>
  <si>
    <t>Uncharacterized protein OS=Oryctolagus cuniculus GN=ACTN3 PE=4 SV=1</t>
  </si>
  <si>
    <t>Muscle alpha-actinin subunit (Fragment) OS=Oryctolagus cuniculus PE=2 SV=1</t>
  </si>
  <si>
    <t>Beta tropomyosin OS=Oryctolagus cuniculus PE=2 SV=1</t>
  </si>
  <si>
    <t>Glyceraldehyde-3-phosphate dehydrogenase OS=Oryctolagus cuniculus GN=GAPDHS PE=3 SV=2</t>
  </si>
  <si>
    <t>Uncharacterized protein OS=Oryctolagus cuniculus GN=LCMT1 PE=4 SV=1</t>
  </si>
  <si>
    <t>Uncharacterized protein OS=Oryctolagus cuniculus GN=RPS5 PE=3 SV=1</t>
  </si>
  <si>
    <t>Uncharacterized protein OS=Oryctolagus cuniculus GN=CTNND2 PE=4 SV=2</t>
  </si>
  <si>
    <t>Heat shock protein 70 (Fragment) OS=Oryctolagus cuniculus GN=hsp70-2 PE=4 SV=1</t>
  </si>
  <si>
    <t>Histone-lysine N-methyltransferase OS=Oryctolagus cuniculus GN=ASH1L PE=4 SV=2</t>
  </si>
  <si>
    <t>Uncharacterized protein OS=Oryctolagus cuniculus GN=POLQ PE=4 SV=2</t>
  </si>
  <si>
    <t>Metabolism/nucleic acid</t>
  </si>
  <si>
    <t>Uncharacterized protein (Fragment) OS=Oryctolagus cuniculus GN=RIC8A PE=4 SV=1</t>
  </si>
  <si>
    <t>Proteasome subunit alpha type (Fragment) OS=Oryctolagus cuniculus GN=SORT1 PE=3 SV=1</t>
  </si>
  <si>
    <t>Uncharacterized protein OS=Oryctolagus cuniculus GN=DST PE=4 SV=2</t>
  </si>
  <si>
    <t>Uncharacterized protein OS=Oryctolagus cuniculus GN=RBM45 PE=4 SV=2</t>
  </si>
  <si>
    <t>Uncharacterized protein OS=Oryctolagus cuniculus GN=EIF4A2 PE=3 SV=1</t>
  </si>
  <si>
    <t>Uncharacterized protein OS=Oryctolagus cuniculus GN=LOC100357733 PE=3 SV=1</t>
  </si>
  <si>
    <t>Uncharacterized protein OS=Oryctolagus cuniculus GN=WBSCR22 PE=4 SV=1</t>
  </si>
  <si>
    <t>Uncharacterized protein OS=Oryctolagus cuniculus GN=LOC100348336 PE=4 SV=1</t>
  </si>
  <si>
    <t>RecName: Full=40S ribosomal protein S21</t>
  </si>
  <si>
    <t>RecName: Full=40S ribosomal protein S4</t>
  </si>
  <si>
    <t>Ribosomal protein S18 (Fragment) OS=Oryctolagus cuniculus GN=RPS18 PE=2 SV=1</t>
  </si>
  <si>
    <t>Uncharacterized protein OS=Oryctolagus cuniculus GN=LOC100341294 PE=3 SV=1</t>
  </si>
  <si>
    <t>p40 OS=Borna disease virus GN=N PE=4 SV=1</t>
  </si>
  <si>
    <t>Uncharacterized protein OS=Oryctolagus cuniculus GN=NUP93 PE=4 SV=1</t>
  </si>
  <si>
    <t>Uncharacterized protein OS=Oryctolagus cuniculus GN=PIGO PE=4 SV=2</t>
  </si>
  <si>
    <t>Insulin-induced gene protein OS=Oryctolagus cuniculus GN=INSIG2 PE=3 SV=2</t>
  </si>
  <si>
    <t>Uncharacterized protein OS=Oryctolagus cuniculus GN=VAPA PE=4 SV=1</t>
  </si>
  <si>
    <t>Uncharacterized protein (Fragment) OS=Oryctolagus cuniculus GN=RGP1 PE=4 SV=1</t>
  </si>
  <si>
    <t>Uncharacterized protein OS=Oryctolagus cuniculus GN=PRKAR1A PE=4 SV=2</t>
  </si>
  <si>
    <t>Uncharacterized protein (Fragment) OS=Oryctolagus cuniculus GN=KCNK6 PE=3 SV=1</t>
  </si>
  <si>
    <t>Uncharacterized protein OS=Oryctolagus cuniculus GN=IGFBP5 PE=4 SV=1</t>
  </si>
  <si>
    <t>Uncharacterized protein OS=Oryctolagus cuniculus GN=MAP7D1 PE=4 SV=2</t>
  </si>
  <si>
    <t>RecName: Full=Translationally-controlled tumor protein homolog; Short=TCTP</t>
  </si>
  <si>
    <t>Uncharacterized protein OS=Oryctolagus cuniculus GN=APC PE=4 SV=1</t>
  </si>
  <si>
    <t>Uncharacterized protein OS=Oryctolagus cuniculus GN=SENP2 PE=4 SV=1</t>
  </si>
  <si>
    <t>Uncharacterized protein OS=Oryctolagus cuniculus GN=SLC25A5 PE=3 SV=1</t>
  </si>
  <si>
    <t>Transport</t>
  </si>
  <si>
    <t>Uncharacterized protein OS=Oryctolagus cuniculus GN=SLC25A31 PE=3 SV=1</t>
  </si>
  <si>
    <t>Transprt</t>
  </si>
  <si>
    <t>Uncharacterized protein OS=Oryctolagus cuniculus GN=FRY PE=4 SV=2</t>
  </si>
  <si>
    <t>Uncharacterized protein OS=Oryctolagus cuniculus GN=PLEKHA7 PE=4 SV=2</t>
  </si>
  <si>
    <t>Uncharacterized protein OS=Oryctolagus cuniculus GN=MYO7B PE=4 SV=2</t>
  </si>
  <si>
    <t>Uncharacterized protein OS=Oryctolagus cuniculus GN=MAPRE1 PE=4 SV=1</t>
  </si>
  <si>
    <t>Alpha-tubulin (Fragment) OS=Oryctolagus cuniculus PE=2 SV=1</t>
  </si>
  <si>
    <t>Uncharacterized protein OS=Oryctolagus cuniculus GN=TRMT2B PE=4 SV=2</t>
  </si>
  <si>
    <t>Uncharacterized protein OS=Oryctolagus cuniculus GN=NDST2 PE=4 SV=1</t>
  </si>
  <si>
    <t>Uncharacterized protein OS=Oryctolagus cuniculus GN=CHI3L2 PE=3 SV=1</t>
  </si>
  <si>
    <t>Protein-tyrosine-phosphatase OS=Oryctolagus cuniculus GN=PTPRT PE=4 SV=2</t>
  </si>
  <si>
    <t>Uncharacterized protein OS=Oryctolagus cuniculus GN=DDX39B PE=4 SV=1</t>
  </si>
  <si>
    <t>Annexin OS=Oryctolagus cuniculus GN=ANXA7 PE=3 SV=1</t>
  </si>
  <si>
    <t>Uncharacterized protein OS=Oryctolagus cuniculus GN=CCDC9 PE=4 SV=2</t>
  </si>
  <si>
    <t>T-complex protein 1 subunit alpha OS=Oryctolagus cuniculus GN=TCP1 PE=3 SV=1</t>
  </si>
  <si>
    <t>Immune related</t>
  </si>
  <si>
    <t>Uncharacterized protein OS=Oryctolagus cuniculus GN=HMG20A PE=4 SV=1</t>
  </si>
  <si>
    <t>Metabolism/lipid</t>
  </si>
  <si>
    <t>Uncharacterized protein OS=Oryctolagus cuniculus GN=PHYHIP PE=4 SV=2</t>
  </si>
  <si>
    <t>Phosphoinositide phospholipase C OS=Oryctolagus cuniculus GN=PLCD3 PE=4 SV=2</t>
  </si>
  <si>
    <t>Uncharacterized protein OS=Oryctolagus cuniculus GN=TCERG1 PE=4 SV=1</t>
  </si>
  <si>
    <t>Uncharacterized protein OS=Oryctolagus cuniculus GN=NOP56 PE=4 SV=2</t>
  </si>
  <si>
    <t>Uncharacterized protein (Fragment) OS=Oryctolagus cuniculus GN=CSPP1 PE=4 SV=1</t>
  </si>
  <si>
    <t>Protein disulfide-isomerase (Fragment) OS=Oryctolagus cuniculus GN=PDIA4 PE=3 SV=1</t>
  </si>
  <si>
    <t>Uncharacterized protein OS=Oryctolagus cuniculus GN=HARS PE=3 SV=1</t>
  </si>
  <si>
    <t>Uncharacterized protein (Fragment) OS=Oryctolagus cuniculus GN=RANBP9 PE=4 SV=1</t>
  </si>
  <si>
    <t>Uncharacterized protein OS=Oryctolagus cuniculus GN=RPS23 PE=1 SV=1</t>
  </si>
  <si>
    <t>Uncharacterized protein OS=Oryctolagus cuniculus GN=RPS3 PE=4 SV=1</t>
  </si>
  <si>
    <t>RecName: Full=60S ribosomal protein L18</t>
  </si>
  <si>
    <t>Uncharacterized protein OS=Oryctolagus cuniculus GN=PPP2R5A PE=4 SV=1</t>
  </si>
  <si>
    <t>Anion exchange transporter OS=Oryctolagus cuniculus GN=SLC26A7 PE=3 SV=1</t>
  </si>
  <si>
    <t>Uncharacterized protein OS=Oryctolagus cuniculus GN=WASF3 PE=4 SV=2</t>
  </si>
  <si>
    <t>A-kinase anchor protein 9 OS=Oryctolagus cuniculus GN=AKAP9 PE=4 SV=2</t>
  </si>
  <si>
    <t>Uncharacterized protein OS=Oryctolagus cuniculus GN=SAMHD1 PE=4 SV=2</t>
  </si>
  <si>
    <t>Uncharacterized protein OS=Oryctolagus cuniculus GN=SIPA1L3 PE=4 SV=1</t>
  </si>
  <si>
    <t>Uncharacterized protein OS=Oryctolagus cuniculus GN=PQBP1 PE=4 SV=2</t>
  </si>
  <si>
    <t>Uncharacterized protein (Fragment) OS=Oryctolagus cuniculus GN=MYCBP2 PE=4 SV=1</t>
  </si>
  <si>
    <t>Alpha 2A adrenoceptor OS=Oryctolagus cuniculus GN=adra2A PE=2 SV=1</t>
  </si>
  <si>
    <t>Uncharacterized protein OS=Oryctolagus cuniculus GN=LOC100358304 PE=4 SV=1</t>
  </si>
  <si>
    <t>Uncharacterized protein OS=Oryctolagus cuniculus PE=3 SV=1</t>
  </si>
  <si>
    <t>Olfactory receptor OS=Oryctolagus cuniculus GN=LOC100353107 PE=3 SV=1</t>
  </si>
  <si>
    <t>Uncharacterized protein OS=Oryctolagus cuniculus GN=RPS3 PE=1 SV=2</t>
  </si>
  <si>
    <t>Uncharacterized protein OS=Oryctolagus cuniculus GN=LOC100340083 PE=3 SV=1</t>
  </si>
  <si>
    <t>Uncharacterized protein OS=Oryctolagus cuniculus GN=LOC100346439 PE=3 SV=1</t>
  </si>
  <si>
    <t>Uncharacterized protein OS=Oryctolagus cuniculus GN=EPHA10 PE=4 SV=2</t>
  </si>
  <si>
    <t>Lysozyme OS=Oryctolagus cuniculus PE=2 SV=1</t>
  </si>
  <si>
    <t>Protein S100 OS=Oryctolagus cuniculus GN=LOC100008703 PE=3 SV=1</t>
  </si>
  <si>
    <t>Protein S100 (Fragment) OS=Oryctolagus cuniculus GN=S100A11 PE=3 SV=1</t>
  </si>
  <si>
    <t>Protein S100 OS=Oryctolagus cuniculus GN=S100A4 PE=3 SV=1</t>
  </si>
  <si>
    <t>Protein S100 OS=Oryctolagus cuniculus GN=S100A8 PE=3 SV=1</t>
  </si>
  <si>
    <t>Lysozyme OS=Oryctolagus cuniculus GN=LYZ PE=3 SV=1</t>
  </si>
  <si>
    <t>Bactericidal permeability-increasing protein OS=Oryctolagus cuniculus GN=BPI PE=4 SV=2</t>
  </si>
  <si>
    <t>Lysozyme OS=Oryctolagus cuniculus GN=LOC100341160 PE=3 SV=1</t>
  </si>
  <si>
    <t>Uncharacterized protein OS=Oryctolagus cuniculus GN=LOC100352872 PE=4 SV=1</t>
  </si>
  <si>
    <t>Uncharacterized protein OS=Oryctolagus cuniculus GN=LOC100009134 PE=4 SV=1</t>
  </si>
  <si>
    <t>ATS-22 OS=Oryctolagus cuniculus PE=2 SV=1</t>
  </si>
  <si>
    <t>Neutrophil antibiotic peptide NP-4 OS=Oryctolagus cuniculus PE=1 SV=2</t>
  </si>
  <si>
    <t>Antimicrobial protein CAP18 OS=Oryctolagus cuniculus GN=CAP18 PE=1 SV=1</t>
  </si>
  <si>
    <t>Trichohyalin OS=Oryctolagus cuniculus GN=TCHH PE=2 SV=1</t>
  </si>
  <si>
    <t>Protein S100-A9 OS=Oryctolagus cuniculus GN=S100A9 PE=2 SV=3</t>
  </si>
  <si>
    <t>Protein S100-A10 OS=Oryctolagus cuniculus GN=S100a10 PE=3 SV=3</t>
  </si>
  <si>
    <t>Fibrinogen beta chain OS=Oryctolagus cuniculus GN=FGB PE=4 SV=2</t>
  </si>
  <si>
    <t>Prothrombin OS=Oryctolagus cuniculus GN=F2 PE=3 SV=1</t>
  </si>
  <si>
    <t>Uncharacterized protein OS=Oryctolagus cuniculus GN=FGG PE=4 SV=1</t>
  </si>
  <si>
    <t>Fibrinogen alpha chain OS=Oryctolagus cuniculus GN=FGA PE=4 SV=2</t>
  </si>
  <si>
    <t>Histidine-rich glycoprotein OS=Oryctolagus cuniculus GN=HRG PE=4 SV=2</t>
  </si>
  <si>
    <t>Fibronectin (Fragment) OS=Oryctolagus cuniculus GN=FN1 PE=4 SV=1</t>
  </si>
  <si>
    <t>Fibronectin (Fragment) OS=Oryctolagus cuniculus PE=2 SV=1</t>
  </si>
  <si>
    <t>Prothrombin (Fragment) OS=Oryctolagus cuniculus PE=2 SV=1</t>
  </si>
  <si>
    <t>Fibrinogen A-alpha chain (Fragment) OS=Oryctolagus cuniculus PE=4 SV=1</t>
  </si>
  <si>
    <t>Plasmin (Fragment) OS=Oryctolagus cuniculus PE=1 SV=1</t>
  </si>
  <si>
    <t>High-mobility group box 1 (Predicted) OS=Oryctolagus cuniculus GN=HMGB1 PE=4 SV=1</t>
  </si>
  <si>
    <t>Desmin (Predicted) OS=Oryctolagus cuniculus GN=DES PE=4 SV=1</t>
  </si>
  <si>
    <t>FLNA protein (Predicted) OS=Oryctolagus cuniculus GN=RA_m006_jsm7BED4f PE=4 SV=1</t>
  </si>
  <si>
    <t>Uncharacterized protein (Fragment) OS=Oryctolagus cuniculus GN=MYL9 PE=4 SV=1</t>
  </si>
  <si>
    <t>Uncharacterized protein (Fragment) OS=Oryctolagus cuniculus GN=PFN1 PE=4 SV=1</t>
  </si>
  <si>
    <t>Uncharacterized protein OS=Oryctolagus cuniculus GN=CAPG PE=4 SV=2</t>
  </si>
  <si>
    <t>Uncharacterized protein OS=Oryctolagus cuniculus GN=NEFH PE=3 SV=1</t>
  </si>
  <si>
    <t>Annexin OS=Oryctolagus cuniculus GN=ANXA2 PE=3 SV=2</t>
  </si>
  <si>
    <t>Uncharacterized protein OS=Oryctolagus cuniculus GN=MYH9 PE=4 SV=1</t>
  </si>
  <si>
    <t>Uncharacterized protein OS=Oryctolagus cuniculus GN=STOM PE=4 SV=1</t>
  </si>
  <si>
    <t>Uncharacterized protein (Fragment) OS=Oryctolagus cuniculus GN=DSP PE=4 SV=2</t>
  </si>
  <si>
    <t>Uncharacterized protein OS=Oryctolagus cuniculus GN=MYH10 PE=4 SV=2</t>
  </si>
  <si>
    <t>Uncharacterized protein OS=Oryctolagus cuniculus GN=MYL6B PE=4 SV=1</t>
  </si>
  <si>
    <t>Uncharacterized protein OS=Oryctolagus cuniculus GN=NEFL PE=3 SV=1</t>
  </si>
  <si>
    <t>Uncharacterized protein OS=Oryctolagus cuniculus GN=LOC100349824 PE=4 SV=1</t>
  </si>
  <si>
    <t>Uncharacterized protein OS=Oryctolagus cuniculus GN=DSTN PE=4 SV=1</t>
  </si>
  <si>
    <t>Uncharacterized protein OS=Oryctolagus cuniculus PE=4 SV=2</t>
  </si>
  <si>
    <t>Myosin-11 OS=Oryctolagus cuniculus GN=MYH11 PE=4 SV=1</t>
  </si>
  <si>
    <t>Uncharacterized protein OS=Oryctolagus cuniculus GN=ACTR3 PE=3 SV=1</t>
  </si>
  <si>
    <t>Smooth muscle myosin heavy chain (light meromyosin) (Fragment) OS=Oryctolagus cuniculus PE=2 SV=1</t>
  </si>
  <si>
    <t>Myosin heavy chain, embryonic smooth muscle isoform (Fragment) OS=Oryctolagus cuniculus PE=2 SV=1</t>
  </si>
  <si>
    <t>Uncharacterized protein OS=Oryctolagus cuniculus GN=LOX PE=4 SV=2</t>
  </si>
  <si>
    <t>Thioredoxin OS=Oryctolagus cuniculus GN=TXN PE=3 SV=1</t>
  </si>
  <si>
    <t>Uncharacterized protein (Fragment) OS=Oryctolagus cuniculus GN=EPX PE=4 SV=1</t>
  </si>
  <si>
    <t>Glutathione peroxidase OS=Oryctolagus cuniculus PE=3 SV=1</t>
  </si>
  <si>
    <t>Uncharacterized protein OS=Oryctolagus cuniculus GN=GSTP1 PE=3 SV=2</t>
  </si>
  <si>
    <t>Glutathione peroxidase 1 OS=Oryctolagus cuniculus GN=GPX1 PE=2 SV=2</t>
  </si>
  <si>
    <t>Serum paraoxonase/arylesterase 1 OS=Oryctolagus cuniculus GN=PON1 PE=1 SV=2</t>
  </si>
  <si>
    <t>Uncharacterized protein OS=Oryctolagus cuniculus GN=PGAM1 PE=4 SV=1</t>
  </si>
  <si>
    <t>14-3-3 protein theta OS=Oryctolagus cuniculus GN=YWHAQ PE=3 SV=1</t>
  </si>
  <si>
    <t>Catalase OS=Oryctolagus cuniculus GN=CAT PE=3 SV=2</t>
  </si>
  <si>
    <t>Transketolase OS=Oryctolagus cuniculus GN=TKT PE=3 SV=2</t>
  </si>
  <si>
    <t>Peptidyl-prolyl cis-trans isomerase OS=Oryctolagus cuniculus PE=3 SV=1</t>
  </si>
  <si>
    <t>Uncharacterized protein (Fragment) OS=Oryctolagus cuniculus GN=ALAS1 PE=4 SV=1</t>
  </si>
  <si>
    <t>Uncharacterized protein OS=Oryctolagus cuniculus GN=YWHAG PE=3 SV=1</t>
  </si>
  <si>
    <t>Uncharacterized protein OS=Oryctolagus cuniculus GN=DPYSL2 PE=4 SV=1</t>
  </si>
  <si>
    <t>Peptidyl-prolyl cis-trans isomerase A OS=Oryctolagus cuniculus GN=PPIA PE=2 SV=3</t>
  </si>
  <si>
    <t>Uncharacterized protein (Fragment) OS=Oryctolagus cuniculus GN=YWHAZ PE=3 SV=1</t>
  </si>
  <si>
    <t>Uncharacterized protein OS=Oryctolagus cuniculus GN=YWHAB PE=3 SV=1</t>
  </si>
  <si>
    <t>Filamin A, alpha isoform 2 (Predicted) OS=Oryctolagus cuniculus GN=FLNA PE=4 SV=1</t>
  </si>
  <si>
    <t>Uncharacterized protein OS=Oryctolagus cuniculus GN=INA PE=3 SV=1</t>
  </si>
  <si>
    <t>Lumican OS=Oryctolagus cuniculus GN=LUM PE=4 SV=1</t>
  </si>
  <si>
    <t>Uncharacterized protein OS=Oryctolagus cuniculus GN=LOC100343422 PE=3 SV=1</t>
  </si>
  <si>
    <t>Uncharacterized protein OS=Oryctolagus cuniculus GN=VIM PE=3 SV=1</t>
  </si>
  <si>
    <t>Uncharacterized protein OS=Oryctolagus cuniculus GN=LMNA PE=3 SV=1</t>
  </si>
  <si>
    <t>Collagen alpha-2(I) chain OS=Oryctolagus cuniculus GN=COL1A2 PE=4 SV=1</t>
  </si>
  <si>
    <t>Uncharacterized protein OS=Oryctolagus cuniculus GN=KRT32 PE=3 SV=1</t>
  </si>
  <si>
    <t>Uncharacterized protein OS=Oryctolagus cuniculus GN=KRT35 PE=3 SV=1</t>
  </si>
  <si>
    <t>Uncharacterized protein OS=Oryctolagus cuniculus GN=KRT33B PE=3 SV=1</t>
  </si>
  <si>
    <t>Uncharacterized protein OS=Oryctolagus cuniculus GN=COL2A1 PE=4 SV=2</t>
  </si>
  <si>
    <t>Uncharacterized protein OS=Oryctolagus cuniculus GN=KRT31 PE=3 SV=1</t>
  </si>
  <si>
    <t>Uncharacterized protein OS=Oryctolagus cuniculus GN=LOC100343678 PE=3 SV=1</t>
  </si>
  <si>
    <t>Uncharacterized protein OS=Oryctolagus cuniculus GN=COTL1 PE=4 SV=2</t>
  </si>
  <si>
    <t>Uncharacterized protein OS=Oryctolagus cuniculus GN=COL3A1 PE=4 SV=1</t>
  </si>
  <si>
    <t>Uncharacterized protein OS=Oryctolagus cuniculus GN=COL14A1 PE=4 SV=1</t>
  </si>
  <si>
    <t>Neurofilament medium polypeptide OS=Oryctolagus cuniculus GN=NEFM PE=3 SV=2</t>
  </si>
  <si>
    <t>Uncharacterized protein OS=Oryctolagus cuniculus GN=PRELP PE=4 SV=1</t>
  </si>
  <si>
    <t>Uncharacterized protein OS=Oryctolagus cuniculus GN=CNNM2 PE=4 SV=1</t>
  </si>
  <si>
    <t>Uncharacterized protein (Fragment) OS=Oryctolagus cuniculus GN=COL6A1 PE=4 SV=1</t>
  </si>
  <si>
    <t>Collagen alpha-1(I) chain (Fragment) OS=Oryctolagus cuniculus GN=COL1A1 PE=1 SV=1</t>
  </si>
  <si>
    <t>Uncharacterized protein OS=Oryctolagus cuniculus GN=HSPB1 PE=3 SV=1</t>
  </si>
  <si>
    <t>Uncharacterized protein OS=Oryctolagus cuniculus GN=HIST1H1A PE=3 SV=1</t>
  </si>
  <si>
    <t>Uncharacterized protein OS=Oryctolagus cuniculus GN=HIST1H1C PE=3 SV=1</t>
  </si>
  <si>
    <t>Histone H2B OS=Oryctolagus cuniculus GN=LOC100348835 PE=3 SV=1</t>
  </si>
  <si>
    <t>Histone H2B OS=Oryctolagus cuniculus GN=HIST2H2BF PE=3 SV=1</t>
  </si>
  <si>
    <t>Histone H2B OS=Oryctolagus cuniculus GN=LOC100348578 PE=3 SV=1</t>
  </si>
  <si>
    <t>Uncharacterized protein OS=Oryctolagus cuniculus GN=HIST1H1T PE=3 SV=1</t>
  </si>
  <si>
    <t>Histone H2B OS=Oryctolagus cuniculus GN=HIST1H2BH PE=3 SV=1</t>
  </si>
  <si>
    <t>Uncharacterized protein OS=Oryctolagus cuniculus GN=HIST1H1D PE=3 SV=1</t>
  </si>
  <si>
    <t>Histone H1.3 OS=Oryctolagus cuniculus PE=1 SV=1</t>
  </si>
  <si>
    <t>Histone H1.4 OS=Oryctolagus cuniculus GN=HIST1H1E PE=1 SV=2</t>
  </si>
  <si>
    <t>IgG heavy chain VDJ region OS=Oryctolagus cuniculus PE=2 SV=1</t>
  </si>
  <si>
    <t>IgM light chain OS=Oryctolagus cuniculus PE=2 SV=1</t>
  </si>
  <si>
    <t>IgG light chain OS=Oryctolagus cuniculus PE=2 SV=1</t>
  </si>
  <si>
    <t>Uncharacterized protein OS=Oryctolagus cuniculus GN=VCL PE=4 SV=1</t>
  </si>
  <si>
    <t>Uncharacterized protein OS=Oryctolagus cuniculus GN=MED29 PE=4 SV=1</t>
  </si>
  <si>
    <t>Uncharacterized protein OS=Oryctolagus cuniculus GN=THBS1 PE=4 SV=2</t>
  </si>
  <si>
    <t>Uncharacterized protein OS=Oryctolagus cuniculus GN=TBC1D9B PE=4 SV=2</t>
  </si>
  <si>
    <t>Uncharacterized protein OS=Oryctolagus cuniculus GN=PRPH PE=4 SV=2</t>
  </si>
  <si>
    <t>Uncharacterized protein OS=Oryctolagus cuniculus GN=SFN PE=3 SV=1</t>
  </si>
  <si>
    <t>Peptidoglycan-recognition protein OS=Oryctolagus cuniculus GN=PGLYRP1 PE=3 SV=1</t>
  </si>
  <si>
    <t>Complement C3 alpha chain OS=Oryctolagus cuniculus GN=C3 PE=4 SV=2</t>
  </si>
  <si>
    <t>Uncharacterized protein OS=Oryctolagus cuniculus GN=CFH PE=4 SV=2</t>
  </si>
  <si>
    <t>Transthyretin OS=Oryctolagus cuniculus GN=TTR PE=3 SV=1</t>
  </si>
  <si>
    <t>Annexin OS=Oryctolagus cuniculus GN=ANXA5 PE=3 SV=2</t>
  </si>
  <si>
    <t>Annexin OS=Oryctolagus cuniculus GN=ANXA3 PE=3 SV=2</t>
  </si>
  <si>
    <t>Uncharacterized protein OS=Oryctolagus cuniculus GN=LTF PE=3 SV=2</t>
  </si>
  <si>
    <t>Annexin OS=Oryctolagus cuniculus GN=ANXA1 PE=3 SV=1</t>
  </si>
  <si>
    <t>Galectin OS=Oryctolagus cuniculus GN=LGALS7 PE=4 SV=1</t>
  </si>
  <si>
    <t>Uncharacterized protein OS=Oryctolagus cuniculus GN=AZGP1 PE=3 SV=2</t>
  </si>
  <si>
    <t>Uncharacterized protein (Fragment) OS=Oryctolagus cuniculus GN=HBG1 PE=3 SV=1</t>
  </si>
  <si>
    <t>Galectin OS=Oryctolagus cuniculus GN=LGALS1 PE=4 SV=1</t>
  </si>
  <si>
    <t>Uncharacterized protein OS=Oryctolagus cuniculus GN=LCN2 PE=3 SV=1</t>
  </si>
  <si>
    <t>Uncharacterized protein OS=Oryctolagus cuniculus GN=COLEC10 PE=4 SV=2</t>
  </si>
  <si>
    <t>Uncharacterized protein OS=Oryctolagus cuniculus GN=IL37 PE=3 SV=2</t>
  </si>
  <si>
    <t>Serum albumin OS=Oryctolagus cuniculus GN=ALB PE=1 SV=1</t>
  </si>
  <si>
    <t>Alpha-globin 1 OS=Oryctolagus cuniculus GN=HBA1 PE=3 SV=1</t>
  </si>
  <si>
    <t>Alpha-globin 2 OS=Oryctolagus cuniculus GN=HBA2 PE=3 SV=1</t>
  </si>
  <si>
    <t>Alpha-globin OS=Sylvilagus floridanus GN=HBA PE=3 SV=1</t>
  </si>
  <si>
    <t>Corticostatin-4 OS=Oryctolagus cuniculus PE=1 SV=2</t>
  </si>
  <si>
    <t>Ig gamma chain C region OS=Oryctolagus cuniculus PE=1 SV=1</t>
  </si>
  <si>
    <t>Hemoglobin subunit alpha-1/2 OS=Oryctolagus cuniculus PE=1 SV=2</t>
  </si>
  <si>
    <t>Hemoglobin subunit beta-1/2 OS=Oryctolagus cuniculus GN=HBB1 PE=1 SV=2</t>
  </si>
  <si>
    <t>Hemoglobin subunit gamma OS=Oryctolagus cuniculus GN=HBG PE=2 SV=2</t>
  </si>
  <si>
    <t>Ig mu chain C region secreted form OS=Oryctolagus cuniculus PE=2 SV=1</t>
  </si>
  <si>
    <t>Ig mu chain C region membrane-bound form OS=Oryctolagus cuniculus PE=2 SV=2</t>
  </si>
  <si>
    <t>Complement C3 alpha chain (Fragment) OS=Oryctolagus cuniculus GN=C3 PE=2 SV=1</t>
  </si>
  <si>
    <t>Haptoglobin OS=Oryctolagus cuniculus GN=HP PE=1 SV=2</t>
  </si>
  <si>
    <t>Serotransferrin OS=Oryctolagus cuniculus GN=TF PE=1 SV=4</t>
  </si>
  <si>
    <t>Hemopexin OS=Oryctolagus cuniculus GN=HPX PE=1 SV=2</t>
  </si>
  <si>
    <t>15 kDa protein A OS=Oryctolagus cuniculus PE=1 SV=2</t>
  </si>
  <si>
    <t>Galectin-3 OS=Oryctolagus cuniculus GN=LGALS3 PE=2 SV=2</t>
  </si>
  <si>
    <t>Alpha-2-HS-glycoprotein (Fragment) OS=Oryctolagus cuniculus GN=AHSG PE=1 SV=2</t>
  </si>
  <si>
    <t>Deadenylyl-alpha-globin (Fragment) OS=Oryctolagus cuniculus PE=4 SV=1</t>
  </si>
  <si>
    <t>Deadenylyl-beta-globin (Fragment) OS=Oryctolagus cuniculus PE=3 SV=1</t>
  </si>
  <si>
    <t>Decorin OS=Oryctolagus cuniculus GN=DCN PE=2 SV=1</t>
  </si>
  <si>
    <t>Ig germline kappa isotype K1 (allotype b4) complete J-C region, 3&amp;#039; ends (Fragment) OS=Oryctolagus cuniculus PE=4 SV=1</t>
  </si>
  <si>
    <t>Mimecan OS=Oryctolagus cuniculus GN=OGN PE=1 SV=1</t>
  </si>
  <si>
    <t>Uncharacterized protein OS=Oryctolagus cuniculus GN=TCP11L2 PE=4 SV=1</t>
  </si>
  <si>
    <t>Uncharacterized protein OS=Oryctolagus cuniculus GN=CP PE=4 SV=1</t>
  </si>
  <si>
    <t>Biglycan OS=Oryctolagus cuniculus GN=BGN PE=4 SV=1</t>
  </si>
  <si>
    <t>Alpha-2-HS-glycoprotein OS=Oryctolagus cuniculus GN=AHSG PE=4 SV=1</t>
  </si>
  <si>
    <t>Uncharacterized protein OS=Oryctolagus cuniculus GN=ENO2 PE=3 SV=1</t>
  </si>
  <si>
    <t>Uncharacterized protein OS=Oryctolagus cuniculus GN=ENO1 PE=3 SV=1</t>
  </si>
  <si>
    <t>Uncharacterized protein OS=Oryctolagus cuniculus GN=ATP5H PE=4 SV=1</t>
  </si>
  <si>
    <t>Glyceraldehyde-3-phosphate dehydrogenase OS=Oryctolagus cuniculus GN=GAPDH PE=3 SV=1</t>
  </si>
  <si>
    <t>Phosphoglycerate kinase OS=Oryctolagus cuniculus PE=3 SV=2</t>
  </si>
  <si>
    <t>Fructose-bisphosphate aldolase A OS=Oryctolagus cuniculus GN=ALDOA PE=1 SV=2</t>
  </si>
  <si>
    <t>Pyruvate kinase PKM OS=Oryctolagus cuniculus GN=PKM PE=1 SV=4</t>
  </si>
  <si>
    <t>Beta-enolase OS=Oryctolagus cuniculus GN=ENO3 PE=1 SV=4</t>
  </si>
  <si>
    <t>Apolipoprotein A-I (Predicted) OS=Oryctolagus cuniculus GN=RA_m003_jsm4E071r PE=4 SV=1</t>
  </si>
  <si>
    <t>Uncharacterized protein OS=Oryctolagus cuniculus GN=APOH PE=4 SV=2</t>
  </si>
  <si>
    <t>Uncharacterized protein OS=Oryctolagus cuniculus GN=FABP5 PE=4 SV=2</t>
  </si>
  <si>
    <t>Apolipoprotein A-I OS=Oryctolagus cuniculus GN=APOA1 PE=4 SV=1</t>
  </si>
  <si>
    <t>Apolipoprotein A-I OS=Oryctolagus cuniculus GN=apoA-I PE=2 SV=1</t>
  </si>
  <si>
    <t>Metabolism/lipids</t>
  </si>
  <si>
    <t>Acyl-CoA-binding protein OS=Oryctolagus cuniculus GN=DBI PE=3 SV=3</t>
  </si>
  <si>
    <t>Uncharacterized protein OS=Oryctolagus cuniculus GN=HNRNPH3 PE=4 SV=1</t>
  </si>
  <si>
    <t>Uncharacterized protein OS=Oryctolagus cuniculus GN=NAP1L4 PE=3 SV=1</t>
  </si>
  <si>
    <t>Uncharacterized protein OS=Oryctolagus cuniculus GN=DDX3X PE=3 SV=2</t>
  </si>
  <si>
    <t>Uncharacterized protein (Fragment) OS=Oryctolagus cuniculus GN=LOC100359118 PE=4 SV=1</t>
  </si>
  <si>
    <t>Uncharacterized protein OS=Oryctolagus cuniculus GN=HNRNPU PE=4 SV=2</t>
  </si>
  <si>
    <t>Phosphoglycerate kinase OS=Oryctolagus cuniculus GN=LOC100348124 PE=3 SV=1</t>
  </si>
  <si>
    <t>Uncharacterized protein OS=Oryctolagus cuniculus GN=HNRNPF PE=4 SV=1</t>
  </si>
  <si>
    <t>Uncharacterized protein OS=Oryctolagus cuniculus GN=NCL PE=4 SV=1</t>
  </si>
  <si>
    <t>Uncharacterized protein OS=Oryctolagus cuniculus GN=LOC100359118 PE=4 SV=2</t>
  </si>
  <si>
    <t>Uncharacterized protein OS=Oryctolagus cuniculus GN=HNRNPH1 PE=4 SV=2</t>
  </si>
  <si>
    <t>Heterogeneous nuclear ribonucleoprotein K OS=Oryctolagus cuniculus GN=HNRNPK PE=2 SV=1</t>
  </si>
  <si>
    <t>Heterogeneous nuclear ribonucleoprotein C OS=Oryctolagus cuniculus GN=HNRNPC PE=2 SV=1</t>
  </si>
  <si>
    <t>Cathepsin D (Fragment) OS=Oryctolagus cuniculus PE=2 SV=1</t>
  </si>
  <si>
    <t>Uncharacterized protein OS=Oryctolagus cuniculus GN=CTSD PE=3 SV=1</t>
  </si>
  <si>
    <t>Uncharacterized protein OS=Oryctolagus cuniculus GN=SERPINF1 PE=3 SV=1</t>
  </si>
  <si>
    <t>Uncharacterized protein (Fragment) OS=Oryctolagus cuniculus GN=CSTB PE=4 SV=1</t>
  </si>
  <si>
    <t>Uncharacterized protein (Fragment) OS=Oryctolagus cuniculus GN=AMBP PE=4 SV=1</t>
  </si>
  <si>
    <t>Alpha-1-antiproteinase F OS=Oryctolagus cuniculus PE=1 SV=1</t>
  </si>
  <si>
    <t>Alpha-1-antiproteinase S-1 OS=Oryctolagus cuniculus GN=LOC100008980 PE=2 SV=1</t>
  </si>
  <si>
    <t>Alpha-1-antiproteinase E OS=Oryctolagus cuniculus GN=LOC100008986 PE=2 SV=1</t>
  </si>
  <si>
    <t>Alpha-1-antitrypsin OS=Oryctolagus cuniculus PE=2 SV=1</t>
  </si>
  <si>
    <t>Eukaryotic translation initiation factor 4 gamma 1 OS=Oryctolagus cuniculus GN=EIF4G1 PE=4 SV=2</t>
  </si>
  <si>
    <t>Eukaryotic translation initiation factor 5A OS=Oryctolagus cuniculus GN=LOC100338341 PE=3 SV=1</t>
  </si>
  <si>
    <t>Eukaryotic translation initiation factor 5A OS=Oryctolagus cuniculus GN=EIF5A2 PE=3 SV=1</t>
  </si>
  <si>
    <t>Eukaryotic translation initiation factor 5A-1 OS=Oryctolagus cuniculus GN=EIF5A PE=1 SV=2</t>
  </si>
  <si>
    <t>Uncharacterized protein OS=Oryctolagus cuniculus GN=RPLP1 PE=3 SV=1</t>
  </si>
  <si>
    <t>Uncharacterized protein OS=Oryctolagus cuniculus GN=LOC100352574 PE=3 SV=1</t>
  </si>
  <si>
    <t>60S acidic ribosomal protein P2 (Fragment) OS=Oryctolagus cuniculus GN=RPLP2 PE=1 SV=1</t>
  </si>
  <si>
    <t>Uncharacterized protein OS=Oryctolagus cuniculus GN=SRSF3 PE=4 SV=1</t>
  </si>
  <si>
    <t>Vitamin D-binding protein OS=Oryctolagus cuniculus GN=GC PE=4 SV=1</t>
  </si>
  <si>
    <t>Phosphatidylethanolamine-binding protein 1 OS=Oryctolagus cuniculus GN=PEBP1 PE=4 SV=1</t>
  </si>
  <si>
    <t>Alpha-1B-glycoprotein OS=Oryctolagus cuniculus GN=A1BG PE=4 SV=1</t>
  </si>
  <si>
    <t>Receptor protein-tyrosine kinase OS=Oryctolagus cuniculus GN=EPHA3 PE=4 SV=1</t>
  </si>
  <si>
    <t>Retinol-binding protein 4 OS=Oryctolagus cuniculus GN=RBP4 PE=3 SV=1</t>
  </si>
  <si>
    <t>Adenylyl cyclase-associated protein OS=Oryctolagus cuniculus GN=CAP1 PE=3 SV=1</t>
  </si>
  <si>
    <t>Uncharacterized protein OS=Oryctolagus cuniculus GN=YWHAE PE=3 SV=1</t>
  </si>
  <si>
    <t>Uncharacterized protein OS=Oryctolagus cuniculus GN=MYL12B PE=4 SV=2</t>
  </si>
  <si>
    <t>Uncharacterized protein (Fragment) OS=Oryctolagus cuniculus GN=OLFML1 PE=4 SV=1</t>
  </si>
  <si>
    <t>Transgelin (Fragment) OS=Oryctolagus cuniculus GN=TAGLN2 PE=3 SV=1</t>
  </si>
  <si>
    <t>Vitronectin OS=Oryctolagus cuniculus GN=VTN PE=4 SV=1</t>
  </si>
  <si>
    <t>Uncharacterized protein OS=Oryctolagus cuniculus GN=ASPN PE=4 SV=1</t>
  </si>
  <si>
    <t>Calreticulin OS=Oryctolagus cuniculus GN=CALR PE=1 SV=1</t>
  </si>
  <si>
    <t>Antagonist protein (Fragment) OS=Oryctolagus cuniculus PE=1 SV=1</t>
  </si>
  <si>
    <t>Uncharacterized protein OS=Oryctolagus cuniculus GN=HMGB1 PE=4 SV=1</t>
  </si>
  <si>
    <t>Uncharacterized protein OS=Oryctolagus cuniculus GN=ARP3 PE=3 SV=1</t>
  </si>
  <si>
    <t>Uncharacterized protein OS=Oryctolagus cuniculus GN=A2M PE=4 SV=2</t>
  </si>
  <si>
    <t>Uncharacterized protein OS=Oryctolagus cuniculus GN=LOC100356976 PE=4 SV=1</t>
  </si>
  <si>
    <t>Uncharacterized protein (Fragment) OS=Oryctolagus cuniculus GN=COL6A3 PE=4 SV=1</t>
  </si>
  <si>
    <t>Uncharacterized protein OS=Oryctolagus cuniculus GN=ANKRD26 PE=4 SV=1</t>
  </si>
  <si>
    <t>Uncharacterized protein OS=Oryctolagus cuniculus GN=IGHM PE=4 SV=2</t>
  </si>
  <si>
    <t>Uncharacterized protein OS=Oryctolagus cuniculus GN=LOC100340601 PE=3 SV=1</t>
  </si>
  <si>
    <t>Uncharacterized protein OS=Oryctolagus cuniculus GN=CFL1 PE=4 SV=1</t>
  </si>
  <si>
    <t>Uncharacterized protein OS=Oryctolagus cuniculus GN=NPM1 PE=4 SV=1</t>
  </si>
  <si>
    <t>Uncharacterized protein OS=Oryctolagus cuniculus GN=RPL38 PE=3 SV=1</t>
  </si>
  <si>
    <t>Uncharacterized protein (Fragment) OS=Oryctolagus cuniculus GN=AHNAK PE=4 SV=1</t>
  </si>
  <si>
    <t>Uncharacterized protein OS=Oryctolagus cuniculus GN=LOC100359149 PE=4 SV=1</t>
  </si>
  <si>
    <t>Uncharacterized protein OS=Oryctolagus cuniculus GN=HNRNPA1 PE=4 SV=2</t>
  </si>
  <si>
    <t>Uncharacterized protein OS=Oryctolagus cuniculus GN=PLG PE=3 SV=1</t>
  </si>
  <si>
    <t>Calpastatin OS=Oryctolagus cuniculus GN=CAST PE=4 SV=2</t>
  </si>
  <si>
    <t>Uncharacterized protein OS=Oryctolagus cuniculus GN=HMGB2 PE=4 SV=1</t>
  </si>
  <si>
    <t>Uncharacterized protein OS=Oryctolagus cuniculus GN=LOC100351873 PE=4 SV=1</t>
  </si>
  <si>
    <t>Stathmin OS=Oryctolagus cuniculus GN=STMN1 PE=3 SV=1</t>
  </si>
  <si>
    <t>Uncharacterized protein (Fragment) OS=Oryctolagus cuniculus GN=ERP29 PE=4 SV=1</t>
  </si>
  <si>
    <t>Stathmin OS=Oryctolagus cuniculus GN=LOC100358241 PE=3 SV=1</t>
  </si>
  <si>
    <t>F-actin-capping protein subunit alpha-2 OS=Oryctolagus cuniculus GN=CAPZA2 PE=3 SV=3</t>
  </si>
  <si>
    <t>Uncharacterized protein OS=Oryctolagus cuniculus GN=NDST1 PE=4 SV=1</t>
  </si>
  <si>
    <t>Epoxide hydrolase 1 OS=Oryctolagus cuniculus GN=EPHX1 PE=4 SV=1</t>
  </si>
  <si>
    <t>Tyrosine-protein phosphatase non-receptor type OS=Oryctolagus cuniculus GN=PTPN3 PE=3 SV=2</t>
  </si>
  <si>
    <t>Uncharacterized protein OS=Oryctolagus cuniculus GN=MPO PE=4 SV=2</t>
  </si>
  <si>
    <t>Uncharacterized protein OS=Oryctolagus cuniculus GN=LINGO1 PE=4 SV=2</t>
  </si>
  <si>
    <t>Uncharacterized protein OS=Oryctolagus cuniculus GN=TNC PE=4 SV=2</t>
  </si>
  <si>
    <t>Uncharacterized protein OS=Oryctolagus cuniculus GN=KRT222 PE=3 SV=1</t>
  </si>
  <si>
    <t>Uncharacterized protein OS=Oryctolagus cuniculus GN=LOC100356803 PE=3 SV=1</t>
  </si>
  <si>
    <t>Histone H2B OS=Oryctolagus cuniculus GN=HIST3H2BB PE=3 SV=1</t>
  </si>
  <si>
    <t>Histone H2B OS=Oryctolagus cuniculus GN=HIST1H2BB PE=3 SV=1</t>
  </si>
  <si>
    <t>Histone H2B OS=Oryctolagus cuniculus GN=HIST1H2BA PE=3 SV=1</t>
  </si>
  <si>
    <t>Chemokine (C-C motif) ligand 14 OS=Oryctolagus cuniculus cuniculus GN=CCL14 PE=2 SV=1</t>
  </si>
  <si>
    <t>MHC class II antigen (Fragment) OS=Oryctolagus cuniculus GN=Orcu-DQA PE=4 SV=1</t>
  </si>
  <si>
    <t>Uncharacterized protein OS=Oryctolagus cuniculus GN=CD44 PE=4 SV=2</t>
  </si>
  <si>
    <t>Uncharacterized protein (Fragment) OS=Oryctolagus cuniculus GN=FETUB PE=4 SV=1</t>
  </si>
  <si>
    <t>Uncharacterized protein (Fragment) OS=Oryctolagus cuniculus GN=SFPQ PE=4 SV=1</t>
  </si>
  <si>
    <t>Uncharacterized protein OS=Oryctolagus cuniculus GN=VEZT PE=4 SV=2</t>
  </si>
  <si>
    <t>Uncharacterized protein OS=Oryctolagus cuniculus GN=HDGF PE=4 SV=1</t>
  </si>
  <si>
    <t>Uncharacterized protein OS=Oryctolagus cuniculus GN=HABP2 PE=3 SV=2</t>
  </si>
  <si>
    <t>Uncharacterized protein OS=Oryctolagus cuniculus GN=NWD2 PE=4 SV=2</t>
  </si>
  <si>
    <t>Uncharacterized protein OS=Oryctolagus cuniculus GN=BCAR1 PE=4 SV=2</t>
  </si>
  <si>
    <t>Coronin OS=Oryctolagus cuniculus GN=CORO1A PE=3 SV=1</t>
  </si>
  <si>
    <t>Uncharacterized protein OS=Oryctolagus cuniculus GN=ADGRE5 PE=4 SV=2</t>
  </si>
  <si>
    <t>Uncharacterized protein OS=Oryctolagus cuniculus GN=CCL14 PE=4 SV=2</t>
  </si>
  <si>
    <t>Uncharacterized protein (Fragment) OS=Oryctolagus cuniculus GN=SRGN PE=4 SV=1</t>
  </si>
  <si>
    <t>Interleukin-1 receptor antagonist protein OS=Oryctolagus cuniculus GN=IL1RN PE=3 SV=1</t>
  </si>
  <si>
    <t>Uncharacterized protein (Fragment) OS=Oryctolagus cuniculus GN=GMFG PE=4 SV=1</t>
  </si>
  <si>
    <t>Uncharacterized protein OS=Oryctolagus cuniculus GN=TRA2B PE=4 SV=1</t>
  </si>
  <si>
    <t>Corticostatin-3 OS=Oryctolagus cuniculus PE=1 SV=2</t>
  </si>
  <si>
    <t>Thymosin beta-4 OS=Oryctolagus cuniculus GN=TMSB4 PE=1 SV=2</t>
  </si>
  <si>
    <t>Uncharacterized protein OS=Oryctolagus cuniculus GN=RASA2 PE=4 SV=2</t>
  </si>
  <si>
    <t>Uncharacterized protein OS=Oryctolagus cuniculus GN=SUCLG1 PE=3 SV=1</t>
  </si>
  <si>
    <t>Phosphoglycerate kinase OS=Oryctolagus cuniculus GN=PGK2 PE=3 SV=1</t>
  </si>
  <si>
    <t>1-acyl-sn-glycerol-3-phosphate acyltransferase OS=Oryctolagus cuniculus GN=AGPAT1 PE=3 SV=1</t>
  </si>
  <si>
    <t>Pyruvate kinase (Fragment) OS=Oryctolagus cuniculus GN=PKLR PE=3 SV=1</t>
  </si>
  <si>
    <t>Polyadenylate-binding protein OS=Oryctolagus cuniculus GN=PABPC4 PE=3 SV=2</t>
  </si>
  <si>
    <t>Histone H2B OS=Oryctolagus cuniculus GN=LOC100351672 PE=3 SV=1</t>
  </si>
  <si>
    <t>Polyadenylate-binding protein OS=Oryctolagus cuniculus GN=PABPC1 PE=3 SV=1</t>
  </si>
  <si>
    <t>Uncharacterized protein OS=Oryctolagus cuniculus GN=DDX17 PE=3 SV=2</t>
  </si>
  <si>
    <t>Uncharacterized protein OS=Oryctolagus cuniculus GN=SUB1 PE=4 SV=2</t>
  </si>
  <si>
    <t>Uncharacterized protein OS=Oryctolagus cuniculus GN=NAP1L1 PE=3 SV=1</t>
  </si>
  <si>
    <t>Uncharacterized protein OS=Oryctolagus cuniculus GN=DDX5 PE=3 SV=2</t>
  </si>
  <si>
    <t>Uncharacterized protein (Fragment) OS=Oryctolagus cuniculus GN=HNRNPAB PE=4 SV=1</t>
  </si>
  <si>
    <t>Uncharacterized protein (Fragment) OS=Oryctolagus cuniculus GN=RAVER2 PE=4 SV=1</t>
  </si>
  <si>
    <t>Uncharacterized protein OS=Oryctolagus cuniculus GN=DPYSL3 PE=4 SV=1</t>
  </si>
  <si>
    <t>Uncharacterized protein (Fragment) OS=Oryctolagus cuniculus GN=HNRNPA2B1 PE=4 SV=1</t>
  </si>
  <si>
    <t>Uncharacterized protein OS=Oryctolagus cuniculus GN=ESF1 PE=4 SV=1</t>
  </si>
  <si>
    <t>Elongation factor 1-delta OS=Oryctolagus cuniculus GN=EEF1D PE=2 SV=1</t>
  </si>
  <si>
    <t>Uncharacterized protein OS=Oryctolagus cuniculus GN=RPL23A PE=3 SV=1</t>
  </si>
  <si>
    <t>40S ribosomal protein S24 OS=Oryctolagus cuniculus GN=RPS24 PE=3 SV=1</t>
  </si>
  <si>
    <t>40S ribosomal protein S24 OS=Oryctolagus cuniculus GN=LOC100345060 PE=3 SV=1</t>
  </si>
  <si>
    <t>Uncharacterized protein OS=Oryctolagus cuniculus GN=RPS7 PE=4 SV=1</t>
  </si>
  <si>
    <t>Uncharacterized protein (Fragment) OS=Oryctolagus cuniculus GN=ZNF425 PE=4 SV=1</t>
  </si>
  <si>
    <t>Uncharacterized protein OS=Oryctolagus cuniculus GN=CRK PE=4 SV=2</t>
  </si>
  <si>
    <t>Uncharacterized protein OS=Oryctolagus cuniculus GN=SRSF7 PE=4 SV=2</t>
  </si>
  <si>
    <t>Uncharacterized protein OS=Oryctolagus cuniculus GN=HYOU1 PE=3 SV=1</t>
  </si>
  <si>
    <t>Uncharacterized protein (Fragment) OS=Oryctolagus cuniculus GN=TSHZ3 PE=4 SV=1</t>
  </si>
  <si>
    <t>Uncharacterized protein (Fragment) OS=Oryctolagus cuniculus GN=SZT2 PE=4 SV=1</t>
  </si>
  <si>
    <t>Ferritin OS=Oryctolagus cuniculus GN=FTH1 PE=3 SV=1</t>
  </si>
  <si>
    <t>Ferritin light chain OS=Oryctolagus cuniculus GN=FTL PE=2 SV=2</t>
  </si>
  <si>
    <t>Chaperonin-containing T-complex polypeptide beta subunit OS=Oryctolagus cuniculus GN=CCT2 PE=2 SV=1</t>
  </si>
  <si>
    <t>Uncharacterized protein OS=Oryctolagus cuniculus GN=LOC100352496 PE=4 SV=1</t>
  </si>
  <si>
    <t>Uncharacterized protein OS=Oryctolagus cuniculus GN=LOC100350609 PE=3 SV=1</t>
  </si>
  <si>
    <t>Uncharacterized protein OS=Oryctolagus cuniculus GN=LOC100350401 PE=3 SV=1</t>
  </si>
  <si>
    <t>Uncharacterized protein OS=Oryctolagus cuniculus GN=RPS10 PE=1 SV=2</t>
  </si>
  <si>
    <t>Uncharacterized protein OS=Oryctolagus cuniculus GN=LOC100352072 PE=3 SV=1</t>
  </si>
  <si>
    <t>Uncharacterized protein OS=Oryctolagus cuniculus GN=SLC30A9 PE=4 SV=1</t>
  </si>
  <si>
    <t>Uncharacterized protein OS=Oryctolagus cuniculus GN=LOC100338167 PE=3 SV=1</t>
  </si>
  <si>
    <t>Uncharacterized protein OS=Oryctolagus cuniculus GN=LOC100337714 PE=3 SV=1</t>
  </si>
  <si>
    <t>Uncharacterized protein OS=Oryctolagus cuniculus GN=LOC100353314 PE=3 SV=1</t>
  </si>
  <si>
    <t>Uncharacterized protein OS=Oryctolagus cuniculus GN=SET PE=3 SV=1</t>
  </si>
  <si>
    <t>Uncharacterized protein OS=Oryctolagus cuniculus GN=LOC100356006 PE=3 SV=1</t>
  </si>
  <si>
    <t>Uncharacterized protein OS=Oryctolagus cuniculus GN=LOC100346185 PE=3 SV=1</t>
  </si>
  <si>
    <t>Uncharacterized protein OS=Oryctolagus cuniculus GN=EEF1B2 PE=3 SV=1</t>
  </si>
  <si>
    <t>Uncharacterized protein OS=Oryctolagus cuniculus GN=LOC100356603 PE=3 SV=1</t>
  </si>
  <si>
    <t>Uncharacterized protein OS=Oryctolagus cuniculus GN=LOC100341712 PE=3 SV=1</t>
  </si>
  <si>
    <t>Uncharacterized protein OS=Oryctolagus cuniculus GN=LOC100340976 PE=3 SV=1</t>
  </si>
  <si>
    <t>Uncharacterized protein OS=Oryctolagus cuniculus GN=LOC100342537 PE=4 SV=1</t>
  </si>
  <si>
    <t>Uncharacterized protein OS=Oryctolagus cuniculus GN=LOC100357281 PE=4 SV=2</t>
  </si>
  <si>
    <t>Uncharacterized protein OS=Oryctolagus cuniculus GN=LOC100348726 PE=3 SV=1</t>
  </si>
  <si>
    <t>Uncharacterized protein OS=Oryctolagus cuniculus GN=LOC100353436 PE=3 SV=1</t>
  </si>
  <si>
    <t>Uncharacterized protein OS=Oryctolagus cuniculus GN=HNRNPH2 PE=4 SV=1</t>
  </si>
  <si>
    <t>Uncharacterized protein OS=Oryctolagus cuniculus GN=LOC100352199 PE=3 SV=1</t>
  </si>
  <si>
    <t>Uncharacterized protein OS=Oryctolagus cuniculus GN=LOC100353200 PE=3 SV=1</t>
  </si>
  <si>
    <t>Uncharacterized protein (Fragment) OS=Oryctolagus cuniculus GN=TTN PE=4 SV=1</t>
  </si>
  <si>
    <t>Uncharacterized protein OS=Oryctolagus cuniculus GN=S100A13 PE=4 SV=1</t>
  </si>
  <si>
    <t>Uncharacterized protein OS=Oryctolagus cuniculus GN=GSDMA PE=4 SV=1</t>
  </si>
  <si>
    <t>Uncharacterized protein (Fragment) OS=Oryctolagus cuniculus GN=CKAP4 PE=4 SV=1</t>
  </si>
  <si>
    <t>Uncharacterized protein OS=Oryctolagus cuniculus GN=MFAP4 PE=4 SV=2</t>
  </si>
  <si>
    <t>Myosin heavy chain (Fragment) OS=Oryctolagus cuniculus GN=PBV1SPCR2 PE=2 SV=1</t>
  </si>
  <si>
    <t>Uncharacterized protein (Fragment) OS=Oryctolagus cuniculus GN=LOC100357403 PE=3 SV=1</t>
  </si>
  <si>
    <t>Uncharacterized protein OS=Oryctolagus cuniculus GN=LOC100357917 PE=3 SV=1</t>
  </si>
  <si>
    <t>Uncharacterized protein (Fragment) OS=Oryctolagus cuniculus GN=PRDX6 PE=4 SV=1</t>
  </si>
  <si>
    <t>Uncharacterized protein OS=Oryctolagus cuniculus GN=SELENBP1 PE=4 SV=1</t>
  </si>
  <si>
    <t>Uncharacterized protein OS=Oryctolagus cuniculus GN=LOC100356307 PE=3 SV=2</t>
  </si>
  <si>
    <t>Aldehyde oxidase 4 OS=Oryctolagus cuniculus GN=AOX4 PE=2 SV=2</t>
  </si>
  <si>
    <t>Carbonic anhydrase 2 OS=Oryctolagus cuniculus GN=CA2 PE=1 SV=3</t>
  </si>
  <si>
    <t>Uncharacterized protein OS=Oryctolagus cuniculus GN=RBBP6 PE=4 SV=1</t>
  </si>
  <si>
    <t>Proteasome subunit alpha type OS=Oryctolagus cuniculus GN=PSMA2 PE=3 SV=1</t>
  </si>
  <si>
    <t>Endoplasmin OS=Oryctolagus cuniculus GN=HSP90B1 PE=3 SV=1</t>
  </si>
  <si>
    <t>Uncharacterized protein OS=Oryctolagus cuniculus GN=CHIT1 PE=3 SV=2</t>
  </si>
  <si>
    <t>Uncharacterized protein OS=Oryctolagus cuniculus GN=SMPD3 PE=4 SV=1</t>
  </si>
  <si>
    <t>Uncharacterized protein OS=Oryctolagus cuniculus GN=PDIA6 PE=3 SV=2</t>
  </si>
  <si>
    <t>Uncharacterized protein OS=Oryctolagus cuniculus GN=YWHAE PE=4 SV=1</t>
  </si>
  <si>
    <t>Uncharacterized protein (Fragment) OS=Oryctolagus cuniculus GN=KNG1 PE=4 SV=2</t>
  </si>
  <si>
    <t>Uncharacterized protein OS=Oryctolagus cuniculus GN=RPN2 PE=4 SV=2</t>
  </si>
  <si>
    <t>Keratin associated protein KAP6.1.1 OS=Oryctolagus cuniculus GN=KAP6.1.1 PE=2 SV=1</t>
  </si>
  <si>
    <t>Keratin-associated protein 6-1 OS=Oryctolagus cuniculus GN=KAP6.1 PE=4 SV=1</t>
  </si>
  <si>
    <t>Keratin associated protein 3.1 OS=Oryctolagus cuniculus GN=KAP3.1 PE=4 SV=1</t>
  </si>
  <si>
    <t>Filamin-B OS=Oryctolagus cuniculus GN=FLNB PE=4 SV=1</t>
  </si>
  <si>
    <t>Uncharacterized protein OS=Oryctolagus cuniculus GN=KRTAP8-1 PE=4 SV=1</t>
  </si>
  <si>
    <t>Uncharacterized protein OS=Oryctolagus cuniculus GN=LAMB2 PE=4 SV=1</t>
  </si>
  <si>
    <t>Uncharacterized protein OS=Oryctolagus cuniculus GN=LOC100346099 PE=3 SV=1</t>
  </si>
  <si>
    <t>Uncharacterized protein (Fragment) OS=Oryctolagus cuniculus GN=TLN1 PE=4 SV=1</t>
  </si>
  <si>
    <t>Uncharacterized protein OS=Oryctolagus cuniculus GN=KRT33A PE=3 SV=1</t>
  </si>
  <si>
    <t>Uncharacterized protein OS=Oryctolagus cuniculus GN=KRT34 PE=3 SV=1</t>
  </si>
  <si>
    <t>Uncharacterized protein (Fragment) OS=Oryctolagus cuniculus GN=LOC100350988 PE=3 SV=1</t>
  </si>
  <si>
    <t>Uncharacterized protein OS=Oryctolagus cuniculus GN=KRTAP3-1 PE=4 SV=1</t>
  </si>
  <si>
    <t>Uncharacterized protein OS=Oryctolagus cuniculus GN=KRTAP7-1 PE=4 SV=1</t>
  </si>
  <si>
    <t>Uncharacterized protein (Fragment) OS=Oryctolagus cuniculus GN=LOC100346360 PE=3 SV=1</t>
  </si>
  <si>
    <t>Uncharacterized protein OS=Oryctolagus cuniculus GN=LOC100350481 PE=3 SV=1</t>
  </si>
  <si>
    <t>Uncharacterized protein OS=Oryctolagus cuniculus GN=LOC100342724 PE=4 SV=1</t>
  </si>
  <si>
    <t>Uncharacterized protein (Fragment) OS=Oryctolagus cuniculus GN=LOC100351237 PE=3 SV=1</t>
  </si>
  <si>
    <t>Uncharacterized protein OS=Oryctolagus cuniculus GN=WASH1 PE=4 SV=1</t>
  </si>
  <si>
    <t>Uncharacterized protein OS=Oryctolagus cuniculus GN=DSG1 PE=4 SV=2</t>
  </si>
  <si>
    <t>Uncharacterized protein OS=Oryctolagus cuniculus GN=COL7A1 PE=4 SV=1</t>
  </si>
  <si>
    <t>Uncharacterized protein OS=Oryctolagus cuniculus GN=LOC100352842 PE=4 SV=1</t>
  </si>
  <si>
    <t>Uncharacterized protein OS=Oryctolagus cuniculus GN=FLG2 PE=4 SV=1</t>
  </si>
  <si>
    <t>Uncharacterized protein OS=Oryctolagus cuniculus GN=LOC100352491 PE=4 SV=2</t>
  </si>
  <si>
    <t>Uncharacterized protein (Fragment) OS=Oryctolagus cuniculus GN=MCM2 PE=3 SV=1</t>
  </si>
  <si>
    <t>Kininogen (Fragment) OS=Oryctolagus cuniculus PE=2 SV=1</t>
  </si>
  <si>
    <t>B-cell lymphoma/leukemia 11B (Predicted), 5 prime (Fragment) OS=Oryctolagus cuniculus GN=BCL11B PE=4 SV=1</t>
  </si>
  <si>
    <t>Uncharacterized protein OS=Oryctolagus cuniculus GN=BLVRB PE=4 SV=2</t>
  </si>
  <si>
    <t>Uncharacterized protein OS=Oryctolagus cuniculus GN=SEPT7 PE=3 SV=2</t>
  </si>
  <si>
    <t>Uncharacterized protein OS=Oryctolagus cuniculus GN=GGCT PE=4 SV=1</t>
  </si>
  <si>
    <t>Histidine ammonia-lyase OS=Oryctolagus cuniculus GN=HAL PE=3 SV=1</t>
  </si>
  <si>
    <t>Uncharacterized protein OS=Oryctolagus cuniculus GN=IL36G PE=3 SV=2</t>
  </si>
  <si>
    <t>Fibromodulin OS=Oryctolagus cuniculus GN=FMOD PE=4 SV=1</t>
  </si>
  <si>
    <t>Kinesin-like protein OS=Oryctolagus cuniculus GN=KIF19 PE=3 SV=1</t>
  </si>
  <si>
    <t>Uncharacterized protein OS=Oryctolagus cuniculus GN=SVIL PE=4 SV=2</t>
  </si>
  <si>
    <t>Transgelin OS=Oryctolagus cuniculus GN=TAGLN PE=3 SV=1</t>
  </si>
  <si>
    <t>Uncharacterized protein OS=Oryctolagus cuniculus GN=BANF1 PE=4 SV=1</t>
  </si>
  <si>
    <t>Uncharacterized protein OS=Oryctolagus cuniculus GN=PARK7 PE=4 SV=1</t>
  </si>
  <si>
    <t>Uncharacterized protein OS=Oryctolagus cuniculus GN=LOC100008795 PE=4 SV=1</t>
  </si>
  <si>
    <t>Uncharacterized protein OS=Oryctolagus cuniculus GN=ATXN2 PE=4 SV=2</t>
  </si>
  <si>
    <t>Transforming growth factor-beta-induced protein ig-h3 OS=Oryctolagus cuniculus GN=TGFBI PE=4 SV=1</t>
  </si>
  <si>
    <t>Uncharacterized protein (Fragment) OS=Oryctolagus cuniculus GN=PGER4 PE=4 SV=1</t>
  </si>
  <si>
    <t>Uncharacterized protein OS=Oryctolagus cuniculus GN=TNKS1BP1 PE=4 SV=1</t>
  </si>
  <si>
    <t>Uncharacterized protein OS=Oryctolagus cuniculus GN=SEPT2 PE=3 SV=2</t>
  </si>
  <si>
    <t>Uncharacterized protein OS=Oryctolagus cuniculus GN=MIF PE=4 SV=1</t>
  </si>
  <si>
    <t>3alpha/17beta/20alpha-hydroxysteroid dehydrogenase OS=Oryctolagus cuniculus GN=PGER5 PE=2 SV=1</t>
  </si>
  <si>
    <t>Uncharacterized protein OS=Oryctolagus cuniculus GN=LOC100346450 PE=4 SV=1</t>
  </si>
  <si>
    <t>Uncharacterized protein OS=Oryctolagus cuniculus GN=NFYA PE=4 SV=1</t>
  </si>
  <si>
    <t>Malate dehydrogenase OS=Oryctolagus cuniculus GN=MDH1 PE=3 SV=1</t>
  </si>
  <si>
    <t>Apolipoprotein A-IV (Predicted) OS=Oryctolagus cuniculus GN=APOA4 PE=4 SV=1</t>
  </si>
  <si>
    <t>Carbonic anhydrase 1 OS=Oryctolagus cuniculus GN=CA1 PE=4 SV=1</t>
  </si>
  <si>
    <t>Uncharacterized protein OS=Oryctolagus cuniculus GN=HADHA PE=3 SV=1</t>
  </si>
  <si>
    <t>Uncharacterized protein OS=Oryctolagus cuniculus GN=APOC3 PE=4 SV=1</t>
  </si>
  <si>
    <t>Lipophilin CL2 OS=Oryctolagus cuniculus GN=LOC100008795 PE=2 SV=1</t>
  </si>
  <si>
    <t>Lipophilin AL OS=Oryctolagus cuniculus GN=LOC100008792 PE=2 SV=1</t>
  </si>
  <si>
    <t>Coatomer subunit alpha OS=Oryctolagus cuniculus GN=COPA PE=4 SV=2</t>
  </si>
  <si>
    <t>Uncharacterized protein OS=Oryctolagus cuniculus GN=ACAT1 PE=3 SV=2</t>
  </si>
  <si>
    <t>Uncharacterized protein OS=Oryctolagus cuniculus GN=DHX8 PE=4 SV=2</t>
  </si>
  <si>
    <t>Uncharacterized protein OS=Oryctolagus cuniculus GN=DDX46 PE=3 SV=2</t>
  </si>
  <si>
    <t>Uncharacterized protein OS=Oryctolagus cuniculus GN=PTRH1 PE=4 SV=2</t>
  </si>
  <si>
    <t>Uncharacterized protein OS=Oryctolagus cuniculus GN=IQGAP1 PE=4 SV=1</t>
  </si>
  <si>
    <t>Uncharacterized protein OS=Oryctolagus cuniculus GN=LOC100357922 PE=4 SV=1</t>
  </si>
  <si>
    <t>Caspase 14 OS=Oryctolagus cuniculus PE=2 SV=1</t>
  </si>
  <si>
    <t>Uncharacterized protein OS=Oryctolagus cuniculus GN=CPA4 PE=4 SV=1</t>
  </si>
  <si>
    <t>Uncharacterized protein OS=Oryctolagus cuniculus GN=CTSV PE=3 SV=1</t>
  </si>
  <si>
    <t>Uncharacterized protein OS=Oryctolagus cuniculus GN=CASP14 PE=3 SV=2</t>
  </si>
  <si>
    <t>Uncharacterized protein (Fragment) OS=Oryctolagus cuniculus GN=ASPRV1 PE=4 SV=1</t>
  </si>
  <si>
    <t>Uncharacterized protein OS=Oryctolagus cuniculus GN=LOC100345190 PE=3 SV=1</t>
  </si>
  <si>
    <t>Ubiquitin-carrier protein (Fragments) OS=Oryctolagus cuniculus PE=1 SV=1</t>
  </si>
  <si>
    <t>Uncharacterized protein OS=Oryctolagus cuniculus GN=COL6A5 PE=4 SV=2</t>
  </si>
  <si>
    <t>Uncharacterized protein OS=Oryctolagus cuniculus GN=SERPINC1 PE=3 SV=1</t>
  </si>
  <si>
    <t>Uncharacterized protein OS=Oryctolagus cuniculus GN=ITIH1 PE=4 SV=2</t>
  </si>
  <si>
    <t>Uncharacterized protein OS=Oryctolagus cuniculus GN=SERPINB5 PE=3 SV=2</t>
  </si>
  <si>
    <t>Uncharacterized protein OS=Oryctolagus cuniculus GN=SERPINB12 PE=3 SV=1</t>
  </si>
  <si>
    <t>Alpha-2-plasmin inhibitor OS=Oryctolagus cuniculus GN=SERPINF2 PE=2 SV=1</t>
  </si>
  <si>
    <t>Uncharacterized protein OS=Oryctolagus cuniculus GN=LOC100356645 PE=4 SV=1</t>
  </si>
  <si>
    <t>Uncharacterized protein OS=Oryctolagus cuniculus GN=RPS28 PE=1 SV=1</t>
  </si>
  <si>
    <t>Uncharacterized protein OS=Oryctolagus cuniculus GN=LOC100344653 PE=4 SV=1</t>
  </si>
  <si>
    <t>Uncharacterized protein OS=Oryctolagus cuniculus GN=ASAH1 PE=4 SV=2</t>
  </si>
  <si>
    <t>Anion exchange protein OS=Oryctolagus cuniculus GN=SLC4A1 PE=3 SV=2</t>
  </si>
  <si>
    <t>Uncharacterized protein OS=Oryctolagus cuniculus GN=JUP PE=4 SV=1</t>
  </si>
  <si>
    <t>Voltage-dependent anion-selective channel protein 1 OS=Oryctolagus cuniculus GN=VDAC1 PE=2 SV=3</t>
  </si>
  <si>
    <t>Regucalcin OS=Oryctolagus cuniculus GN=RGN PE=2 SV=1</t>
  </si>
  <si>
    <t>Uncharacterized protein (Fragment) OS=Oryctolagus cuniculus GN=GRIN2D PE=4 SV=1</t>
  </si>
  <si>
    <t>Uncharacterized protein OS=Oryctolagus cuniculus GN=HEBP1 PE=4 SV=2</t>
  </si>
  <si>
    <t>Uncharacterized protein OS=Oryctolagus cuniculus GN=LOC100357152 PE=4 SV=1</t>
  </si>
  <si>
    <t>peptide_count_CEMENT OF 24 H ATTACHED TICKS</t>
  </si>
  <si>
    <t>peptide_count_CEMENT OF 6 H ATTACHED TICKS</t>
  </si>
  <si>
    <t>peptide_count_UNFED TiCK MOUTHPART</t>
  </si>
  <si>
    <t>NSAF_AMZR-UNFED TiCK MOUTHPART</t>
  </si>
  <si>
    <t>EMPAI_AMZR-UNFED TiCK MOUTHPART</t>
  </si>
  <si>
    <t>spectral_count_UNFED TiCK MOUTHPART</t>
  </si>
  <si>
    <t>seqcov_AMZR-UNFED TiCK MOUTHPART</t>
  </si>
  <si>
    <t>NSAF_AMZR-CEMENT OF 24 H ATTACHED TICKS</t>
  </si>
  <si>
    <t>EMPAI_AMZR-CEMENT OF 24 H ATTACHED TICKS</t>
  </si>
  <si>
    <t>spectral_count_CEMENT OF 24 H ATTACHED TICKS</t>
  </si>
  <si>
    <t>seqcov_AMZR-CEMENT OF 24 H ATTACHED TICKS</t>
  </si>
  <si>
    <t>NSAF_AMZR-CEMENT OF 6 H ATTACHED TICKS</t>
  </si>
  <si>
    <t>EMPAI_AMZR-CEMENT OF 6 H ATTACHED TICKS</t>
  </si>
  <si>
    <t>spectral_count_CEMENT OF 6 H ATTACHED TICKS</t>
  </si>
  <si>
    <t>seqcov_CEMENT OF 6 H ATTACHED TICKS</t>
  </si>
  <si>
    <t>Miscleneous (Ribosomal protein)</t>
  </si>
  <si>
    <t xml:space="preserve">Enzyme </t>
  </si>
  <si>
    <t>Miscleneous (Calreticulin)</t>
  </si>
  <si>
    <t>Misceleneous (Met/energy)</t>
  </si>
  <si>
    <t>Cuticular proteins (Carbohydrate binding module (CBM_14)</t>
  </si>
  <si>
    <t>Scaffold</t>
  </si>
  <si>
    <t>Misceleneous</t>
  </si>
  <si>
    <t>Detoxifcation/antioxidant</t>
  </si>
  <si>
    <t>Scaffold (LIM domains function as adaptors or scaffolds to support the assembly of multimeric protein complexes.</t>
  </si>
  <si>
    <t>Tick specific protein (AV422)</t>
  </si>
  <si>
    <t>Misceleneous (Immune related (Single domain von Willebrand factor type C)</t>
  </si>
  <si>
    <t>Misceleneous (Met/nucleic acid)</t>
  </si>
  <si>
    <t>Misceleneous (Ribosomal protein)</t>
  </si>
  <si>
    <t>Misceleneous (Antimicrobial)</t>
  </si>
  <si>
    <t>Cluster</t>
  </si>
  <si>
    <t>GO molecular function complete</t>
  </si>
  <si>
    <r>
      <t xml:space="preserve">All </t>
    </r>
    <r>
      <rPr>
        <b/>
        <i/>
        <sz val="14"/>
        <color rgb="FF000000"/>
        <rFont val="Calibri"/>
        <family val="2"/>
        <scheme val="minor"/>
      </rPr>
      <t>Ixodes</t>
    </r>
    <r>
      <rPr>
        <b/>
        <sz val="14"/>
        <color rgb="FF000000"/>
        <rFont val="Calibri"/>
        <family val="2"/>
        <scheme val="minor"/>
      </rPr>
      <t xml:space="preserve"> Proteins with this GO term</t>
    </r>
  </si>
  <si>
    <t>Mapped proteins</t>
  </si>
  <si>
    <t>expected p-value</t>
  </si>
  <si>
    <t>Fold Enrichment</t>
  </si>
  <si>
    <t>raw               P-value</t>
  </si>
  <si>
    <t>FDR (&lt; 0.05)</t>
  </si>
  <si>
    <t>A</t>
  </si>
  <si>
    <t>protein heterodimerization activity</t>
  </si>
  <si>
    <t>protein binding</t>
  </si>
  <si>
    <t>binding</t>
  </si>
  <si>
    <t>unfolded protein binding</t>
  </si>
  <si>
    <t>B</t>
  </si>
  <si>
    <t>misfolded protein binding</t>
  </si>
  <si>
    <t>&gt; 100</t>
  </si>
  <si>
    <t>protein folding chaperone</t>
  </si>
  <si>
    <t>heat shock protein binding</t>
  </si>
  <si>
    <t>ATP hydrolysis activity</t>
  </si>
  <si>
    <t xml:space="preserve">      ATP-dependent activity</t>
  </si>
  <si>
    <t xml:space="preserve">      nucleoside-triphosphatase activity</t>
  </si>
  <si>
    <t xml:space="preserve">      pyrophosphatase activity</t>
  </si>
  <si>
    <t xml:space="preserve">      hydrolase activity, acting on acid anhydrides, in phosphorus-containing anhydrides</t>
  </si>
  <si>
    <t xml:space="preserve">      hydrolase activity, acting on acid anhydrides</t>
  </si>
  <si>
    <t>2-alkenal reductase [NAD(P)+] activity</t>
  </si>
  <si>
    <t xml:space="preserve">     oxidoreductase activity, acting on the CH-CH group of donors, NAD or NADP as acceptor</t>
  </si>
  <si>
    <t xml:space="preserve">     oxidoreductase activity, acting on the CH-CH group of donors</t>
  </si>
  <si>
    <t>structural constituent of cuticle</t>
  </si>
  <si>
    <t>ATP binding</t>
  </si>
  <si>
    <t xml:space="preserve">     adenyl ribonucleotide binding</t>
  </si>
  <si>
    <t xml:space="preserve">     carbohydrate derivative binding</t>
  </si>
  <si>
    <t xml:space="preserve">     adenyl nucleotide binding</t>
  </si>
  <si>
    <t>C</t>
  </si>
  <si>
    <t>structural constituent of cytoskeleton</t>
  </si>
  <si>
    <t>D</t>
  </si>
  <si>
    <t xml:space="preserve">     structural molecule activity</t>
  </si>
  <si>
    <t>GTPase activity</t>
  </si>
  <si>
    <t xml:space="preserve">     nucleoside-triphosphatase activity</t>
  </si>
  <si>
    <t xml:space="preserve">     pyrophosphatase activity</t>
  </si>
  <si>
    <t xml:space="preserve">     hydrolase activity, acting on acid anhydrides, in phosphorus-containing anhydrides</t>
  </si>
  <si>
    <t xml:space="preserve">     hydrolase activity, acting on acid anhydrides</t>
  </si>
  <si>
    <t xml:space="preserve">     hydrolase activity</t>
  </si>
  <si>
    <t>GTP binding</t>
  </si>
  <si>
    <t xml:space="preserve">     purine ribonucleoside triphosphate binding</t>
  </si>
  <si>
    <t xml:space="preserve">     nucleoside phosphate binding</t>
  </si>
  <si>
    <t xml:space="preserve">     organic cyclic compound binding</t>
  </si>
  <si>
    <t xml:space="preserve">     binding</t>
  </si>
  <si>
    <t xml:space="preserve">     heterocyclic compound binding</t>
  </si>
  <si>
    <t xml:space="preserve">     anion binding</t>
  </si>
  <si>
    <t xml:space="preserve">     ion binding</t>
  </si>
  <si>
    <t xml:space="preserve">     guanyl ribonucleotide binding</t>
  </si>
  <si>
    <t xml:space="preserve">     purine ribonucleotide binding</t>
  </si>
  <si>
    <t xml:space="preserve">     purine nucleotide binding</t>
  </si>
  <si>
    <t xml:space="preserve">     nucleotide binding</t>
  </si>
  <si>
    <t xml:space="preserve">     small molecule binding</t>
  </si>
  <si>
    <t xml:space="preserve">     ribonucleotide binding</t>
  </si>
  <si>
    <t xml:space="preserve">     guanyl nucleotide binding</t>
  </si>
  <si>
    <t>structural constituent of chitin-based larval cuticle</t>
  </si>
  <si>
    <t xml:space="preserve">     structural constituent of chitin-based cuticle</t>
  </si>
  <si>
    <t xml:space="preserve">     structural constituent of cuticle</t>
  </si>
  <si>
    <t>E</t>
  </si>
  <si>
    <t>F</t>
  </si>
  <si>
    <t>protein tag</t>
  </si>
  <si>
    <t>nGenes</t>
  </si>
  <si>
    <t>Pathways</t>
  </si>
  <si>
    <t>Genes</t>
  </si>
  <si>
    <t>EEC09557.1 EEC02656.1 EEC03614.1</t>
  </si>
  <si>
    <t>EEC14106.1 EEC05056.1 EEC09557.1 EEC02656.1 EEC01195.1 EEC09647.1 EEC20460.1 EEC03614.1 EEC16446.1</t>
  </si>
  <si>
    <t>EEC01647.1 EEC14106.1 EEC18671.1 EEC13271.1 EEC05056.1 EEC09557.1 EEC15712.1 EEC07402.1 EEC02656.1 EEC01195.1 EEC09647.1 EEC20460.1 EEC03614.1 EEC14737.1 EEC04237.1 EEC16446.1 EEC02823.</t>
  </si>
  <si>
    <t>EEC05056.1 EEC20460.1 EEC16446.1</t>
  </si>
  <si>
    <t>EEC14892.1 EEC19593.1 EEC03688.1 EEC11639.1</t>
  </si>
  <si>
    <t>EEC14892.1 EEC19593.1E EC03688.1 EEC11639.1</t>
  </si>
  <si>
    <t>ATP-dependent activity</t>
  </si>
  <si>
    <t>EEC14892.1 EEC19593.1 EEC03688.1 EEC17118.1 EEC11639.1</t>
  </si>
  <si>
    <t>nucleoside-triphosphatase activity</t>
  </si>
  <si>
    <t>pyrophosphatase activity</t>
  </si>
  <si>
    <t>hydrolase activity, acting on acid anhydrides, in phosphorus-containing anhydrides</t>
  </si>
  <si>
    <t>hydrolase activity, acting on acid anhydrides</t>
  </si>
  <si>
    <t>EEC14892.1 EEC03688.1 EEC01810.1 EEC11639.1</t>
  </si>
  <si>
    <t>oxidoreductase activity, acting on the CH-CH group of donors, NAD or NADP as acceptor</t>
  </si>
  <si>
    <t>oxidoreductase activity, acting on the CH-CH group of donors</t>
  </si>
  <si>
    <t>EEC07075.1 EEC03471.1 EEC03470.1</t>
  </si>
  <si>
    <t>adenyl ribonucleotide binding</t>
  </si>
  <si>
    <t>carbohydrate derivative binding</t>
  </si>
  <si>
    <t>EEC14892.1 EEC00993.1 EEC19593.1 EEC03688.1 EEC17118.1 EEC11639.1</t>
  </si>
  <si>
    <t>adenyl nucleotide binding</t>
  </si>
  <si>
    <t>EEC08136.1 EEC14639.1 EEC03517.1</t>
  </si>
  <si>
    <t>EEC06076.1 EEC05915.1 EEC12427.1 EEC20577.1 EEC20578.1 EEC03514.1 EEC11984.1 EEC01384.1 EEC05710.1 EEC02794.1</t>
  </si>
  <si>
    <t>structural molecule activity</t>
  </si>
  <si>
    <t>EEC06076.1 EEC05915.1 EEC12427.1 EEC20577.1 EEC04043.1 EEC01927.1 EEC04675.1 EEC20578.1  EEC03514.1  EEC11984.1  EEC01924.1 EEC01384.1 EEC05710.1 EEC02794.1 EEC08503.1</t>
  </si>
  <si>
    <t xml:space="preserve"> EEC12401.1 EEC06076.1 EEC05915.1 EEC20577.1 EEC20578.1 EEC03514.1 EEC11984.1 EEC01384.1 EEC05710.1 EEC02794.1 EEC12621.1</t>
  </si>
  <si>
    <t>EEC12401.1 EEC06076.1 EEC05915.1 EEC20577.1 EEC20578.1 EEC03514.1 EEC11984.1 EEC01384.1 EEC05710.1 EEC02794.1 EEC12621.1</t>
  </si>
  <si>
    <t>hydrolase activity</t>
  </si>
  <si>
    <t>EEC12401.1 EEC06076.1 EEC05915.1 EEC02131.1 EEC20577.1 EEC20578.1 EEC03514.1 EEC11984.1 EEC01384.1 EEC05710.1 EEC02794.1 EEC12621.1</t>
  </si>
  <si>
    <t>EEC12401.1 EEC06076.1 EEC05915.1 EEC12427.1 EEC20577.1 EEC20578.1 EEC03514.1 EEC11984.1 EEC01384.1 EEC05710.1 EEC02794.1 EEC12621.1</t>
  </si>
  <si>
    <t>purine ribonucleoside triphosphate binding</t>
  </si>
  <si>
    <t>EEC12401.1 EEC06076.1 EEC05915.1 EEC12427.1 EEC02131.1 EEC20577.1 EEC20578.1 EEC03514.1 EEC11984.1 EEC14604.1 EEC01384.1 EEC18473.1 EEC05710.1 EEC02794.1 EEC12621.1</t>
  </si>
  <si>
    <t>nucleoside phosphate binding</t>
  </si>
  <si>
    <t>EEC12401.1 EEC06076.1 EEC05915.1 EEC12427.1 EEC02131.1 EEC20577.1 EEC20578.1 EEC03514.1 EEC11984.1 EEC14604.1 EEC01384.1 EEC18473.1 EEC05710.1 EEC02794.1 EEC12621.1 EEC07171.1</t>
  </si>
  <si>
    <t>organic cyclic compound binding</t>
  </si>
  <si>
    <t>EEC12401.1 EEC06076.1 EEC05915.1 EEC12427.1 EEC02131.1 EEC06154.1 EEC20577.1 EEC20578.1 EEC03514.1 EEC11984.1 EEC14604.1 EEC01384.1 EEC18473.1 EEC05710.1 EEC02794.1 EEC12621.1 EEC07171.1</t>
  </si>
  <si>
    <t>heterocyclic compound binding</t>
  </si>
  <si>
    <t>anion binding</t>
  </si>
  <si>
    <t>ion binding</t>
  </si>
  <si>
    <t>guanyl ribonucleotide binding</t>
  </si>
  <si>
    <t>purine ribonucleotide binding</t>
  </si>
  <si>
    <t>purine nucleotide binding</t>
  </si>
  <si>
    <t>nucleotide binding</t>
  </si>
  <si>
    <t>small molecule binding</t>
  </si>
  <si>
    <t>ribonucleotide binding</t>
  </si>
  <si>
    <t>guanyl nucleotide binding</t>
  </si>
  <si>
    <t>EEC04043.1 EEC01927.1 EEC04675.1 EEC01924.1 EEC08503.1</t>
  </si>
  <si>
    <t>structural constituent of chitin-based cuticle</t>
  </si>
  <si>
    <t>EEC11064.1 EEC01928.1 EEC11084.1 EEC09495.1</t>
  </si>
  <si>
    <t>EEC00212.1 EEC14178.1</t>
  </si>
  <si>
    <t>EEC09166.1 EEC04674.1 EEC14149.1</t>
  </si>
  <si>
    <t>EEC09166.1 EEC00212.1 EEC04674.1 EEC14149.1</t>
  </si>
  <si>
    <t>Seq name</t>
  </si>
  <si>
    <t>First residue</t>
  </si>
  <si>
    <t>Seq size</t>
  </si>
  <si>
    <t>Description</t>
  </si>
  <si>
    <t>FUNCTIONAL ANNOTATION</t>
  </si>
  <si>
    <t>Species</t>
  </si>
  <si>
    <t>SigP Result</t>
  </si>
  <si>
    <t>Cleavage Position</t>
  </si>
  <si>
    <t>MW</t>
  </si>
  <si>
    <t>pI</t>
  </si>
  <si>
    <t>Mature MW</t>
  </si>
  <si>
    <t xml:space="preserve">pI </t>
  </si>
  <si>
    <t>No. potential glyc sites</t>
  </si>
  <si>
    <t>TMHMM result</t>
  </si>
  <si>
    <t>Lenght</t>
  </si>
  <si>
    <t>Predicted helices</t>
  </si>
  <si>
    <t>% membrane</t>
  </si>
  <si>
    <t>% outside</t>
  </si>
  <si>
    <t>% inside</t>
  </si>
  <si>
    <t>Possible GPI?</t>
  </si>
  <si>
    <t xml:space="preserve">Length of peptide after last membrane helix </t>
  </si>
  <si>
    <t xml:space="preserve">ProP furin cleavage predictions </t>
  </si>
  <si>
    <t>Percent Ser+Thr</t>
  </si>
  <si>
    <t>Percent Gly</t>
  </si>
  <si>
    <t>Percent Pro</t>
  </si>
  <si>
    <t xml:space="preserve">Percent GGY </t>
  </si>
  <si>
    <t>Percent  Gly+Pro</t>
  </si>
  <si>
    <t>Sum of residues</t>
  </si>
  <si>
    <t>Increased AA</t>
  </si>
  <si>
    <t>Cys number</t>
  </si>
  <si>
    <t>Predicted Tyr-SO4 - Prosite rules</t>
  </si>
  <si>
    <t>Link to fasta with y</t>
  </si>
  <si>
    <t>R(K)GD flanked by Cys</t>
  </si>
  <si>
    <t>Number of possible HO-Pro [LPAE]-P-G</t>
  </si>
  <si>
    <t>Number of possible OH-lysines X-Lys-Gly not Lys-Gly-Pro</t>
  </si>
  <si>
    <t>Number of PG's</t>
  </si>
  <si>
    <t>WC coxy motif</t>
  </si>
  <si>
    <t>WP coxy motif</t>
  </si>
  <si>
    <t>CPC coxy motif</t>
  </si>
  <si>
    <t>P-I-I-X-G-X(7-15)-C</t>
  </si>
  <si>
    <t>Best match to AAM-CEMENT-2018 protein database</t>
  </si>
  <si>
    <t>E value</t>
  </si>
  <si>
    <t>Match</t>
  </si>
  <si>
    <t>Score</t>
  </si>
  <si>
    <t>Extent of match</t>
  </si>
  <si>
    <t>Length of best match</t>
  </si>
  <si>
    <t>% identity</t>
  </si>
  <si>
    <t>% similarity</t>
  </si>
  <si>
    <t>% Coverage</t>
  </si>
  <si>
    <t>Mismatches</t>
  </si>
  <si>
    <t>Gaps</t>
  </si>
  <si>
    <t>First residue of match</t>
  </si>
  <si>
    <t>First residue of sequence</t>
  </si>
  <si>
    <t>Number of segments</t>
  </si>
  <si>
    <t xml:space="preserve">Species of best match </t>
  </si>
  <si>
    <t>Best match to CDD database</t>
  </si>
  <si>
    <t>Coverage</t>
  </si>
  <si>
    <t xml:space="preserve">All matches </t>
  </si>
  <si>
    <t>Best match to KOG</t>
  </si>
  <si>
    <t xml:space="preserve">Class </t>
  </si>
  <si>
    <t>Best match to PFAM database</t>
  </si>
  <si>
    <t>Best match to SMART database</t>
  </si>
  <si>
    <t>Best match to TSF database</t>
  </si>
  <si>
    <t>Model</t>
  </si>
  <si>
    <t>Group</t>
  </si>
  <si>
    <t>Family</t>
  </si>
  <si>
    <t>H/S</t>
  </si>
  <si>
    <t xml:space="preserve">Other AM=AMtimicrobial E=Enzyme PI=Protease inhibitor </t>
  </si>
  <si>
    <t>Clustered at 25%Sim on 50% of larger length - - Cluster#</t>
  </si>
  <si>
    <t xml:space="preserve"># seqs </t>
  </si>
  <si>
    <t>Clustered at 30%Sim on 50% of larger length - - Cluster#</t>
  </si>
  <si>
    <t>Clustered at 35%Sim on 50% of larger length - - Cluster#</t>
  </si>
  <si>
    <t>Clustered at 40%Sim on 50% of larger length - - Cluster#</t>
  </si>
  <si>
    <t>Clustered at 45%Sim on 50% of larger length - - Cluster#</t>
  </si>
  <si>
    <t>Clustered at 50%Sim on 50% of larger length - - Cluster#</t>
  </si>
  <si>
    <t>Clustered at 55%Sim on 50% of larger length - - Cluster#</t>
  </si>
  <si>
    <t>Clustered at 60%Sim on 50% of larger length - - Cluster#</t>
  </si>
  <si>
    <t>Clustered at 65%Sim on 50% of larger length - - Cluster#</t>
  </si>
  <si>
    <t>Clustered at 70%Sim on 50% of larger length - - Cluster#</t>
  </si>
  <si>
    <t>Clustered at 75%Sim on 50% of larger length - - Cluster#</t>
  </si>
  <si>
    <t>Clustered at 80%Sim on 50% of larger length - - Cluster#</t>
  </si>
  <si>
    <t>Clustered at 85%Sim on 50% of larger length - - Cluster#</t>
  </si>
  <si>
    <t>Clustered at 90%Sim on 50% of larger length - - Cluster#</t>
  </si>
  <si>
    <t>Clustered at 95%Sim on 50% of larger length - - Cluster#</t>
  </si>
  <si>
    <t>Sequence name</t>
  </si>
  <si>
    <t>M</t>
  </si>
  <si>
    <t xml:space="preserve">glyceraldehyde 3-phosphate dehydrogenase, putative </t>
  </si>
  <si>
    <t>Antioxidant/detoxification</t>
  </si>
  <si>
    <t>Ixodes scapularis</t>
  </si>
  <si>
    <t xml:space="preserve"> </t>
  </si>
  <si>
    <t>ExpAA=0.01 First60=0.01 PredHel=0 Topology=o</t>
  </si>
  <si>
    <t xml:space="preserve">. </t>
  </si>
  <si>
    <t>Amblyomma americanum</t>
  </si>
  <si>
    <t>PLN02272, glyceraldehyde-3-phosphate dehydrogenase. Length=421</t>
  </si>
  <si>
    <t>PLN02272 0.0| GapA 0.0| PTZ00023 0.0|</t>
  </si>
  <si>
    <t>GapA, Glyceraldehyde-3-phosphate dehydrogenase/erythrose-4-phosphate dehydrogenase [Carbohydrate transport and metabolism]. Length=335</t>
  </si>
  <si>
    <t xml:space="preserve">Unknown </t>
  </si>
  <si>
    <t>Glyceraldehyde 3-phosphate dehydrogenase, C-terminal domain.  GAPDH is a tetrameric NAD-binding enzyme involved in glycolysis and glyconeogenesis. C-terminal domain is a mixed alpha/antiparallel beta fold. Length=157</t>
  </si>
  <si>
    <t>Gp_dh_N, Glyceraldehyde 3-phosphate dehydrogenase, NAD binding domain.  GAPDH is a tetrameric NAD-binding enzyme involved in glycolysis and glyconeogenesis. N-terminal domain is a Rossmann NAD(P) binding fold. Length=149</t>
  </si>
  <si>
    <t>40-346</t>
  </si>
  <si>
    <t>Evasin</t>
  </si>
  <si>
    <t xml:space="preserve"> EvasinA</t>
  </si>
  <si>
    <t xml:space="preserve"> S</t>
  </si>
  <si>
    <t xml:space="preserve">  Length=117 </t>
  </si>
  <si>
    <t xml:space="preserve">malate dehydrogenase, putative </t>
  </si>
  <si>
    <t>ExpAA=0.15 First60=0.05 PredHel=0 Topology=o</t>
  </si>
  <si>
    <t>MDH_glyoxysomal_mitochondrial, Glyoxysomal and mitochondrial malate dehydrogenases.  MDH is one of the key enzymes in the citric acid cycle, facilitating both the conversion of malate to oxaloacetate and replenishing levels of oxalacetate by reductive carboxylation of pyruvate. Members of this subfamily are localized to the glycosome and mitochondria. MDHs are part of the NAD(P)-binding Rossmann fold superfamily, which includes a wide variety of protein families including the NAD(P)-binding domains of alcohol dehydrogenases, tyrosine-dependent oxidoreductases, glyceraldehyde-3-phosphate dehydrogenases, formate/glycerate dehydrogenases, siroheme synthases, 6-phosphogluconate dehydrogenases, aminoacid dehydrogenases, repressor rex, and NAD-binding potassium channel domains, among others. Length=310</t>
  </si>
  <si>
    <t>MDH_glyoxysomal_mitochondrial 0.0| PLN00106 0.0| Malate_dehydrogenase_mitochondrial 0.0|</t>
  </si>
  <si>
    <t>Mdh, Malate/lactate dehydrogenases [Energy production and conversion]. Length=313</t>
  </si>
  <si>
    <t>lactate/malate dehydrogenase, alpha/beta C-terminal domain.  L-lactate dehydrogenases are metabolic enzymes which catalyze the conversion of L-lactate to pyruvate, the last step in anaerobic glycolysis. L-2-hydroxyisocaproate dehydrogenases are also members of the family. Malate dehydrogenases catalyze the interconversion of malate to oxaloacetate. The enzyme participates in the citric acid cycle. L-lactate dehydrogenase is also found as a lens crystallin in bird and crocodile eyes. Length=173</t>
  </si>
  <si>
    <t>Semialdhyde_dh, Semialdehyde dehydrogenase, NAD binding domain.  The semialdehyde dehydrogenase family is found in N-acetyl-glutamine semialdehyde dehydrogenase (AgrC), which is involved in arginine biosynthesis, and aspartate-semialdehyde dehydrogenase, an enzyme involved in the biosynthesis of various amino acids from aspartate. This family is also found in yeast and fungal Arg5,6 protein, which is cleaved into the enzymes N-acety-gamma-glutamyl-phosphate reductase and acetylglutamate kinase. These are also involved in arginine biosynthesis. All proteins in this entry contain a NAD binding region of semialdehyde dehydrogenase. Length=123</t>
  </si>
  <si>
    <t>25-109</t>
  </si>
  <si>
    <t>Mucin</t>
  </si>
  <si>
    <t xml:space="preserve"> HRP</t>
  </si>
  <si>
    <t xml:space="preserve">  Length=385 </t>
  </si>
  <si>
    <t xml:space="preserve">thioredoxin-dependent peroxide reductase </t>
  </si>
  <si>
    <t xml:space="preserve"> 16-17</t>
  </si>
  <si>
    <t>ExpAA=3.77 First60=0.00 PredHel=0 Topology=o</t>
  </si>
  <si>
    <t>PRX_Typ2cys, Peroxiredoxin (PRX) family, Typical 2-Cys PRX subfamily; PRXs are thiol-specific antioxidant (TSA) proteins, which confer a protective role in cells through its peroxidase activity by reducing hydrogen peroxide, peroxynitrite, and organic hydroperoxides. The functional unit of typical 2-cys PRX is a homodimer. A unique intermolecular redox-active disulfide center is utilized for its activity. Upon reaction with peroxides, its peroxidatic cysteine is oxidized into a sulfenic acid intermediate which is resolved by bonding with the resolving cysteine from the other subunit of the homodimer. This intermolecular disulfide bond is then reduced by thioredoxin, tryparedoxin or AhpF. Typical 2-cys PRXs, like 1-cys PRXs, form decamers which are stabilized by reduction of the active site cysteine. Typical 2-cys PRX interacts through beta strands at one edge of the monomer (B-type interface) to form the functional homodimer, and uses an A-type interface (similar to the dimeric interface in atypical 2-cys PRX and PRX5) at the opposite end of the monomer to form the stable decameric (pentamer of dimers) structure. Length=173</t>
  </si>
  <si>
    <t>PRX_Typ2cys 2e-122| PTZ00253 3e-101| AhpC 3e-101|</t>
  </si>
  <si>
    <t>AhpC, Peroxiredoxin [Posttranslational modification, protein turnover, chaperones]. Length=194</t>
  </si>
  <si>
    <t>AhpC/TSA family.  This family contains proteins related to alkyl hydroperoxide reductase (AhpC) and thiol specific antioxidant (TSA). Length=114</t>
  </si>
  <si>
    <t>LNS2, This domain is found in Saccharomyces cerevisiae protein SMP2, proteins with an N-terminal lipin domain and phosphatidylinositol transfer proteins.  SMP2 is involved in plasmid maintenance and respiration. Lipin proteins are involved in adipose tissue development and insulin resistance. Length=157</t>
  </si>
  <si>
    <t>30-126</t>
  </si>
  <si>
    <t>Thioredoxin peroxidase</t>
  </si>
  <si>
    <t xml:space="preserve"> H</t>
  </si>
  <si>
    <t xml:space="preserve"> E Length=250 </t>
  </si>
  <si>
    <t>ExpAA=3.79 First60=0.00 PredHel=0 Topology=o</t>
  </si>
  <si>
    <t>PRX_Typ2cys 5e-122| PTZ00253 2e-103| AhpC 1e-101|</t>
  </si>
  <si>
    <t xml:space="preserve">mitochondrial truncated thioredoxin-dependent peroxide reductase precursor, partial </t>
  </si>
  <si>
    <t xml:space="preserve"> 18-19</t>
  </si>
  <si>
    <t>ExpAA=2.76 First60=0.00 PredHel=0 Topology=o</t>
  </si>
  <si>
    <t>PRX_Typ2cys 4e-119| PTZ00253 2e-101| AhpC 6e-100|</t>
  </si>
  <si>
    <t xml:space="preserve">glutathione peroxidase, putative </t>
  </si>
  <si>
    <t>ExpAA=0.00 First60=0.00 PredHel=0 Topology=o</t>
  </si>
  <si>
    <t>Glutathione peroxidase. Length=108</t>
  </si>
  <si>
    <t>GSHPx 6e-16| GSH_Peroxidase 2e-15| BtuE 4e-11|</t>
  </si>
  <si>
    <t>BtuE, Glutathione peroxidase [Posttranslational modification, protein turnover, chaperones]. Length=162</t>
  </si>
  <si>
    <t>AXH, domain in Ataxins and HMG containing proteins. unknown function. Length=116</t>
  </si>
  <si>
    <t>25-185</t>
  </si>
  <si>
    <t>Selenium dependent glutathione peroxidase</t>
  </si>
  <si>
    <t xml:space="preserve"> E Length=220 </t>
  </si>
  <si>
    <t xml:space="preserve">NADH:CoQ oxidoreductase subunit B18, putative </t>
  </si>
  <si>
    <t>ExpAA=0.02 First60=0.02 PredHel=0 Topology=o</t>
  </si>
  <si>
    <t xml:space="preserve">1 | 44    PNGRKRR|EM  0.576 *ProP*  | </t>
  </si>
  <si>
    <t>NADH-ubiquinone oxidoreductase B18 subunit (NDUFB7).  This family consists of several NADH-ubiquinone oxidoreductase B18 subunit proteins from different eukaryotic organisms. Oxidative phosphorylation is the well-characterized process in which ATP, the principal carrier of chemical energy of individual cells, is produced due to a mitochondrial proton gradient formed by the transfer of electrons from NADH and FADH2 to molecular oxygen. The oxidative phosphorylation (OXPHOS) system is located in the mitochondrial inner membrane and consists of five multi-subunit enzyme complexes and two small electron carriers: coenzyme Q10 and cytochrome C. At least 70 structural proteins involved in the formation of the whole OXPHOS system are encoded by nuclear genes, whereas 13 structural proteins are encoded by the mitochondrial genome. Deficiency of NADH ubiquinone oxidoreductase, the first enzyme complex of the mitochondrial respiratory chain, is one of the most frequent causes of human mitochondrial encephalomyopathies. Length=61</t>
  </si>
  <si>
    <t>NDUF_B7 4e-30| Cmc1 0.57| archaeo_STT3 1.3|</t>
  </si>
  <si>
    <t>COG5330, Uncharacterized protein conserved in bacteria [Function unknown]. Length=364</t>
  </si>
  <si>
    <t>HDAC_interact, Histone deacetylase (HDAC) interacting. This domain is found on transcriptional regulators. It forms interactions with histone deacetylases. Length=102</t>
  </si>
  <si>
    <t>25-413</t>
  </si>
  <si>
    <t>Cell adhesion molecule</t>
  </si>
  <si>
    <t xml:space="preserve">  Length=637 </t>
  </si>
  <si>
    <t xml:space="preserve">monooxygenase, putative </t>
  </si>
  <si>
    <t>ExpAA=3.82 First60=3.79 PredHel=0 Topology=o</t>
  </si>
  <si>
    <t>2-octaprenyl-6-methoxyphenyl hydroxylase; Validated. Length=374</t>
  </si>
  <si>
    <t>PRK06617 0.0| 2-polyprenyl-6-methoxyphenol_hydroxylase 3e-173| Ubiquinone_biosynthesis_monooxygenase_COQ6 2e-141|</t>
  </si>
  <si>
    <t>UbiH, 2-polyprenyl-6-methoxyphenol hydroxylase and related FAD-dependent oxidoreductases [Coenzyme metabolism / Energy production and conversion]. Length=387</t>
  </si>
  <si>
    <t>FAD binding domain.  This domain is involved in FAD binding in a number of enzymes. Length=345</t>
  </si>
  <si>
    <t>FH2, Formin Homology 2 Domain.  FH proteins control rearrangements of the actin cytoskeleton, especially in the context of cytokinesis and cell polarisation. Members of this family have been found to interact with Rho-GTPases, profilin and other actin-assoziated proteins. These interactions are mediated by the proline-rich FH1 domain, usually located in front of FH2 (but not listed in SMART). Despite this cytosolic function, vertebrate formins have been assigned functions within the nucleus. A set of Formin-Binding Proteins (FBPs) has been shown to bind FH1 with their WW domain. Length=392</t>
  </si>
  <si>
    <t>35-492</t>
  </si>
  <si>
    <t>M13_peptidase</t>
  </si>
  <si>
    <t xml:space="preserve"> E Length=713 </t>
  </si>
  <si>
    <t xml:space="preserve">cuticular protein, putative </t>
  </si>
  <si>
    <t>Cuticular protein</t>
  </si>
  <si>
    <t xml:space="preserve"> 15-16</t>
  </si>
  <si>
    <t>ExpAA=0.03 First60=0.01 PredHel=0 Topology=o</t>
  </si>
  <si>
    <t xml:space="preserve">1 | 21    ASPRSKR|AA  0.688 *ProP*  | </t>
  </si>
  <si>
    <t>Chitin binding Peritrophin-A domain.  This domain is called the Peritrophin-A domain and is found in chitin binding proteins particularly peritrophic matrix proteins of insects and animal chitinases. Copies of the domain are also found in some baculoviruses. Relevant references that describe proteins with this domain include. It is an extracellular domain that contains six conserved cysteines that probably form three disulphide bridges. Chitin binding has been demonstrated for a protein containing only two of these domains. Length=53</t>
  </si>
  <si>
    <t>CBM_14 5e-06| ChtBD2 0.008| FN3_7 0.025|</t>
  </si>
  <si>
    <t>MDN1, AAA ATPase containing von Willebrand factor type A (vWA) domain [General function prediction only]. Length=4600</t>
  </si>
  <si>
    <t>ChtBD2, Chitin-binding domain type 2. Length=49</t>
  </si>
  <si>
    <t>30-165</t>
  </si>
  <si>
    <t>AlaRich</t>
  </si>
  <si>
    <t xml:space="preserve">  Length=149 </t>
  </si>
  <si>
    <t>ExpAA=20.55 First60=4.15 PredHel=0 Topology=o</t>
  </si>
  <si>
    <t>Insect cuticle protein.  Many insect cuticular proteins include a 35-36 amino acid motif known as the R&amp;R consensus. The extensive conservation of this region led to the suggestion that it functions to bind chitin. Provocatively, it has no sequence similarity to the well-known cysteine-containing chitin-binding domain found in chitinases and some peritrophic membrane proteins. Chitin binding has been shown experimentally for this region. Thus arthropods have two distinct classes of chitin binding proteins, those with the chitin-binding domain found in lectins, chitinases and peritrophic membranes (cysCBD) and those with the cuticular protein chitin-binding domain (non-cysCBD). Length=52</t>
  </si>
  <si>
    <t>Chitin_bind_4 3e-10| COG1964 1.0| 7tmA_MCHR1 1.5|</t>
  </si>
  <si>
    <t>COG1964, Predicted Fe-S oxidoreductases [General function prediction only]. Length=475</t>
  </si>
  <si>
    <t>KISc, Kinesin motor, catalytic domain. ATPase.  Microtubule-dependent molecular motors that play important roles in intracellular transport of organelles and in cell division. Length=335</t>
  </si>
  <si>
    <t>35-48</t>
  </si>
  <si>
    <t>GRP</t>
  </si>
  <si>
    <t xml:space="preserve"> Chitin binding</t>
  </si>
  <si>
    <t xml:space="preserve">  Length=182 </t>
  </si>
  <si>
    <t xml:space="preserve"> 17-18</t>
  </si>
  <si>
    <t>ExpAA=0.31 First60=0.31 PredHel=0 Topology=o</t>
  </si>
  <si>
    <t>Chitin_bind_4 6e-10| PolyPPase_VTC_like 0.26| DUF4595 2.0|</t>
  </si>
  <si>
    <t>NOT5, CCR4-NOT transcriptional regulation complex, NOT5 subunit [Transcription]. Length=548</t>
  </si>
  <si>
    <t>CUB, Domain first found in C1r, C1s, uEGF, and bone morphogenetic protein.  This domain is found mostly among developmentally-regulated proteins. Spermadhesins contain only this domain. Length=102</t>
  </si>
  <si>
    <t xml:space="preserve">conserved hypothetical protein </t>
  </si>
  <si>
    <t>ExpAA=34.12 First60=0.00 PredHel=0 Topology=o</t>
  </si>
  <si>
    <t>CBM_14 6e-10| ChtBD2 1e-07| PRK07764 0.004|</t>
  </si>
  <si>
    <t>COG4248, Uncharacterized protein with protein kinase and helix-hairpin-helix DNA-binding domains [General function prediction only]. Length=637</t>
  </si>
  <si>
    <t xml:space="preserve">cuticle protein, putative </t>
  </si>
  <si>
    <t>ExpAA=0.62 First60=0.00 PredHel=0 Topology=o</t>
  </si>
  <si>
    <t>Chitin_bind_4 7e-14| PRK12323 0.037| PHA03378 0.19|</t>
  </si>
  <si>
    <t>NosZ, Nitrous oxide reductase [Energy production and conversion]. Length=637</t>
  </si>
  <si>
    <t>SynN, Syntaxin N-terminal domain.  Three-helix domain that (in Sso1p) slows the rate of its reaction with the SNAP-25 homologue Sec9p. Length=117</t>
  </si>
  <si>
    <t>Chitin_bind_4 2e-11| SRPBCC_2 0.087| COG4086 0.57|</t>
  </si>
  <si>
    <t>COG4086, Predicted secreted protein [Function unknown]. Length=299</t>
  </si>
  <si>
    <t>G2F, G2 nidogen domain and fibulin. Length=227</t>
  </si>
  <si>
    <t>55-383</t>
  </si>
  <si>
    <t xml:space="preserve">  Length=174 </t>
  </si>
  <si>
    <t>Chitin_bind_4 2e-13| Cytidylate_kinase 0.21| Tsx 6.6|</t>
  </si>
  <si>
    <t>Tsx, Nucleoside-binding outer membrane protein [Cell envelope biogenesis, outer membrane]. Length=284</t>
  </si>
  <si>
    <t>BID_1, Bacterial Ig-like domain (group 1). Length=92</t>
  </si>
  <si>
    <t xml:space="preserve">structural constituent of cuticle, putative </t>
  </si>
  <si>
    <t>Chitin_bind_4 6e-13| DUF5460 0.71| PRK09123 1.6|</t>
  </si>
  <si>
    <t>Aph, Aminoglycoside phosphotransferase [Translation, ribosomal structure and biogenesis]. Length=266</t>
  </si>
  <si>
    <t>GuKc, Guanylate kinase homologues.  Active enzymes catalyze ATP-dependent phosphorylation of GMP to GDP. Structure resembles that of adenylate kinase. So-called membrane-associated guanylate kinase homologues (MAGUKs) do not possess guanylate kinase activities; instead at least some possess protein-binding functions. Length=174</t>
  </si>
  <si>
    <t>ExpAA=13.03 First60=12.73 PredHel=0 Topology=o</t>
  </si>
  <si>
    <t>Y(3.11)</t>
  </si>
  <si>
    <t>Chitin_bind_4 2e-08| CBM9_like_1 0.61| Porin_8 1.5|</t>
  </si>
  <si>
    <t>COG2768, Uncharacterized Fe-S center protein [General function prediction only]. Length=354</t>
  </si>
  <si>
    <t>KR, Kringle domain.  Named after a Danish pastry. Found in several serine proteases and in ROR-like receptors. Can occur in up to 38 copies (in apolipoprotein(a)). Plasminogen-like kringles possess affinity for free lysine and lysine- containing peptides. Length=83</t>
  </si>
  <si>
    <t>CBM_14 7e-06| ChtBD2 0.028| G1PDH 0.61|</t>
  </si>
  <si>
    <t>COG5418, Predicted secreted protein [Function unknown]. Length=164</t>
  </si>
  <si>
    <t>Y</t>
  </si>
  <si>
    <t xml:space="preserve">cuticular protein, putative, partial </t>
  </si>
  <si>
    <t>ExpAA=9.23 First60=0.00 PredHel=0 Topology=o</t>
  </si>
  <si>
    <t>G(5.25)</t>
  </si>
  <si>
    <t>Chitin_bind_4 4e-08| SucA 2.2| IsdH_HarA 5.4|</t>
  </si>
  <si>
    <t>SucA, 2-oxoglutarate dehydrogenase complex, dehydrogenase (E1) component, and related enzymes [Energy production and conversion]. Length=906</t>
  </si>
  <si>
    <t>MltA, MltA specific insert domain.  This beta barrel domain is found inserted in the MltA a murein degrading transglycosylase enzyme. This domain may be involved in peptidoglycan binding. Length=153</t>
  </si>
  <si>
    <t>Chitin_bind_4 2e-13| DUF1093 0.001| Glutamate_synthase 0.058|</t>
  </si>
  <si>
    <t>COG5294, Uncharacterized protein conserved in bacteria [Function unknown]. Length=113</t>
  </si>
  <si>
    <t>POL3Bc, DNA polymerase III beta subunit. Length=345</t>
  </si>
  <si>
    <t xml:space="preserve">vesicle coat complex COPII, subunit SFB3, putative </t>
  </si>
  <si>
    <t xml:space="preserve"> 42-43</t>
  </si>
  <si>
    <t>ExpAA=22.58 First60=22.58 PredHel=1 Topology=o20-42i</t>
  </si>
  <si>
    <t>CBM_14 1e-10| ChtBD2 2e-08| COG3386 2.0|</t>
  </si>
  <si>
    <t>COG3386, Gluconolactonase [Carbohydrate transport and metabolism]. Length=307</t>
  </si>
  <si>
    <t>30-68</t>
  </si>
  <si>
    <t xml:space="preserve">  Length=236 </t>
  </si>
  <si>
    <t>ExpAA=1.30 First60=0.00 PredHel=0 Topology=o</t>
  </si>
  <si>
    <t>Chitin_bind_4 3e-09| AbfA 1.7| PRK06882 7.2|</t>
  </si>
  <si>
    <t>AbfA, Alpha-L-arabinofuranosidase [Carbohydrate transport and metabolism]. Length=501</t>
  </si>
  <si>
    <t>PP2Cc, Serine/threonine phosphatases, family 2C, catalytic domain.  The protein architecture and deduced catalytic mechanism of PP2C phosphatases are similar to the PP1, PP2A, PP2B family of protein Ser/Thr phosphatases, with which PP2C shares no sequence similarity. Length=252</t>
  </si>
  <si>
    <t>ExpAA=17.33 First60=0.88 PredHel=0 Topology=o</t>
  </si>
  <si>
    <t xml:space="preserve">1 | 106    GRPRSKR|EA  0.767 *ProP*  | </t>
  </si>
  <si>
    <t>CBM_14 7e-07| ChtBD2 8e-05| G1PDH 0.28|</t>
  </si>
  <si>
    <t>COG4279, Uncharacterized conserved protein [Function unknown]. Length=266</t>
  </si>
  <si>
    <t xml:space="preserve">hypothetical protein IscW_ISCW007105 </t>
  </si>
  <si>
    <t>ExpAA=109.88 First60=17.01 PredHel=5 Topology=i7-24o109-131i295-317o363-385i559-581o</t>
  </si>
  <si>
    <t>Chitin_bind_4 9e-08| Lig_chan 9e-06| PBP2_iGluR_Kainate_GluR7 4e-05|</t>
  </si>
  <si>
    <t>McrB, Methyl coenzyme M reductase, beta subunit [Coenzyme metabolism]. Length=447</t>
  </si>
  <si>
    <t>Lig_chan-Glu_bd, Ligated ion channel L-glutamate- and glycine-binding site.  This region, sometimes called the S1 domain, is the luminal domain just upstream of the first, M1, transmembrane region of transmembrane ion-channel proteins, and it binds L-glutamate and glycine. It is found in association with Lig_chan. Length=62</t>
  </si>
  <si>
    <t>ExpAA=25.13 First60=25.07 PredHel=1 Topology=i7-29o</t>
  </si>
  <si>
    <t>Chitin_bind_4 4e-12| VEG 4.3| DUF903 5.0|</t>
  </si>
  <si>
    <t>TreA, Neutral trehalase [Carbohydrate transport and metabolism]. Length=558</t>
  </si>
  <si>
    <t>NUC, DNA/RNA non-specific endonuclease.  prokaryotic and eukaryotic double- and single-stranded DNA and RNA endonucleases also present in phosphodiesterases. Length=210</t>
  </si>
  <si>
    <t>Chitin_bind_4 4e-11| SRPBCC_2 0.086| PLN02875 0.34|</t>
  </si>
  <si>
    <t>RhaA, L-rhamnose isomerase [Carbohydrate transport and metabolism]. Length=419</t>
  </si>
  <si>
    <t>SAA, Serum amyloid A proteins.  Serum amyloid A proteins are induced during the acute-phase response. Secondary amyloidosis is characterised by the extracellular accumulation in tissues of SAA proteins. SAA proteins are apolipoproteins. Length=103</t>
  </si>
  <si>
    <t xml:space="preserve">secreted protein, putative </t>
  </si>
  <si>
    <t>ExpAA=0.01 First60=0.01 PredHel=0 Topology=i</t>
  </si>
  <si>
    <t>Y(4.)</t>
  </si>
  <si>
    <t>Chitin_bind_4 3e-06| Fructose-bisphosphate_aldolase 0.044| PLN02882 0.39|</t>
  </si>
  <si>
    <t>COG3395, Uncharacterized protein conserved in bacteria [Function unknown]. Length=413</t>
  </si>
  <si>
    <t>ParB, ParB-like nuclease domain.  Plasmid RK2 ParB preferentially cleaves single-stranded DNA. ParB also nicks supercoiled plasmid DNA preferably at sites with potential single-stranded character, like AT-rich regions and sequences that can form cruciform structures. ParB also exhibits 5--&gt;3 exonuclease activity. Length=89</t>
  </si>
  <si>
    <t>ExpAA=0.04 First60=0.04 PredHel=0 Topology=o</t>
  </si>
  <si>
    <t>Chitin_bind_4 4e-11| COG4086 0.29| SRPBCC_2 0.40|</t>
  </si>
  <si>
    <t>TSPc, tail specific protease.  tail specific protease. Length=192</t>
  </si>
  <si>
    <t>ExpAA=13.62 First60=0.71 PredHel=0 Topology=o</t>
  </si>
  <si>
    <t>G(3.33)</t>
  </si>
  <si>
    <t>Chitin_bind_4 0.001| hypothetical_protein 1.4| hypothetical_protein_MED134_13161 7.4|</t>
  </si>
  <si>
    <t>RpsA, Ribosomal protein S1 [Translation, ribosomal structure and biogenesis]. Length=541</t>
  </si>
  <si>
    <t>SWAP, Suppressor-of-White-APricot splicing regulator. domain present in regulators which are responsible for pre-mRNA splicing processes. Length=54</t>
  </si>
  <si>
    <t>Chitin_bind_4 3e-08| SRPBCC_2 0.62| PTZ00208 1.5|</t>
  </si>
  <si>
    <t>LolB, Outer membrane lipoprotein involved in outer membrane biogenesis [Cell envelope biogenesis, outer membrane]. Length=206</t>
  </si>
  <si>
    <t>YceI, YceI-like domain.  E. coli YceI is a base-induced periplasmic protein. The recent structure of a member of this family shows that it binds to polyisoprenoid. The structure consists of an extended, eight-stranded, antiparallel beta-barrel that resembles the lipocalin fold. Length=166</t>
  </si>
  <si>
    <t>Q</t>
  </si>
  <si>
    <t xml:space="preserve">actin, putative, partial </t>
  </si>
  <si>
    <t>ExpAA=1.97 First60=0.00 PredHel=0 Topology=o</t>
  </si>
  <si>
    <t>PTZ00281, actin; Provisional. Length=376</t>
  </si>
  <si>
    <t>PTZ00281 0.0| PTZ00004 0.0| ACTIN 0.0|</t>
  </si>
  <si>
    <t>COG5277, Actin and related proteins [Cytoskeleton]. Length=444</t>
  </si>
  <si>
    <t>Actin. Length=367</t>
  </si>
  <si>
    <t>ACTIN, Actin.  ACTIN subfamily of ACTIN/mreB/sugarkinase/Hsp70 superfamily. Length=373</t>
  </si>
  <si>
    <t>30-142</t>
  </si>
  <si>
    <t>Cytotoxin</t>
  </si>
  <si>
    <t xml:space="preserve">  Length=215 </t>
  </si>
  <si>
    <t xml:space="preserve">actin, partial </t>
  </si>
  <si>
    <t>ExpAA=2.55 First60=2.54 PredHel=0 Topology=o</t>
  </si>
  <si>
    <t>PTZ00281 5e-91| PTZ00004 5e-84| ACTIN 7e-76|</t>
  </si>
  <si>
    <t>25-370</t>
  </si>
  <si>
    <t>Low-density lipoprotein receptor</t>
  </si>
  <si>
    <t xml:space="preserve">  Length=3609 </t>
  </si>
  <si>
    <t xml:space="preserve">beta tubulin </t>
  </si>
  <si>
    <t>ExpAA=0.01 First60=0.00 PredHel=0 Topology=o</t>
  </si>
  <si>
    <t>PLN00220, tubulin beta chain; Provisional. Length=447</t>
  </si>
  <si>
    <t>PLN00220 0.0| PTZ00010 0.0| beta_tubulin 0.0|</t>
  </si>
  <si>
    <t>COG5023, Tubulin [Cytoskeleton]. Length=443</t>
  </si>
  <si>
    <t>Tubulin C-terminal domain.  This family includes the tubulin alpha, beta and gamma chains. Members of this family are involved in polymer formation. Tubulins are GTPases. FtsZ can polymerize into tubes, sheets, and rings in vitro and is ubiquitous in eubacteria and archaea. Tubulin is the major component of microtubules. (The FtsZ GTPases have been split into their won family). Length=125</t>
  </si>
  <si>
    <t>Tubulin, Tubulin/FtsZ family, GTPase domain.  This domain is found in all tubulin chains, as well as the bacterial FtsZ family of proteins. These proteins are involved in polymer formation. Tubulin is the major component of microtubules, while FtsZ is the polymer-forming protein of bacterial cell division, it is part of a ring in the middle of the dividing cell that is required for constriction of cell membrane and cell envelope to yield two daughter cells. FtsZ and tubulin are GTPases, this entry is the GTPase domain. FtsZ can polymerise into tubes, sheets, and rings in vitro and is ubiquitous in bacteria and archaea. Length=192</t>
  </si>
  <si>
    <t>30-79</t>
  </si>
  <si>
    <t>Alpha2Macroblobulin</t>
  </si>
  <si>
    <t xml:space="preserve"> I Length=1484 </t>
  </si>
  <si>
    <t xml:space="preserve">alpha tubulin </t>
  </si>
  <si>
    <t>ExpAA=1.90 First60=0.00 PredHel=0 Topology=o</t>
  </si>
  <si>
    <t>PTZ00335, tubulin alpha chain; Provisional. Length=448</t>
  </si>
  <si>
    <t>PTZ00335 0.0| PLN00221 0.0| alpha_tubulin 0.0|</t>
  </si>
  <si>
    <t>25-35</t>
  </si>
  <si>
    <t xml:space="preserve"> I Length=1487 </t>
  </si>
  <si>
    <t>ExpAA=1.89 First60=0.00 PredHel=0 Topology=o</t>
  </si>
  <si>
    <t xml:space="preserve">alpha tubulin, putative </t>
  </si>
  <si>
    <t xml:space="preserve">1 | 322    WARRVCR|SA  0.701 *ProP*  | </t>
  </si>
  <si>
    <t>W(3.19)</t>
  </si>
  <si>
    <t>L</t>
  </si>
  <si>
    <t xml:space="preserve">beta tubulin, putative, partial </t>
  </si>
  <si>
    <t>ExpAA=0.02 First60=0.00 PredHel=0 Topology=o</t>
  </si>
  <si>
    <t>PTZ00010, tubulin beta chain; Provisional. Length=445</t>
  </si>
  <si>
    <t>PTZ00010 9e-167| PLN00220 5e-166| beta_tubulin 1e-158|</t>
  </si>
  <si>
    <t>Tubulin/FtsZ family, GTPase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polymerize into tubes, sheets, and rings in vitro and is ubiquitous in eubacteria and archaea. Tubulin is the major component of microtubules. Length=190</t>
  </si>
  <si>
    <t>25-27</t>
  </si>
  <si>
    <t>Transposon</t>
  </si>
  <si>
    <t xml:space="preserve"> L1_transposon</t>
  </si>
  <si>
    <t xml:space="preserve">  Length=499 </t>
  </si>
  <si>
    <t xml:space="preserve">beta-tubulin, putative </t>
  </si>
  <si>
    <t>Tubulin_C, Tubulin/FtsZ family, C-terminal domain. This domain is found in the tubulin alpha, beta and gamma chains, as well as the bacterial FtsZ family of proteins. These proteins are GTPases and are involved in polymer formation. Tubulin is the major component of microtubules, while FtsZ is the polymer-forming protein of bacterial cell division, it is part of a ring in the middle of the dividing cell that is required for constriction of cell membrane and cell envelope to yield two daughter cells. FtsZ can polymerise into tubes, sheets, and rings in vitro and is ubiquitous in bacteria and archaea. This is the C-terminal domain. Length=120</t>
  </si>
  <si>
    <t>ExpAA=1.29 First60=0.00 PredHel=0 Topology=o</t>
  </si>
  <si>
    <t>40-530</t>
  </si>
  <si>
    <t>Lipocalin</t>
  </si>
  <si>
    <t xml:space="preserve">  Length=216 </t>
  </si>
  <si>
    <t>35-252</t>
  </si>
  <si>
    <t xml:space="preserve">  Length=166 </t>
  </si>
  <si>
    <t>ExpAA=1.27 First60=0.00 PredHel=0 Topology=o</t>
  </si>
  <si>
    <t>40-502</t>
  </si>
  <si>
    <t>Madanin</t>
  </si>
  <si>
    <t xml:space="preserve"> PI Length=71 </t>
  </si>
  <si>
    <t>H</t>
  </si>
  <si>
    <t xml:space="preserve">beta-tubulin, putative, partial </t>
  </si>
  <si>
    <t>40-80</t>
  </si>
  <si>
    <t>19kDa</t>
  </si>
  <si>
    <t xml:space="preserve">  Length=177 </t>
  </si>
  <si>
    <t xml:space="preserve">alpha-tubulin, putative </t>
  </si>
  <si>
    <t>PTZ00335 3e-123| PLN00221 2e-121| alpha_tubulin 9e-112|</t>
  </si>
  <si>
    <t>45-141</t>
  </si>
  <si>
    <t>Papa</t>
  </si>
  <si>
    <t xml:space="preserve">  Length=314 </t>
  </si>
  <si>
    <t xml:space="preserve">paramyosin, putative </t>
  </si>
  <si>
    <t xml:space="preserve">1 | 615    SALRSKR|VA  0.728 *ProP*  | </t>
  </si>
  <si>
    <t>Myosin tail.  The myosin molecule is a multi-subunit complex made up of two heavy chains and four light chains it is a fundamental contractile protein found in all eukaryote cell types. This family consists of the coiled-coil myosin heavy chain tail region. The coiled-coil is composed of the tail from two molecules of myosin. These can then assemble into the macromolecular thick filament. The coiled-coil region provides the structural backbone the thick filament. Length=1081</t>
  </si>
  <si>
    <t>Myosin_tail_1 2e-61| Chromosome_partition_protein_Smc 2e-20| Smc 6e-19|</t>
  </si>
  <si>
    <t>Smc, Chromosome segregation ATPases [Cell division and chromosome partitioning]. Length=1163</t>
  </si>
  <si>
    <t>TOPEUc, DNA Topoisomerase I (eukaryota).  DNA Topoisomerase I (eukaryota), DNA topoisomerase V, Vaccina virus topoisomerase, Variola virus topoisomerase, Shope fibroma virus topoisomeras. Length=391</t>
  </si>
  <si>
    <t>25-248</t>
  </si>
  <si>
    <t>Laminin</t>
  </si>
  <si>
    <t xml:space="preserve">  Length=1796 </t>
  </si>
  <si>
    <t xml:space="preserve">tropomyosin invertebrate, putative, partial </t>
  </si>
  <si>
    <t>ExpAA=55.58 First60=0.00 PredHel=2 Topology=i210-227o278-300i</t>
  </si>
  <si>
    <t xml:space="preserve">2 | 147    SXRRAGR|SE  0.527 *ProP*  | 154    SESRVCR|EV  0.695 *ProP*  | </t>
  </si>
  <si>
    <t>Tropomyosin.  Tropomyosin is an alpha-helical protein that forms a coiled-coil structure of 2 parallel helices containing 2 sets of 7 alternating actin binding sites. The protein is best known for its role in regulating the interaction between actin and myosin in muscle contraction, but is also involved in the organisation and dynamics of the cytoskeleton in non-muscle cells. There are multiple cell-specific isoforms, expressed by alternative promoters and alternative RNA processing of at least four genes. Muscle isoforms of tropomyosin are characterized by having 284 amino acid residues and a highly conserved N-terminal region, whereas non-muscle forms are generally smaller and are heterogeneous in their N-terminal region. Length=235</t>
  </si>
  <si>
    <t>Tropomyosin 5e-63| Tropomyosin_1 2e-17| Chromosome_partition_protein_Smc 2e-10|</t>
  </si>
  <si>
    <t xml:space="preserve">muscle myosin heavy chain, putative </t>
  </si>
  <si>
    <t>Smc 9e-13| Chromosome_partition_protein_Smc 2e-12| PRK02224 4e-12|</t>
  </si>
  <si>
    <t>GRIP domain.  The GRIP (golgin-97, RanBP2alpha,Imh1p and p230/golgin-245) domain is found in many large coiled-coil proteins. It has been shown to be sufficient for targeting to the Golgi. The GRIP domain contains a completely conserved tyrosine residue. At least some of these domains have been shown to bind to GTPase Arl1. Length=44</t>
  </si>
  <si>
    <t>Grip, golgin-97, RanBP2alpha,Imh1p and p230/golgin-245.  Length=46</t>
  </si>
  <si>
    <t xml:space="preserve">RAS protein, putative, partial </t>
  </si>
  <si>
    <t>ExpAA=1.22 First60=1.00 PredHel=0 Topology=o</t>
  </si>
  <si>
    <t>Rap1, Rap1 family GTPase consists of Rap1a and Rap1b isoforms.  The Rap1 subgroup is part of the Rap subfamily of the Ras family. It can be further divided into the Rap1a and Rap1b isoforms. In humans, Rap1a and Rap1b share 95% sequence homology, but are products of two different genes located on chromosomes 1 and 12, respectively. Rap1a is sometimes called smg p21 or Krev1 in the older literature. Rap1 proteins are believed to perform different cellular functions, depending on the isoform, its subcellular localization, and the effector proteins it binds. For example, in rat salivary gland, neutrophils, and platelets, Rap1 localizes to secretory granules and is believed to regulate exocytosis or the formation of secretory granules. Rap1 has also been shown to localize in the Golgi of rat fibroblasts, zymogen granules, plasma membrane, and the microsomal membrane of pancreatic acini, as well as in the endocytic compartment of skeletal muscle cells and fibroblasts. High expression of Rap1 has been observed in the nucleus of human oropharyngeal squamous cell carcinomas (SCCs) and cell lines; interestingly, in the SCCs, the active GTP-bound form localized to the nucleus, while the inactive GDP-bound form localized to the cytoplasm. Rap1 plays a role in phagocytosis by controlling the binding of adhesion receptors (typically integrins) to their ligands. In yeast, Rap1 has been implicated in multiple functions, including activation and silencing of transcription and maintenance of telomeres. Rap1a, which is stimulated by T-cell receptor (TCR) activation, is a positive regulator of T cells by directing integrin activation and augmenting lymphocyte responses. In murine hippocampal neurons, Rap1b determines which neurite will become the axon and directs the recruitment of Cdc42, which is required for formation of dendrites and axons. In murine platelets, Rap1b is required for normal homeostasis in vivo and is involved in integrin activation. Most Ras proteins contain a lipid modification site at the C-terminus, with a typical sequence motif CaaX, where a = an aliphatic amino acid and X = any amino acid. Lipid binding is essential for membrane attachment, a key feature of most Ras proteins. Due to the presence of truncated sequences in this CD, the lipid modification site is not available for annotation. Length=164</t>
  </si>
  <si>
    <t>Rap1 4e-61| small_GTPase 2e-58| RAS 2e-56|</t>
  </si>
  <si>
    <t>COG1100, GTPase SAR1 and related small G proteins [General function prediction only]. Length=219</t>
  </si>
  <si>
    <t>Ras family.  Includes sub-families Ras, Rab, Rac, Ral, Ran, Rap Ypt1 and more. Shares P-loop motif with GTP_EFTU, arf and myosin_head. See pfam00009 pfam00025, pfam00063. As regards Rab GTPases, these are important regulators of vesicle formation, motility and fusion. They share a fold in common with all Ras GTPases: this is a six-stranded beta-sheet surrounded by five alpha-helices. Length=162</t>
  </si>
  <si>
    <t>small_GTPase, Small GTPase of the Ras superfamily; ill-defined subfamily.  SMART predicts Ras-like small GTPases of the ARF, RAB, RAN, RAS, and SAR subfamilies. Others that could not be classified in this way are predicted to be members of the small GTPase superfamily without predictions of the subfamily. Length=166</t>
  </si>
  <si>
    <t>30-365</t>
  </si>
  <si>
    <t>G protein alpha subunit</t>
  </si>
  <si>
    <t xml:space="preserve">  Length=415 </t>
  </si>
  <si>
    <t xml:space="preserve">hypothetical protein IscW_ISCW000834 </t>
  </si>
  <si>
    <t xml:space="preserve">4 | 18    GESPKRR|GF  0.580 *ProP*  | 219    XSARRLR|SA  0.619 *ProP*  | 337    PRARKKK|QQ  0.555 *ProP*  | 1759    VRLRRRR|PL  0.575 *ProP*  | </t>
  </si>
  <si>
    <t>PTZ00108, DNA topoisomerase 2-like protein; Provisional. Length=1388</t>
  </si>
  <si>
    <t>PTZ00108 3e-07| PTZ00121 1e-04| Endomucin 1e-04|</t>
  </si>
  <si>
    <t>Endomucin.  This family consists of several mammalian endomucin proteins. Endomucin is an early endothelial-specific antigen that is also expressed on putative hematopoietic progenitor cells. Length=259</t>
  </si>
  <si>
    <t>TOP4c, DNA Topoisomerase IV.  Bacterial DNA topoisomerase IV, GyrA, ParC. Length=444</t>
  </si>
  <si>
    <t>30-417</t>
  </si>
  <si>
    <t>BTSP</t>
  </si>
  <si>
    <t xml:space="preserve">  Length=1118 </t>
  </si>
  <si>
    <t xml:space="preserve">inosine-uridine preferring nucleoside hydrolase, putative, partial </t>
  </si>
  <si>
    <t>ExpAA=0.41 First60=0.00 PredHel=0 Topology=o</t>
  </si>
  <si>
    <t>nuc_hydro_CeIAG, nuc_hydro_CeIAG: Nucleoside hydrolases similar to the inosine-adenosine-guanosine-preferring nucleoside hydrolase from Caenorhabditis elegans.  Nucleoside hydrolases cleave the N-glycosidic bond in nucleosides generating ribose and the respective base. These enzymes vary in their substrate specificity. This group contains eukaryotic, bacterial and archeal proteins similar to the purine-preferring nucleoside hydrolase (IAG-NH) from C. elegans and the salivary purine nucleosidase from Aedes aegypti.  C. elegans IAG-NH exhibits a high affinity for the substrate analogue p-nitrophenylriboside (p-NPR). . Length=306</t>
  </si>
  <si>
    <t>nuc_hydro_CeIAG 1e-97| URH1 2e-66| IU_nuc_hydro 5e-64|</t>
  </si>
  <si>
    <t>URH1, Inosine-uridine nucleoside N-ribohydrolase [Nucleotide transport and metabolism]. Length=311</t>
  </si>
  <si>
    <t>Inosine-uridine preferring nucleoside hydrolase. Length=242</t>
  </si>
  <si>
    <t>CysPc, Calpain-like thiol protease family.  Calpain-like thiol protease family (peptidase family C2). Calcium activated neutral protease (large subunit). Length=318</t>
  </si>
  <si>
    <t>30-207</t>
  </si>
  <si>
    <t>Asparaginyl peptidase</t>
  </si>
  <si>
    <t xml:space="preserve"> E Length=391 </t>
  </si>
  <si>
    <t xml:space="preserve">hypothetical protein IscW_ISCW002924, partial </t>
  </si>
  <si>
    <t>ExpAA=0.14 First60=0.06 PredHel=0 Topology=o</t>
  </si>
  <si>
    <t>MPP_CD73_N, CD73 ecto-5'-nucleotidase and related proteins, N-terminal metallophosphatase domain.  CD73 is a mammalian ecto-5'-nucleotidase expressed in endothelial cells and lymphocytes that catalyzes the conversion of 5'-AMP to adenosine in the final step of a pathway that generates adenosine from ATP.  This pathway also includes a CD39 nucleoside triphosphate dephosphorylase that mediates the dephosphorylation of ATP to ADP and then to 5'-AMP.  These enzymes all have an N-terminal metallophosphatase domain and a C-terminal 5'nucleotidase domain.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 Length=279</t>
  </si>
  <si>
    <t>MPP_CD73_N 3e-24| MPP_UshA_N_like 9e-11| UshA 8e-10|</t>
  </si>
  <si>
    <t>UshA, 5'-nucleotidase/2',3'-cyclic phosphodiesterase and related esterases [Nucleotide transport and metabolism]. Length=517</t>
  </si>
  <si>
    <t>Bacterial capsule synthesis protein PGA_cap. This protein is a putative poly-gamma-glutamate capsule biosynthesis protein found in bacteria. Poly-gamma-glutamate is a natural polymer that may be involved in virulence and may help bacteria survive in high salt concentrations. It is a surface-associated protein. Length=249</t>
  </si>
  <si>
    <t>PGA_cap, Bacterial capsule synthesis protein PGA_cap. This protein is a putative poly-gamma-glutamate capsule biosynthesis protein found in bacteria. Poly-gamma-glutamate is a natural polymer that may be involved in virulence and may help bacteria survive in high salt concentrations. It is a surface-associated protein. Length=239</t>
  </si>
  <si>
    <t>45-21</t>
  </si>
  <si>
    <t>5'nucleotidase</t>
  </si>
  <si>
    <t xml:space="preserve"> E Length=583 </t>
  </si>
  <si>
    <t xml:space="preserve">triosephosphate isomerase, putative </t>
  </si>
  <si>
    <t>PTZ00333, triosephosphate isomerase; Provisional. Length=255</t>
  </si>
  <si>
    <t>PTZ00333 5e-132| TIM 3e-129| TIM 2e-125|</t>
  </si>
  <si>
    <t>TpiA, Triosephosphate isomerase [Carbohydrate transport and metabolism]. Length=251</t>
  </si>
  <si>
    <t>Triosephosphate isomerase. Length=242</t>
  </si>
  <si>
    <t>BRK, domain in transcription and CHROMO domain helicases.  Length=45</t>
  </si>
  <si>
    <t>25-244</t>
  </si>
  <si>
    <t xml:space="preserve">  Length=381 </t>
  </si>
  <si>
    <t xml:space="preserve">inositol polyphosphate-1-phosphatase, putative </t>
  </si>
  <si>
    <t>IPPase, IPPase; Inositol polyphosphate-1-phosphatase, a member of the Mg++ dependent family of inositol monophosphatase-like domains, hydrolyzes the 1' position phosphate from inositol 1,3,4-trisphosphate and inositol 1,4-bisphosphate. Members in this group may also exhibit 3'-phosphoadenosine 5'-phosphate phosphatase activity, and they all appear to be inhibited by lithium. IPPase is one of the proposed targets of Li+ therapy in manic-depressive illness. Length=293</t>
  </si>
  <si>
    <t>IPPase 5e-51| Inositol_P 7e-14| CysQ 3e-12|</t>
  </si>
  <si>
    <t>CysQ, 3'-Phosphoadenosine 5'-phosphosulfate (PAPS) 3'-phosphatase [Inorganic ion transport and metabolism]. Length=276</t>
  </si>
  <si>
    <t>Inositol monophosphatase family. Length=265</t>
  </si>
  <si>
    <t>DM14, Repeats in fly CG4713, worm Y37H9A.3 and human FLJ20241. Length=59</t>
  </si>
  <si>
    <t>30-435</t>
  </si>
  <si>
    <t>IPPase</t>
  </si>
  <si>
    <t xml:space="preserve"> Inositol monophosphatase</t>
  </si>
  <si>
    <t xml:space="preserve"> E Length=330 </t>
  </si>
  <si>
    <t xml:space="preserve">alpha2-glucosyltransferase, putative </t>
  </si>
  <si>
    <t xml:space="preserve"> 29-30</t>
  </si>
  <si>
    <t>ExpAA=228.80 First60=23.88 PredHel=10 Topology=i5-27o57-79i122-144o164-186i241-263o278-300i313-335o355-372i384-406o421-443i</t>
  </si>
  <si>
    <t>DIE2/ALG10 family.  The ALG10 protein from Saccharomyces cerevisiae encodes the alpha-1,2 glucosyltransferase of the endoplasmic reticulum. This protein has been characterized in rat as potassium channel regulator 1. Length=383</t>
  </si>
  <si>
    <t>DIE2_ALG10 1e-144| glgC 3.5| AARP2CN 4.7|</t>
  </si>
  <si>
    <t>UbiG, 2-polyprenyl-3-methyl-5-hydroxy-6-metoxy-1,4-benzoquinol methylase [Coenzyme metabolism]. Length=243</t>
  </si>
  <si>
    <t>AARP2CN, AARP2CN (NUC121) domain.  This domain is the central domain of AARP2. It is weakly similar to the GTP-binding domain of elongation factor TU. Length=83</t>
  </si>
  <si>
    <t>45-53</t>
  </si>
  <si>
    <t>Kunitz</t>
  </si>
  <si>
    <t xml:space="preserve"> PI Length=330 </t>
  </si>
  <si>
    <t xml:space="preserve">hypothetical protein IscW_ISCW004109 </t>
  </si>
  <si>
    <t>Q(3.13)</t>
  </si>
  <si>
    <t>DNA translocase FtsK; Provisional. Length=1355</t>
  </si>
  <si>
    <t>PRK10263 0.002| PAT1 0.014| FeoA 0.14|</t>
  </si>
  <si>
    <t>ValS, Valyl-tRNA synthetase [Translation, ribosomal structure and biogenesis]. Length=877</t>
  </si>
  <si>
    <t>Topoisomerase II-associated protein PAT1.  Members of this family are necessary for accurate chromosome transmission during cell division. Length=843</t>
  </si>
  <si>
    <t>Amelin, Ameloblastin precursor (Amelin).  This family consists of several mammalian Ameloblastin precursor (Amelin) proteins. Matrix proteins of tooth enamel consist mainly of amelogenin but also of non-amelogenin proteins, which, although their volumetric percentage is low, have an important role in enamel mineralisation. One of the non-amelogenin proteins is ameloblastin, also known as amelin and sheathlin. Ameloblastin (AMBN) is one of the enamel sheath proteins which is though to have a role in determining the prismatic structure of growing enamel crystals. Length=411</t>
  </si>
  <si>
    <t>30-76</t>
  </si>
  <si>
    <t>Glycosidase</t>
  </si>
  <si>
    <t xml:space="preserve"> Alpha-D-galactosidase (melibiase)</t>
  </si>
  <si>
    <t xml:space="preserve"> E Length=572 </t>
  </si>
  <si>
    <t xml:space="preserve">telomerase-binding protein EST1A, putative </t>
  </si>
  <si>
    <t>ExpAA=0.05 First60=0.00 PredHel=0 Topology=o</t>
  </si>
  <si>
    <t xml:space="preserve">4 | 52    RGSRCKR|PD  0.535 *ProP*  | 122    GPGKPRR|FV  0.658 *ProP*  | 298    REDRPRR|QS  0.647 *ProP*  | 896    TSHRSSR|SS  0.617 *ProP*  | </t>
  </si>
  <si>
    <t>PIN_Smg6-like, VapC-like PIN domain of human telomerase-binding protein EST1, Smg6, and other similar eukaryotic homologs.  Nonsense-mediated decay (NMD) factors, Smg5 and Smg6 are essential to the post-transcriptional regulatory pathway, NMD, which recognizes and rapidly degrades mRNAs containing premature translation termination codons. In vivo, the Smg6 PIN (PilT N terminus) domain elicits degradation of bound mRNAs, as well as, metal ion dependent, degradation of single-stranded RNA, in vitro. The PIN domain belongs to a large nuclease superfamily. The structural properties of the PIN domain indicate its putative active center, consisting of invariant acidic amino acid residues (putative metal-binding residues), is geometrically similar in the active center of structure-specific 5' nucleases (also known as Flap endonuclease-1-like), PIN-domain ribonucleases of eukaryotic rRNA editing proteins, and bacterial toxins of toxin-antitoxin (TA) operons. PIN domains within this subgroup contain four highly conserved acidic residues (putative metal-binding, active site residues) which cluster at the C-terminal end of the beta-sheet and form a negatively charged pocket near the center of the molecule. Point mutation studies of the conserved aspartate residues in the catalytic center of the Smg6 PIN domain revealed that Smg6 is the endonuclease involved in human NMD. However, Smg5 lacks several of these key catalytic residues and does not degrade single-stranded RNA, in vivo. Eukaryotic Smg6 PIN domains are present at the C-terminal end of the telomerase activating proteins, EST1. Length=178</t>
  </si>
  <si>
    <t>PIN_Smg6-like 2e-91| EST1_DNA_bind 7e-50| PIN_Smg5-6-like 2e-38|</t>
  </si>
  <si>
    <t>COG1875, NYN ribonuclease and ATPase of PhoH family domains [General    function prediction only]. Length=436</t>
  </si>
  <si>
    <t>Est1 DNA/RNA binding domain.  Est1 is a protein which recruits or activates telomerase at the site of polymerization. This is the DNA/RNA binding domain of EST1. Length=276</t>
  </si>
  <si>
    <t>PINc, Large family of predicted nucleotide-binding domains.  From similarities to 5'-exonucleases, these domains are predicted to be RNases. PINc domains in nematode SMG-5 and yeast NMD4p are predicted to be involved in RNAi. Length=111</t>
  </si>
  <si>
    <t>25-247</t>
  </si>
  <si>
    <t xml:space="preserve"> Collagen-like</t>
  </si>
  <si>
    <t xml:space="preserve">  Length=1772 </t>
  </si>
  <si>
    <t xml:space="preserve">lysine-specific histone demethylase, putative </t>
  </si>
  <si>
    <t>ExpAA=2.29 First60=0.00 PredHel=0 Topology=o</t>
  </si>
  <si>
    <t>PLN02328, lysine-specific histone demethylase 1 homolog. Length=808</t>
  </si>
  <si>
    <t>PLN02328 6e-125| PLN02529 6e-120| PLN03000 9e-120|</t>
  </si>
  <si>
    <t>COG1231, Monoamine oxidase [Amino acid transport and metabolism]. Length=450</t>
  </si>
  <si>
    <t>Flavin containing amine oxidoreductase. This family consists of various amine oxidases, including maze polyamine oxidase (PAO) and various flavin containing monoamine oxidases (MAO). The aligned region includes the flavin binding site of these enzymes. The family also contains phytoene dehydrogenases and related enzymes. In vertebrates MAO plays an important role regulating the intracellular levels of amines via there oxidation; these include various neurotransmitters, neurotoxins and trace amines. In lower eukaryotes such as aspergillus and in bacteria the main role of amine oxidases is to provide a source of ammonium. PAOs in plants, bacteria and protozoa oxidase spermidine and spermine to an aminobutyral, diaminopropane and hydrogen peroxide and are involved in the catabolism of polyamines. Other members of this family include tryptophan 2-monooxygenase, putrescine oxidase, corticosteroid binding proteins and antibacterial glycoproteins. Length=442</t>
  </si>
  <si>
    <t>AlaDh_PNT_C, Alanine dehydrogenase/PNT, C-terminal domain.  Alanine dehydrogenase catalyzes the NAD-dependent reversible reductive amination of pyruvate into alanine. Length=149</t>
  </si>
  <si>
    <t>30-433</t>
  </si>
  <si>
    <t xml:space="preserve">  Length=1349 </t>
  </si>
  <si>
    <t>ExpAA=0.40 First60=0.00 PredHel=0 Topology=o</t>
  </si>
  <si>
    <t xml:space="preserve">1 | 48    RKTRKKR|RK  0.589 *ProP*  | </t>
  </si>
  <si>
    <t>PLN02328 2e-116| PLN02529 5e-115| PLN02976 1e-112|</t>
  </si>
  <si>
    <t xml:space="preserve">F0F1-type ATP synthase, beta subunit, putative </t>
  </si>
  <si>
    <t>ExpAA=0.40 First60=0.35 PredHel=0 Topology=o</t>
  </si>
  <si>
    <t>F0F1 ATP synthase subunit beta; Validated. Length=463</t>
  </si>
  <si>
    <t>PRK09280 0.0| AtpD 0.0| ATP_synthase_subunit_beta 0.0|</t>
  </si>
  <si>
    <t>AtpD, F0F1-type ATP synthase, beta subunit [Energy production and conversion]. Length=468</t>
  </si>
  <si>
    <t>ATP synthase alpha/beta family, nucleotide-binding domain.  This entry includes the ATP synthase alpha and beta subunits, the ATP synthase associated with flagella and the termination factor Rho. Length=212</t>
  </si>
  <si>
    <t>AAA, ATPases associated with a variety of cellular activities.  AAA - ATPases associated with a variety of cellular activities. This profile/alignment only detects a fraction of this vast family. The poorly conserved N-terminal helix is missing from the alignment. Length=148</t>
  </si>
  <si>
    <t xml:space="preserve">translation initiation factor if-2 GTPase, putative, partial </t>
  </si>
  <si>
    <t>ExpAA=0.03 First60=0.00 PredHel=0 Topology=o</t>
  </si>
  <si>
    <t xml:space="preserve">1 | 470    EEAEKKR|SV  0.600 *ProP*  | </t>
  </si>
  <si>
    <t>translation initiation factor IF-2; Validated. Length=586</t>
  </si>
  <si>
    <t>PRK04004 0.0| Probable_translation_initiation_factor_IF-2...  466     8e-153 8e-153| PRK14845 1e-137|</t>
  </si>
  <si>
    <t>InfB, Translation initiation factor 2 (IF-2; GTPase) [Translation, ribosomal structure and biogenesis]. Length=509</t>
  </si>
  <si>
    <t>Elongation factor Tu GTP binding domain. This domain contains a P-loop motif, also found in several other families such as pfam00071, pfam00025 and pfam00063. Elongation factor Tu consists of three structural domains, this plus two C-terminal beta barrel domains. Length=187</t>
  </si>
  <si>
    <t>RAB, Rab subfamily of small GTPases.  Rab GTPases are implicated in vesicle trafficking. Length=164</t>
  </si>
  <si>
    <t>55-213</t>
  </si>
  <si>
    <t xml:space="preserve">  Length=202 </t>
  </si>
  <si>
    <t xml:space="preserve">ATP synthase subunit alpha, sodium ion specific, putative </t>
  </si>
  <si>
    <t>ExpAA=0.27 First60=0.00 PredHel=0 Topology=o</t>
  </si>
  <si>
    <t>30-75</t>
  </si>
  <si>
    <t>Prolyl 4-hydroxylase alpha subunit</t>
  </si>
  <si>
    <t xml:space="preserve"> E Length=522 </t>
  </si>
  <si>
    <t>Glycine rich</t>
  </si>
  <si>
    <t xml:space="preserve"> 23-24</t>
  </si>
  <si>
    <t>ExpAA=24.92 First60=24.56 PredHel=1 Topology=i7-29o</t>
  </si>
  <si>
    <t>.</t>
  </si>
  <si>
    <t>G(5.25)Y(4.8)</t>
  </si>
  <si>
    <t>MutL_C, MutL C terminal dimerisation domain.  MutL and MutS are key components of the DNA repair machinery that corrects replication errors. MutS recognises mispaired or unpaired bases in a DNA duplex and in the presence of ATP, recruits MutL to form a DNA signaling complex for repair. The N terminal region of MutL contains the ATPase domain and the C terminal is involved in dimerisation. Length=140</t>
  </si>
  <si>
    <t xml:space="preserve">salivary protein NPL-2, putative </t>
  </si>
  <si>
    <t>ExpAA=28.31 First60=27.11 PredHel=1 Topology=i7-29o</t>
  </si>
  <si>
    <t>G(5.17)Y(5.21)</t>
  </si>
  <si>
    <t xml:space="preserve">secreted salivary gland peptide, putative </t>
  </si>
  <si>
    <t>ExpAA=26.30 First60=25.61 PredHel=1 Topology=i7-29o</t>
  </si>
  <si>
    <t>G(5.29)Y(5.6)</t>
  </si>
  <si>
    <t>Glycyl-tRNA synthetase beta subunit.  Length=536</t>
  </si>
  <si>
    <t>JAB83646.1</t>
  </si>
  <si>
    <t xml:space="preserve"> GRP_Small_GYY</t>
  </si>
  <si>
    <t xml:space="preserve">  Length=116 </t>
  </si>
  <si>
    <t xml:space="preserve">putative secreted glycine rich salivary protein </t>
  </si>
  <si>
    <t>ExpAA=0.48 First60=0.21 PredHel=0 Topology=o</t>
  </si>
  <si>
    <t>KISc_KHC_KIF5, Kinesin motor domain, kinesin heavy chain (KHC) or KIF5-like subgroup.  Kinesin motor domain, kinesin heavy chain (KHC) or KIF5-like subgroup. Members of this group have been associated with organelle transport. This catalytic (head) domain has ATPase activity and belongs to the larger group of P-loop NTPases. Kinesins are microtubule-dependent molecular motors that play important roles in intracellular transport and in cell division. In most kinesins, the motor domain is found at the N-terminus (N-type). N-type kinesins are (+) end-directed motors, i.e. they transport cargo towards the (+) end of the microtubule. Kinesin motor domains hydrolyze ATP at a rate of about 80 per second, and move along the microtubule at a speed of about 6400 Angstroms per second. To achieve that, kinesin head groups work in pairs. Upon replacing ADP with ATP, a kinesin motor domain increases its affinity for microtubule binding and locks in place. Also, the neck linker binds to the motor domain, which repositions the other head domain through the coiled-coil domain close to a second tubulin dimer, about 80 Angstroms along the microtubule. Meanwhile, ATP hydrolysis takes place, and when the second head domain binds to the microtubule, the first domain again replaces ADP with ATP, triggering a conformational change that pulls the first domain forward. Length=325</t>
  </si>
  <si>
    <t>KISc_KHC_KIF5 0.24| PLN02986 1.0| NHS 1.2|</t>
  </si>
  <si>
    <t>Gid, NAD(FAD)-utilizing enzyme possibly involved in translation [Translation, ribosomal structure and biogenesis]. Length=439</t>
  </si>
  <si>
    <t>NHS-like.  This family of proteins includes Nance-Horan syndrome protein (NHS). Length=647</t>
  </si>
  <si>
    <t>35-161</t>
  </si>
  <si>
    <t xml:space="preserve">  Length=184 </t>
  </si>
  <si>
    <t>ExpAA=0.64 First60=0.36 PredHel=0 Topology=o</t>
  </si>
  <si>
    <t>KISc_KHC_KIF5 0.24| PLN02986 1.0| NHS 1.3|</t>
  </si>
  <si>
    <t xml:space="preserve">glycine proline-rich secreted protein, putative </t>
  </si>
  <si>
    <t>G(3.55)</t>
  </si>
  <si>
    <t>Protein of unknown function (DUF3300).  This hypothetical bacterial gene product has a long hydrophobic segment and is thus likely to be a membrane protein. Length=229</t>
  </si>
  <si>
    <t>DUF3300 0.013| Complex1_LYR_SDHAF1_LYRM8 4.3| NosR 4.8|</t>
  </si>
  <si>
    <t>NosR, Regulator of nitric oxide reductase transcription [Transcription]. Length=482</t>
  </si>
  <si>
    <t>INB, Integrin beta subunits (N-terminal portion of extracellular region).  Portion of beta integrins that lies N-terminal to their EGF-like repeats. Integrins are cell adhesion molecules that mediate cell-extracellular matrix and cell-cell interactions. They contain both alpha and beta subunits. Beta integrins are proposed to have a von Willebrand factor type-A "insert" or "I" -like domain (although this remains to be confirmed). Length=423</t>
  </si>
  <si>
    <t>65-134</t>
  </si>
  <si>
    <t xml:space="preserve"> Large GYY</t>
  </si>
  <si>
    <t xml:space="preserve">  Length=131 </t>
  </si>
  <si>
    <t xml:space="preserve"> 21-22</t>
  </si>
  <si>
    <t>ExpAA=7.55 First60=7.29 PredHel=0 Topology=o</t>
  </si>
  <si>
    <t>G(4.37)</t>
  </si>
  <si>
    <t>Phage tail tube protein, TTP.  This is a family of phage tail tube proteins. A few members have an associated bacterial Ig-like domain, pfam02368, at their C-terminus. Length=165</t>
  </si>
  <si>
    <t>Phage_tail_3 13| fluorinase 20| Peptidase_S15 25|</t>
  </si>
  <si>
    <t>FliK, Flagellar hook-length control protein [Cell motility and secretion]. Length=417</t>
  </si>
  <si>
    <t>IlGF, Insulin / insulin-like growth factor / relaxin family.  Family of proteins including insulin, relaxin, and IGFs. Insulin decreases blood glucose concentration. Length=66</t>
  </si>
  <si>
    <t>55-691</t>
  </si>
  <si>
    <t xml:space="preserve">  Length=183 </t>
  </si>
  <si>
    <t xml:space="preserve">glycine rich protein </t>
  </si>
  <si>
    <t xml:space="preserve"> 19-20</t>
  </si>
  <si>
    <t>ExpAA=11.97 First60=11.88 PredHel=0 Topology=o</t>
  </si>
  <si>
    <t>G0/G1 switch protein 2.  This family of proteins regulate apoptosis by binding to Bcl-2 and preventing the formation of the anti-apoptotic BAX-BCL2 heterodimers. Length=105</t>
  </si>
  <si>
    <t>G0-G1_switch_2 9.3| GH43_Arb43a-like 17| flagellar_hook_subunit_protein 24|</t>
  </si>
  <si>
    <t>COG3435, Gentisate 1,2-dioxygenase [Secondary metabolites biosynthesis, transport, and catabolism]. Length=351</t>
  </si>
  <si>
    <t>55-228</t>
  </si>
  <si>
    <t xml:space="preserve">  Length=142 </t>
  </si>
  <si>
    <t xml:space="preserve">heat shock protein, putative </t>
  </si>
  <si>
    <t>ExpAA=0.07 First60=0.01 PredHel=0 Topology=o</t>
  </si>
  <si>
    <t xml:space="preserve">1 | 275    ACERAKR|TL  0.519 *ProP*  | </t>
  </si>
  <si>
    <t>PTZ00009, heat shock 70 kDa protein; Provisional. Length=653</t>
  </si>
  <si>
    <t>PTZ00009 0.0| HSP70 0.0| HSPA1-2_6-8-like_NBD 0.0|</t>
  </si>
  <si>
    <t>DnaK, Molecular chaperone [Posttranslational modification, protein turnover, chaperones]. Length=579</t>
  </si>
  <si>
    <t>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Length=598</t>
  </si>
  <si>
    <t>30-200</t>
  </si>
  <si>
    <t>HSP-70</t>
  </si>
  <si>
    <t xml:space="preserve">  Length=659 </t>
  </si>
  <si>
    <t xml:space="preserve">Hsp90 protein, putative </t>
  </si>
  <si>
    <t>ExpAA=0.10 First60=0.02 PredHel=0 Topology=o</t>
  </si>
  <si>
    <t>PTZ00272, heat shock protein 83 kDa (Hsp83); Provisional. Length=701</t>
  </si>
  <si>
    <t>PTZ00272 0.0| HSP90 0.0| PRK05218 0.0|</t>
  </si>
  <si>
    <t>HtpG, Molecular chaperone, HSP90 family [Posttranslational modification, protein turnover, chaperones]. Length=623</t>
  </si>
  <si>
    <t>Hsp90 protein. Length=515</t>
  </si>
  <si>
    <t>HATPase_c, Histidine kinase-like ATPases.  Histidine kinase-, DNA gyrase B-, phytochrome-like ATPases. Length=111</t>
  </si>
  <si>
    <t>30-34</t>
  </si>
  <si>
    <t>Disulphide isomerase</t>
  </si>
  <si>
    <t xml:space="preserve"> E Length=500 </t>
  </si>
  <si>
    <t>PTZ00009 0.0| HSP70 0.0| dnaK 0.0|</t>
  </si>
  <si>
    <t>GIT, Helical motif in the GIT family of ADP-ribosylation factor GTPase-activating proteins.  Helical motif in the GIT family of ADP-ribosylation factor GTPase-activating proteins, and in yeast Spa2p and Sph1p (CPP; unpublished results). In p95-APP1 the N-terminal GIT motif might be involved in binding PIX. Length=31</t>
  </si>
  <si>
    <t xml:space="preserve">heat shock protein 70, putative, partial </t>
  </si>
  <si>
    <t>ExpAA=0.46 First60=0.01 PredHel=0 Topology=o</t>
  </si>
  <si>
    <t>HSPA1-2_6-8-like_NBD, Nucleotide-binding domain of HSPA1-A, -B, -L, HSPA-2, -6, -7, -8, and similar proteins.  This subfamily includes human HSPA1A (70-kDa heat shock protein 1A, also known as HSP72; HSPA1; HSP70I; HSPA1B; HSP70-1; HSP70-1A), HSPA1B (70-kDa heat shock protein 1B, also known as HSPA1A; HSP70-2; HSP70-1B), and HSPA1L (70-kDa heat shock protein 1-like, also known as HSP70T; hum70t; HSP70-1L; HSP70-HOM). The genes for these three HSPA1 proteins map in close proximity on the major histocompatibility complex (MHC) class III region on chromosome 6, 6p21.3. This subfamily also includes human HSPA8 (heat shock 70kDa protein 8, also known as LAP1; HSC54; HSC70; HSC71; HSP71; HSP73; NIP71; HSPA10; the HSPA8 gene maps to 11q24.1), human HSPA2 (70-kDa heat shock protein 2, also known as HSP70-2; HSP70-3, the HSPA2 gene maps to 14q24.1), human HSPA6 (also known as heat shock 70kDa protein 6 (HSP70B') gi 94717614, the HSPA6 gene maps to 1q23.3), human HSPA7 (heat shock 70kDa protein 7 , also known as HSP70B; the HSPA7 gene maps to 1q23.3) and Saccharmoyces cerevisiae Stress-Seventy subfamily B/Ssb1p. This subfamily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Associations of polymorphisms within the MHC-III HSP70 gene locus with longevity, systemic lupus erythematosus, Meniere's disease, noise-induced hearing loss, high-altitude pulmonary edema, and coronary heart disease, have been found. HSPA2 is involved in cancer cell survival, is required for maturation of male gametophytes, and is linked to male infertility. The induction of HSPA6 is a biomarker of cellular stress. HSPA8 participates in the folding and trafficking of client proteins to different subcellular compartments, and in the signal transduction and apoptosis process; it has been shown to protect cardiomyocytes against oxidative stress partly through an interaction with alpha-enolase. S. cerevisiae Ssb1p, is part of the ribosome-associated complex (RAC), it acts as a chaperone for nascent polypeptides, and is important for translation fidelity; Ssb1p is also a [PSI+] prion-curing factor. Length=376</t>
  </si>
  <si>
    <t>HSPA1-2_6-8-like_NBD 7e-153| HSPA5-like_NBD 2e-137| PTZ00009 3e-132|</t>
  </si>
  <si>
    <t>MUTSd, DNA-binding domain of DNA mismatch repair MUTS family. Length=308</t>
  </si>
  <si>
    <t>N</t>
  </si>
  <si>
    <t xml:space="preserve">heat shock protein, putative, partial </t>
  </si>
  <si>
    <t>ExpAA=0.04 First60=0.03 PredHel=0 Topology=o</t>
  </si>
  <si>
    <t>ExpAA=0.84 First60=0.83 PredHel=0 Topology=o</t>
  </si>
  <si>
    <t>HSP70 0.0| PTZ00009 0.0| dnaK 0.0|</t>
  </si>
  <si>
    <t>OmpH, Outer membrane protein (OmpH-like).  This family includes outer membrane proteins such as OmpH among others. Skp (OmpH) has been characterized as a molecular chaperone that interacts with unfolded proteins as they emerge in the periplasm from the Sec translocation machinery. Length=140</t>
  </si>
  <si>
    <t>ExpAA=0.17 First60=0.17 PredHel=0 Topology=o</t>
  </si>
  <si>
    <t>HSPA1-2_6-8-like_NBD 1e-72| HSPA5-like_NBD 4e-63| PTZ00009 6e-62|</t>
  </si>
  <si>
    <t>SAM_PNT, SAM / Pointed domain.  A subfamily of the SAM domain. Length=82</t>
  </si>
  <si>
    <t>V</t>
  </si>
  <si>
    <t>Agro_virD5, Agrobacterium VirD5 protein.  The virD operon in Agrobacterium encodes a site-specific endonuclease, and a number of other poorly characterised products. This family represents the VirD5 protein. Length=780</t>
  </si>
  <si>
    <t xml:space="preserve">HSP70, partial </t>
  </si>
  <si>
    <t>PTZ00009 0.0| dnaK 0.0| HSP70 0.0|</t>
  </si>
  <si>
    <t>H3, Histone H3. Length=105</t>
  </si>
  <si>
    <t xml:space="preserve">Core histone H2A/H2B/H3/H4 </t>
  </si>
  <si>
    <t>ExpAA=0.00 First60=0.00 PredHel=0 Topology=i</t>
  </si>
  <si>
    <t>PTZ00018, histone H3; Provisional. Length=136</t>
  </si>
  <si>
    <t>PTZ00018 1e-89| PLN00121 2e-81| H3 2e-60|</t>
  </si>
  <si>
    <t>HHT1, Histones H3 and H4 [Chromatin structure and dynamics]. Length=91</t>
  </si>
  <si>
    <t>Core histone H2A/H2B/H3/H4. Length=127</t>
  </si>
  <si>
    <t xml:space="preserve">histone 2A </t>
  </si>
  <si>
    <t>ExpAA=2.79 First60=1.76 PredHel=0 Topology=o</t>
  </si>
  <si>
    <t>PTZ00017, histone H2A; Provisional. Length=134</t>
  </si>
  <si>
    <t>PTZ00017 2e-70| H2A 5e-69| H2A 7e-68|</t>
  </si>
  <si>
    <t>HTA1, Histone H2A [Chromatin structure and dynamics]. Length=132</t>
  </si>
  <si>
    <t>C-terminus of histone H2A. Length=34</t>
  </si>
  <si>
    <t>H2A, Histone 2A. Length=106</t>
  </si>
  <si>
    <t>25-98</t>
  </si>
  <si>
    <t>SPARC/Kazal</t>
  </si>
  <si>
    <t xml:space="preserve"> PI, GPI Length=587 </t>
  </si>
  <si>
    <t xml:space="preserve">histone H4, putative </t>
  </si>
  <si>
    <t>PLN00035, histone H4; Provisional. Length=103</t>
  </si>
  <si>
    <t>PLN00035 5e-54| PTZ00015 3e-47| H4 5e-43|</t>
  </si>
  <si>
    <t>Centromere kinetochore component CENP-T histone fold.  CENP-T is a family of vertebral kinetochore proteins that associates directly with CENP-W. The N-terminus of CENP-T proteins interacts directly with the Ndc80 complex in the outer kinetochore. Importantly, the CENP-T-W complex does not directly associate with CENP-A, but with histone H3 in the centromere region. CENP-T and -W form a hetero-tetramer with CENP-S and -X and bind to a ~100 bp region of nucleosome-free DNA forming a nucleosome-like structure. The DNA-CENP-T-W-S-X complex is likely to be associated with histone H3-containing nucleosomes rather than with CENP-nucleosomes. This domain is the C-terminal histone fold domain of CENP-T, which associates with chromatin. Length=108</t>
  </si>
  <si>
    <t>H4, Histone H4. Length=74</t>
  </si>
  <si>
    <t>35-583</t>
  </si>
  <si>
    <t>Prich</t>
  </si>
  <si>
    <t xml:space="preserve">  Length=193 </t>
  </si>
  <si>
    <t xml:space="preserve">histone H2B, putative </t>
  </si>
  <si>
    <t>H2B, Histone H2B. Length=97</t>
  </si>
  <si>
    <t>H2B 6e-52| PLN00158 2e-51| PTZ00463 8e-39|</t>
  </si>
  <si>
    <t>30-202</t>
  </si>
  <si>
    <t>Glycosyltransferase</t>
  </si>
  <si>
    <t xml:space="preserve"> glycosyltransferase</t>
  </si>
  <si>
    <t xml:space="preserve"> E Length=479 </t>
  </si>
  <si>
    <t>ExpAA=1.59 First60=1.16 PredHel=0 Topology=o</t>
  </si>
  <si>
    <t>H2A 6e-70| PTZ00017 1e-68| H2A 4e-68|</t>
  </si>
  <si>
    <t xml:space="preserve">histone H3, putative </t>
  </si>
  <si>
    <t>ExpAA=0.01 First60=0.00 PredHel=0 Topology=i</t>
  </si>
  <si>
    <t>PTZ00018 2e-89| PLN00121 6e-81| H3 8e-60|</t>
  </si>
  <si>
    <t>25-441</t>
  </si>
  <si>
    <t>TIL</t>
  </si>
  <si>
    <t xml:space="preserve"> PI Length=2195 </t>
  </si>
  <si>
    <t xml:space="preserve">GDI-1 GDP dissociation inhibitor, putative, partial </t>
  </si>
  <si>
    <t>Misceleneous function</t>
  </si>
  <si>
    <t>ExpAA=0.13 First60=0.11 PredHel=0 Topology=o</t>
  </si>
  <si>
    <t>GDP dissociation inhibitor. Length=436</t>
  </si>
  <si>
    <t>GDI 0.0| PTZ00363 0.0| MRS6 1e-144|</t>
  </si>
  <si>
    <t>MRS6, RAB proteins geranylgeranyltransferase component A (RAB escort protein) [Posttranslational modification, protein turnover, chaperones]. Length=434</t>
  </si>
  <si>
    <t>START, in StAR and phosphatidylcholine transfer protein. putative lipid-binding domain in StAR and phosphatidylcholine transfer protein. Length=205</t>
  </si>
  <si>
    <t>35-251</t>
  </si>
  <si>
    <t xml:space="preserve">  Length=201 </t>
  </si>
  <si>
    <t xml:space="preserve">double-cortin, putative </t>
  </si>
  <si>
    <t>ExpAA=0.02 First60=0.01 PredHel=0 Topology=o</t>
  </si>
  <si>
    <t>DCX, Domain in the Doublecortin (DCX) gene product. Tandemly-repeated domain in doublin, the Doublecortin gene product. Proposed to bind tubulin. Doublecortin (DCX) is mutated in human X-linked neuronal migration defects. Length=89</t>
  </si>
  <si>
    <t>DCX 1e-21| DCX 5e-17| DCX 9e-17|</t>
  </si>
  <si>
    <t>COG4353, Uncharacterized conserved protein [Function unknown]. Length=192</t>
  </si>
  <si>
    <t>Doublecortin. Length=55</t>
  </si>
  <si>
    <t>35-26</t>
  </si>
  <si>
    <t xml:space="preserve"> His binding</t>
  </si>
  <si>
    <t xml:space="preserve">  Length=217 </t>
  </si>
  <si>
    <t xml:space="preserve">microplusin preprotein-like </t>
  </si>
  <si>
    <t>Misceleneous function (Antimicrobial peptide)</t>
  </si>
  <si>
    <t>ExpAA=0.12 First60=0.12 PredHel=0 Topology=o</t>
  </si>
  <si>
    <t>C(3.67)H(3.)</t>
  </si>
  <si>
    <t>Unconventional myosin-X coiled coil domain. This coiled coil domain is found in unconventional myosin-X and is responsible for dimerization. Length=51</t>
  </si>
  <si>
    <t>MYO10_CC 11| PB1_P40 17| MFS_STP 17|</t>
  </si>
  <si>
    <t>COG2915, Uncharacterized protein involved in purine metabolism [General function prediction only]. Length=207</t>
  </si>
  <si>
    <t>MbtH, MbtH-like protein.  This domain is found in the MbtH protein as well as at the N-terminus of the antibiotic synthesis protein NIKP1. This domain is about 70 amino acids long and contains 3 fully conserved tryptophan residues. Many of the members of this family are found in known antibiotic synthesis gene clusters. Length=49</t>
  </si>
  <si>
    <t>40-451</t>
  </si>
  <si>
    <t>Microplusin</t>
  </si>
  <si>
    <t xml:space="preserve"> AM Length=124 </t>
  </si>
  <si>
    <t xml:space="preserve">ricinusin, putative </t>
  </si>
  <si>
    <t>hsFATP4_like, Fatty acid transport proteins (FATP), including FATP4 and FATP1, and similar proteins.  Fatty acid transport protein (FATP) transports long-chain or very-long-chain fatty acids across the plasma membrane. At least five copies of FATPs are identified in mammalian cells. This family includes FATP4, FATP1, and homologous proteins. Each FATP has unique patterns of tissue distribution. FATP4 is mainly expressed in the brain, testis, colon and kidney. FATPs also have fatty acid CoA synthetase activity, thus playing dual roles as fatty acid transporters and its activation enzymes. FATPs are the key players in the trafficking of exogenous fatty acids into the cell and in intracellular fatty acid homeostasis. Length=474</t>
  </si>
  <si>
    <t>hsFATP4_like 5.8| MFS_STP 17| PRK05899 17|</t>
  </si>
  <si>
    <t>PhoP regulatory network protein YrbL. This is a family of proteins that are activated by PhoP. PhoP protein controls the expression of a large number of genes that mediate adaptation to low Mg2+ environments and/or virulence in several bacterial species. YbrL is proposed to be acting in a loop activity with PhoP and PrmA analogous to the multicomponent loop in Salmonella where the PhoP-dependent PmrD protein activates the regulatory protein PmrA, and the activated PmrA then represses transcription from the PmrD promoter which harbours binding sites for both the PhoP and PmrA proteins. Expression of YrbL is induced in low Mg2+ in a PhoP-dependent fashion and repressed by Fe3+ in a PmrA-dependent manner. Length=200</t>
  </si>
  <si>
    <t xml:space="preserve">chaperone ATP11p, putative </t>
  </si>
  <si>
    <t>Misceleneous function (Energy metabolism)</t>
  </si>
  <si>
    <t>ATP11 protein.  This family consists of several eukaryotic ATP11 proteins. In Saccharomyces cerevisiae, expression of functional F1-ATPase requires two proteins encoded by the ATP11 and ATP12 genes. Atp11p is a molecular chaperone of the mitochondrial matrix that participates in the biogenesis pathway to form F1, the catalytic unit of the ATP synthase. Length=267</t>
  </si>
  <si>
    <t>ATP11 1e-46| PRK07329 0.46| 7tmA_OR5A1-like 0.55|</t>
  </si>
  <si>
    <t>TrpE, Anthranilate/para-aminobenzoate synthases component I [Amino acid transport and metabolism / Coenzyme metabolism]. Length=462</t>
  </si>
  <si>
    <t>BEN, The BEN domain is found in diverse animal proteins. Proteins containing BEN domains are BANP/SMAR1, NAC1 and the Drosophila mod(mdg4) isoform C, the chordopoxvirus virosomal protein E5R and several proteins of polydnaviruses. Computational analysis suggests that the BEN domain mediates protein-DNA and protein-protein interactions during chromatin organisation and transcription. Length=80</t>
  </si>
  <si>
    <t>50-31</t>
  </si>
  <si>
    <t xml:space="preserve">Lipocalin </t>
  </si>
  <si>
    <t xml:space="preserve"> P32 antigen </t>
  </si>
  <si>
    <t xml:space="preserve">  Length=310 </t>
  </si>
  <si>
    <t xml:space="preserve">transcription factor containing NAC and TS-N domains, putative </t>
  </si>
  <si>
    <t>Misceleneous function (Nucleic acid metabolism)</t>
  </si>
  <si>
    <t>NAC domain. Length=54</t>
  </si>
  <si>
    <t>NAC 6e-21| UBA_NAC_euk 1e-16| UBA_NACA_NACP1 2e-15|</t>
  </si>
  <si>
    <t>EGD2, Transcription factor homologous to NACalpha-BTF3 [Transcription]. Length=122</t>
  </si>
  <si>
    <t>CARP, Domain in CAPs (cyclase-associated proteins) and X-linked retinitis pigmentosa 2 gene product. Length=38</t>
  </si>
  <si>
    <t>25-184</t>
  </si>
  <si>
    <t>ABCTransporter</t>
  </si>
  <si>
    <t xml:space="preserve"> H </t>
  </si>
  <si>
    <t xml:space="preserve">  Length=526 </t>
  </si>
  <si>
    <t xml:space="preserve">ubiquitin/40S ribosomal protein S27A fusion, putative </t>
  </si>
  <si>
    <t>Misceleneous function (Protein synthesis)</t>
  </si>
  <si>
    <t>Ubl_ubiquitin, ubiquitin-like (Ubl) domain found in ubiquitin.  Ubiquitin is a protein modifier in eukaryotes that is involved in various cellular processes, including transcriptional regulation, cell cycle control, and DNA repair. Ubiquitination is comprised of a cascade of E1, E2 and E3 enzymes that results in a covalent bond between the C-terminus of ubiquitin and the epsilon-amino group of a substrate lysine. Ubiquitin-like (Ubl) proteins have similar ubiquitin beta-grasp fold and attach to other proteins in a Ubl manner but with biochemically distinct roles. Ubiquitin (Ub)and Ubl proteins conjugate and deconjugate via ligases and peptidases to covalently modify target polypeptides. Ub includes Ubq/RPL40e and Ubq/RPS27a fusions as well as homopolymeric multiubiquitin protein chains. Length=76</t>
  </si>
  <si>
    <t>Ubl_ubiquitin 2e-46| UBQ 5e-29| Ubl_NEDD8 2e-28|</t>
  </si>
  <si>
    <t>UBI4, UBI4; linked to 3D-structure. Length=74</t>
  </si>
  <si>
    <t>Ubiquitin family.  This family contains a number of ubiquitin-like proteins: SUMO (smt3 homolog), Nedd8, Elongin B, Rub1, and Parkin. A number of them are thought to carry a distinctive five-residue motif termed the proteasome-interacting motif (PIM), which may have a biologically significant role in protein delivery to proteasomes and recruitment of proteasomes to transcription sites. Length=71</t>
  </si>
  <si>
    <t>UBQ, Ubiquitin homologues.  Ubiquitin-mediated proteolysis is involved in the regulated turnover of proteins required for controlling cell cycle progression. Length=72</t>
  </si>
  <si>
    <t>45-182</t>
  </si>
  <si>
    <t xml:space="preserve">BTSP </t>
  </si>
  <si>
    <t xml:space="preserve">  Length=137 </t>
  </si>
  <si>
    <t xml:space="preserve">translation elongation factor EF-1 alpha/Tu, putative </t>
  </si>
  <si>
    <t>ExpAA=0.04 First60=0.02 PredHel=0 Topology=o</t>
  </si>
  <si>
    <t>PTZ00141, elongation factor 1- alpha; Provisional. Length=446</t>
  </si>
  <si>
    <t>PTZ00141 0.0| PLN00043 0.0| TEF1 0.0|</t>
  </si>
  <si>
    <t>TEF1, Translation elongation factor EF-1alpha (GTPase) [Translation, ribosomal structure and biogenesis]. Length=428</t>
  </si>
  <si>
    <t>PRY, associated with SPRY domains. Length=52</t>
  </si>
  <si>
    <t>75-522</t>
  </si>
  <si>
    <t>GILT, Gamma interferon inducible lysosomal thiol reductase</t>
  </si>
  <si>
    <t xml:space="preserve"> E Length=378 </t>
  </si>
  <si>
    <t xml:space="preserve">40S ribosomal protein S27A, putative </t>
  </si>
  <si>
    <t>Ubl_ubiquitin 5e-57| UBQ 2e-37| ubiquitin 2e-36|</t>
  </si>
  <si>
    <t xml:space="preserve">60S ribosomal protein L23, putative </t>
  </si>
  <si>
    <t>K(3.02)</t>
  </si>
  <si>
    <t>PTZ00191, 60S ribosomal protein L23a; Provisional. Length=145</t>
  </si>
  <si>
    <t>PTZ00191 3e-60| PRK14548 4e-36| 50S_ribosomal_protein_L23P 3e-31|</t>
  </si>
  <si>
    <t>RplW, Ribosomal protein L23 [Translation, ribosomal structure and biogenesis]. Length=94</t>
  </si>
  <si>
    <t>Ribosomal protein L23. Length=86</t>
  </si>
  <si>
    <t>ANX, Annexin repeats. Length=53</t>
  </si>
  <si>
    <t>40-134</t>
  </si>
  <si>
    <t xml:space="preserve">Lipase </t>
  </si>
  <si>
    <t xml:space="preserve"> E Length=472 </t>
  </si>
  <si>
    <t xml:space="preserve">calreticulin, putative </t>
  </si>
  <si>
    <t>Misceleneous function (Protein transport)</t>
  </si>
  <si>
    <t>ExpAA=0.05 First60=0.05 PredHel=0 Topology=o</t>
  </si>
  <si>
    <t>W(3.35)</t>
  </si>
  <si>
    <t>Calreticulin family. Length=367</t>
  </si>
  <si>
    <t>Calreticulin 1e-113| PRK10263 0.008| Trypan_PARP 0.057|</t>
  </si>
  <si>
    <t>TesB, Acyl-CoA thioesterase [Lipid metabolism]. Length=289</t>
  </si>
  <si>
    <t>BCS1_N, This domain is found at the N terminal of the mitochondrial ATPase BSC1. It encodes the import and intramitochondrial sorting for the protein. Length=170</t>
  </si>
  <si>
    <t>30-81</t>
  </si>
  <si>
    <t>CalreticulinCalnexin</t>
  </si>
  <si>
    <t xml:space="preserve">  Length=410 </t>
  </si>
  <si>
    <t xml:space="preserve">chaperonin subunit, putative </t>
  </si>
  <si>
    <t>TCP1_epsilon, TCP-1 (CTT or eukaryotic type II) chaperonin family, epsilon subunit. Chaperonins are involved in productive folding of proteins. They share a common general morphology, a double toroid of 2 stacked rings. In contrast to bacterial group I chaperonins (GroEL), each ring of the eukaryotic cytosolic chaperonin (CTT) consists of eight different, but homologous subunits. Their common function is to sequester nonnative proteins inside their central cavity and promote folding by using energy derived from ATP hydrolysis. The best studied in vivo substrates of CTT are actin and tubulin. Length=526</t>
  </si>
  <si>
    <t>TCP1_epsilon 0.0| T-complex_protein_1_subunit_epsilon 0.0| chaperonin_type_I_II 0.0|</t>
  </si>
  <si>
    <t>GroL, Chaperonin GroEL (HSP60 family) [Posttranslational modification, protein turnover, chaperones]. Length=524</t>
  </si>
  <si>
    <t>TCP-1/cpn60 chaperonin family.  This family includes members from the HSP60 chaperone family and the TCP-1 (T-complex protein) family. Length=489</t>
  </si>
  <si>
    <t>Adenylsucc_synt, Adenylosuccinate synthetase.  Adenylosuccinate synthetase plays an important role in purine biosynthesis, by catalyzing the GTP-dependent conversion of IMP and aspartic acid to AMP. Adenylosuccinate synthetase has been characterized from various sources ranging from Escherichia coli (gene purA) to vertebrate tissues. In vertebrates, two isozymes are present - one involved in purine biosynthesis and the other in the purine nucleotide cycle. The crystal structure of adenylosuccinate synthetase from E. coli reveals that the dominant structural element of each monomer of the homodimer is a central beta-sheet of 10 strands. The first nine strands of the sheet are mutually parallel with right-handed crossover connections between the strands. The 10th strand is antiparallel with respect to the first nine strands. In addition, the enzyme has two antiparallel beta-sheets, comprised of two strands and three strands each, 11 alpha-helices and two short 3/10-helices. Further, it has been suggested that the similarities in the GTP-binding domains of the synthetase and the p21ras protein are an example of convergent evolution of two distinct families of GTP-binding proteins. Structures of adenylosuccinate synthetase from Triticum aestivum and Arabidopsis thaliana when compared with the known structures from E. coli reveals that the overall fold is very similar to that of the E. coli protein. Length=417</t>
  </si>
  <si>
    <t>55-116</t>
  </si>
  <si>
    <t xml:space="preserve"> TSGP1</t>
  </si>
  <si>
    <t xml:space="preserve">  Length=118 </t>
  </si>
  <si>
    <t xml:space="preserve">vacuolar sorting protein VPS24, putative, partial </t>
  </si>
  <si>
    <t>Snf7.  This family of proteins are involved in protein sorting and transport from the endosome to the vacuole/lysosome in eukaryotic cells. Vacuoles/lysosomes play an important role in the degradation of both lipids and cellular proteins. In order to perform this degradative function, vacuoles/lysosomes contain numerous hydrolases which have been transported in the form of inactive precursors via the biosynthetic pathway and are proteolytically activated upon delivery to the vacuole/lysosome. The delivery of transmembrane proteins, such as activated cell surface receptors to the lumen of the vacuole/lysosome, either for degradation/downregulation, or in the case of hydrolases, for proper localization, requires the formation of multivesicular bodies (MVBs). These late endosomal structures are formed by invaginating and budding of the limiting membrane into the lumen of the compartment. During this process, a subset of the endosomal membrane proteins is sorted into the forming vesicles. Mature MVBs fuse with the vacuole/lysosome, thereby releasing cargo containing vesicles into its hydrolytic lumen for degradation. Endosomal proteins that are not sorted into the intralumenal MVB vesicles are either recycled back to the plasma membrane or Golgi complex, or remain in the limiting membrane of the MVB and are thereby transported to the limiting membrane of the vacuole/lysosome as a consequence of fusion. Therefore, the MVB sorting pathway plays a critical role in the decision between recycling and degradation of membrane proteins. A few archaeal sequences are also present within this family. Length=170</t>
  </si>
  <si>
    <t>Snf7 4e-27| VPS24 1e-07| DNA_primase_small_subunit_PriS 0.43|</t>
  </si>
  <si>
    <t>VPS24, Conserved protein implicated in secretion [Cell motility and secretion]. Length=204</t>
  </si>
  <si>
    <t>POLXc, DNA polymerase X family.  includes vertebrate polymerase beta and terminal deoxynucleotidyltransferases. Length=334</t>
  </si>
  <si>
    <t xml:space="preserve">type 3 inositol 1,4,5-trisphosphate receptor, putative </t>
  </si>
  <si>
    <t>Misceleneous function (Signaling)</t>
  </si>
  <si>
    <t>ExpAA=133.83 First60=0.07 PredHel=6 Topology=o2093-2115i2127-2149o2169-2191i2212-2234o2257-2279i2389-2411o</t>
  </si>
  <si>
    <t>Inositol 1,4,5-trisphosphate/ryanodine receptor.  This domain corresponds to the ligand binding region on inositol 1,4,5-trisphosphate receptor, and the N terminal region of the ryanodine receptor. Both receptors are involved in Ca2+ release. They can couple to the activation of neurotransmitter-gated receptors and voltage-gated Ca2+ channels on the plasma membrane, thus allowing the endoplasmic reticulum discriminate between different types of neuronal activity. Length=209</t>
  </si>
  <si>
    <t>Ins145_P3_rec 4e-100| RYDR_ITPR 3e-80| MIR 4e-61|</t>
  </si>
  <si>
    <t>COG1835, Predicted acyltransferases [Lipid metabolism]. Length=386</t>
  </si>
  <si>
    <t>MIR, Domain in ryanodine and inositol trisphosphate receptors and protein O-mannosyltransferases. Length=57</t>
  </si>
  <si>
    <t xml:space="preserve">putative secreted salivary gland peptide </t>
  </si>
  <si>
    <t xml:space="preserve">Misceleneous function (single domain von Willebrand factor type C) </t>
  </si>
  <si>
    <t>ExpAA=12.63 First60=12.55 PredHel=0 Topology=o</t>
  </si>
  <si>
    <t>C(3.37)W(4.19)</t>
  </si>
  <si>
    <t>Single domain von Willebrand factor type C. SVWC is a family of single-domain von Willebrand factor type C proteins from lower eukaryotes. The canonical pattern of most von Willebrand factor type C (VWC) domains is of ten cysteines, however this family, largely but not exclusively of arthropod proteins, contains only eight. SVWC family proteins respond to environmental challenges, such as bacterial infection and nutritional status. They also are involved in anti-viral immunity, and all of these functions seem linked to SVWC expression being induced by Dicer2. Length=65</t>
  </si>
  <si>
    <t>SVWC 5e-15| PRK10683 0.71| Ycf15 1.4|</t>
  </si>
  <si>
    <t>HisM, ABC-type amino acid transport system, permease component [Amino acid transport and metabolism]. Length=222</t>
  </si>
  <si>
    <t>RNAse_Pc, Pancreatic ribonuclease. Length=123</t>
  </si>
  <si>
    <t>45-77</t>
  </si>
  <si>
    <t>8.9kDa</t>
  </si>
  <si>
    <t xml:space="preserve">  Length=120 </t>
  </si>
  <si>
    <t xml:space="preserve">putative secreted salivary protein </t>
  </si>
  <si>
    <t>C(3.79)W(4.19)</t>
  </si>
  <si>
    <t>SVWC 2e-14| Glyco_hydro_14 0.48| PLN02905 0.60|</t>
  </si>
  <si>
    <t xml:space="preserve">heme lipoprotein precursor, putative </t>
  </si>
  <si>
    <t>Misceleneous function (Storage protein)</t>
  </si>
  <si>
    <t>ExpAA=0.62 First60=0.62 PredHel=0 Topology=o</t>
  </si>
  <si>
    <t xml:space="preserve">1 | 756    GRRRFTR|DA  0.771 *ProP*  | </t>
  </si>
  <si>
    <t>Lipoprotein amino terminal region. This family contains regions from: Vitellogenin, Microsomal triglyceride transfer protein and apolipoprotein B-100. These proteins are all involved in lipid transport. This family contains the LV1n chain from lipovitellin, that contains two structural domains. Length=582</t>
  </si>
  <si>
    <t>Vitellogenin_N 2e-72| LPD_N 6e-69| DUF1943 1e-39|</t>
  </si>
  <si>
    <t>KdtA, 3-deoxy-D-manno-octulosonic-acid transferase [Cell envelope biogenesis, outer membrane]. Length=419</t>
  </si>
  <si>
    <t>LPD_N, Lipoprotein N-terminal Domain. Length=574</t>
  </si>
  <si>
    <t>40-272</t>
  </si>
  <si>
    <t>vitellogenin</t>
  </si>
  <si>
    <t xml:space="preserve">  Length=1546 </t>
  </si>
  <si>
    <t xml:space="preserve">hypothetical protein IscW_ISCW022722 </t>
  </si>
  <si>
    <t xml:space="preserve"> 24-25</t>
  </si>
  <si>
    <t>ExpAA=19.00 First60=17.20 PredHel=1 Topology=i43-65o</t>
  </si>
  <si>
    <t>M13, Peptidase family M13 includes neprilysin and endothelin-converting enzyme I.  The M13 family of metallopeptidases includes neprilysin (neutral endopeptidase, NEP, enkephalinase, CD10, CALLA, EC 3.4.24.11), endothelin-converting enzyme I (ECE-1, EC 3.4.24.71), erythrocyte surface antigen KELL (ECE-3), phosphate-regulating gene on the X chromosome (PHEX), soluble secreted endopeptidase (SEP), and damage-induced neuronal endopeptidase (DINE)/X-converting enzyme (XCE). Proteins in this family fulfill a broad range of physiological roles due to the greater variation in the active site's S2' subsite allowing substrate specificity. NEP is expressed in a variety of tissues including kidney and brain, and is involved in many physiological and pathological processes, including blood pressure and inflammatory response. It degrades a wide array of substrates such as substance P, enkephalins, cholecystokinin, neurotensin and somatostatin.  It is an important enzyme in the regulation of amyloid-beta (Abeta) protein that forms amyloid plaques that are associated with Alzeimers disease (AD). ECE-1 catalyzes the final rate-limiting step in the biosynthesis of endothelins via post-translational conversion of the biologically inactive big endothelins. Like NEP, it also hydrolyzes bradykinin, substance P, neurotensin, and Abeta. Endothelin-1 overproduction has been implicated in various diseases including stroke, asthma, hypertension, and cardiac and renal failure. Kell is a homolog of NEP and constitutes a major antigen on human erythrocytes; it preferentially cleaves big endothelin-3 to produce bioactive endothelin-3, but is also known to cleave substance P and neurokinin A. PHEX forms a complex interaction with fibroblast growth factor 23 (FGF23) and matrix extracellular phosphoglycoprotein, causing bone mineralization. A loss-of-function mutation in PHEX disrupts this interaction leading to hypophosphatemic rickets; X-linked hypophosphatemic (XLH) rickets is the most common form of metabolic rickets. ECEL1 is a brain metalloprotease which plays a critical role in the nervous regulation of the respiratory system, while DINE is abundantly expressed in the hypothalamus and its expression responds to nerve injury. A majority of these M13 proteases are prime therapeutic targets for selective inhibition. Length=642</t>
  </si>
  <si>
    <t>M13 4e-23| PepO 3e-05| Peptidase_M13_N 0.013|</t>
  </si>
  <si>
    <t>PepO, Predicted metalloendopeptidase [Posttranslational modification, protein turnover, chaperones]. Length=654</t>
  </si>
  <si>
    <t>Peptidase family M13.  M13 peptidases are well-studied proteases found in a wide range of organisms including mammals and bacteria. In mammals they participate in processes such as cardiovascular development, blood-pressure regulation, nervous control of respiration, and regulation of the function of neuropeptides in the central nervous system. In bacteria they may be used for digestion of milk. Length=380</t>
  </si>
  <si>
    <t>ENTH, Epsin N-terminal homology (ENTH) domain. Length=127</t>
  </si>
  <si>
    <t>35-98</t>
  </si>
  <si>
    <t xml:space="preserve"> E Length=739 </t>
  </si>
  <si>
    <t xml:space="preserve">von Willebrand factor, putative </t>
  </si>
  <si>
    <t>ExpAA=19.69 First60=5.31 PredHel=1 Topology=o54-76i</t>
  </si>
  <si>
    <t xml:space="preserve">1 | 131    YRKRDGR|CV  0.610 *ProP*  | </t>
  </si>
  <si>
    <t>C(4.06)</t>
  </si>
  <si>
    <t>Trypsin Inhibitor like cysteine rich domain. This family contains trypsin inhibitors as well as a domain found in many extracellular proteins. The domain typically contains ten cysteine residues that form five disulphide bonds. The cysteine residues that form the disulphide bonds are 1-7, 2-6, 3-5, 4-10 and 8-9. Length=55</t>
  </si>
  <si>
    <t>TIL 4e-11| ThiH 0.12| mena_SCO4494 0.59|</t>
  </si>
  <si>
    <t>ThiH, Thiamine biosynthesis enzyme ThiH and related uncharacterized enzymes [Coenzyme metabolism / General function prediction only]. Length=370</t>
  </si>
  <si>
    <t>CTLH, C-terminal to LisH motif.  Alpha-helical motif of unknown function. Length=58</t>
  </si>
  <si>
    <t>50-252</t>
  </si>
  <si>
    <t xml:space="preserve"> PI Length=105 </t>
  </si>
  <si>
    <t xml:space="preserve">putative secreted protease inhibitor ISL1156_cluster318 </t>
  </si>
  <si>
    <t>ExpAA=17.97 First60=17.96 PredHel=1 Topology=o4-21i</t>
  </si>
  <si>
    <t>C(4.31)</t>
  </si>
  <si>
    <t>Kunitz/Bovine pancreatic trypsin inhibitor domain.  Indicative of a protease inhibitor, usually a serine protease inhibitor. Structure is a disulfide rich alpha+beta fold. BPTI (bovine pancreatic trypsin inhibitor) is an extensively studied model structure. Certain family members are similar to the tick anticoagulant peptide (TAP). This is a highly selective inhibitor of factor Xa in the blood coagulation pathways. TAP molecules are highly dipolar, and are arranged to form a twisted two- stranded antiparallel beta-sheet followed by an alpha helix. Length=52</t>
  </si>
  <si>
    <t>Kunitz_BPTI 8e-12| KU 2e-11| KU 8e-11|</t>
  </si>
  <si>
    <t>SdaC, Amino acid permeases [Amino acid transport and metabolism]. Length=415</t>
  </si>
  <si>
    <t>KU, BPTI/Kunitz family of serine protease inhibitors. Serine protease inhibitors. One member of the family is encoded by an alternatively-spliced form of Alzheimer's amyloid beta-protein. Length=53</t>
  </si>
  <si>
    <t>50-687</t>
  </si>
  <si>
    <t xml:space="preserve"> PI Length=82 </t>
  </si>
  <si>
    <t xml:space="preserve">secreted cystatin, putative </t>
  </si>
  <si>
    <t>ExpAA=17.09 First60=17.09 PredHel=0 Topology=o</t>
  </si>
  <si>
    <t>CY, Cystatin-like domain; Cystatins are a family of cysteine protease inhibitors that occur mainly as single domain proteins. However some extracellular proteins such as kininogen, His-rich glycoprotein and fetuin also contain these domains. Length=105</t>
  </si>
  <si>
    <t>CY 6e-07| Cystatin 1e-06| CY 7e-06|</t>
  </si>
  <si>
    <t>LipA, Lipoate synthase [Coenzyme metabolism]. Length=306</t>
  </si>
  <si>
    <t>Cystatin domain.  Very diverse family. Attempts to define separate sub-families failed. Typically, either the N-terminal or C-terminal end is very divergent. But splitting into two domains would make very short families. pfam00666 is related to this family but members have not been included. Length=92</t>
  </si>
  <si>
    <t>CY, Cystatin-like domain.  Cystatins are a family of cysteine protease inhibitors that occur mainly as single domain proteins. However some extracellular proteins such as kininogen, His-rich glycoprotein and fetuin also contain these domains. Length=107</t>
  </si>
  <si>
    <t>40-39</t>
  </si>
  <si>
    <t>Cystatin</t>
  </si>
  <si>
    <t xml:space="preserve"> PI Length=139 </t>
  </si>
  <si>
    <t xml:space="preserve">putative secreted cystatin 2 </t>
  </si>
  <si>
    <t>ExpAA=13.68 First60=13.68 PredHel=0 Topology=o</t>
  </si>
  <si>
    <t>CY 8e-12| CY 4e-10| Cystatin 2e-09|</t>
  </si>
  <si>
    <t>GRS1, Glycyl-tRNA synthetase (class II) [Translation, ribosomal structure and biogenesis]. Length=558</t>
  </si>
  <si>
    <t xml:space="preserve">multifunctional chaperone, putative </t>
  </si>
  <si>
    <t>Scaffolding Protein</t>
  </si>
  <si>
    <t>ExpAA=0.06 First60=0.00 PredHel=0 Topology=o</t>
  </si>
  <si>
    <t>14-3-3_epsilon, 14-3-3 epsilon, an isoform of 14-3-3 protein.  14-3-3 protein epsilon isoform (isoform (also known as tyrosine 3-monooxygenase/ tryptophan 5-monooxygenase activation protein, epsilon polypeptide) is encoded by the YWHAE gene in humans and is involved in cancer cell survival and growth. It interacts with CDC25 phosphatases, RAF1 and IRS1 proteins, suggesting its role in diverse biochemical activities related to signal transduction, such as cell division and regulation of insulin sensitivity. Overexpression of 14-3-3 epsilon in primary hepatocellular carcinoma (HCC) tissues predicts a high risk of extrahepatic metastasis and worse survival, and is a potential therapeutic target. It has also been implicated in the pathogenesis of small cell lung cancer. 14-3-3 epsilon overexpression protects colorectal cancer and endothelial cells from oxidative stress-induced apoptosis, while its suppression by non-steroidal anti-inflammatory drugs induces cancer and endothelial cell death. Cellular levels of 14-3-3 epsilon could possibly serve as an important regulator of cell survival in response to oxidative stress and other death signals. 14-3-3 domains are an essential part of 14-3-3 proteins, a ubiquitous class of regulatory, phosphoserine/threonine-binding proteins found in all eukaryotic cells, including yeast, protozoa and mammalian cells. Length=230</t>
  </si>
  <si>
    <t>14-3-3_epsilon 4e-172| 14-3-3 7e-152| 14-3-3_fungi 8e-152|</t>
  </si>
  <si>
    <t>BMH1, 14-3-3 family protein [Signal transduction mechanisms]. Length=268</t>
  </si>
  <si>
    <t>14-3-3 protein. Length=221</t>
  </si>
  <si>
    <t>14_3_3, 14-3-3 homologues.  14-3-3 homologues mediates signal transduction by binding to phosphoserine-containing proteins. They are involved in growth factor signalling and also interact with MEK kinases. Length=244</t>
  </si>
  <si>
    <t>30-171</t>
  </si>
  <si>
    <t>Long-chain-fatty-acid--CoA ligase 3</t>
  </si>
  <si>
    <t xml:space="preserve"> 22-23</t>
  </si>
  <si>
    <t>ExpAA=0.88 First60=0.88 PredHel=0 Topology=o</t>
  </si>
  <si>
    <t>W(3.05)</t>
  </si>
  <si>
    <t>LRR_1, leucine-rich repeats.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 Length=110</t>
  </si>
  <si>
    <t>LRR_1 1e-10| LRR_RI 1e-10| PRK15370 2e-06|</t>
  </si>
  <si>
    <t>COG4886, Leucine-rich repeat (LRR) protein [Function unknown]. Length=394</t>
  </si>
  <si>
    <t>Leucine rich repeat. Length=60</t>
  </si>
  <si>
    <t>LRR, Leucine-rich repeats, outliers. Length=24</t>
  </si>
  <si>
    <t>30-29</t>
  </si>
  <si>
    <t>Toll-like</t>
  </si>
  <si>
    <t xml:space="preserve">apoptosis stimulating of P53, putative </t>
  </si>
  <si>
    <t>SH3_ASPP, Src homology 3 domain of Apoptosis Stimulating of p53 proteins (ASPP).  The ASPP family of proteins bind to important regulators of apoptosis (p53, Bcl-2, and RelA) and cell growth (APCL, PP1). They share similarity at their C-termini, where they harbor a proline-rich region, four ankyrin (ANK) repeats, and an SH3 domain. Vertebrates contain three members of the family: ASPP1, ASPP2, and iASPP. ASPP1 and ASPP2 activate the apoptotic function of the p53 family of tumor suppressors (p53, p63, and p73), while iASPP is an oncoprotein that specifically inhibits p53-induced apoptosis. The expression of ASPP proteins is altered in tumors; ASPP1 and ASPP2 are downregulated whereas iASPP is upregulated is some cancer types. ASPP proteins also bind and regulate protein phosphatase 1 (PP1), and this binding is competitive with p53 binding. The SH3 domain and the ANK repeats of ASPP contribute to the p53 binding site; they bind to the DNA binding domain of p53. SH3 domains are protein interaction domains that bind to proline-rich ligands with moderate affinity and selectivity, preferentially to PxxP motifs. They play versatile and diverse roles in the cell including the regulation of enzymes, changing the subcellular localization of signaling pathway components, and mediating the formation of multiprotein complex assemblies. Length=57</t>
  </si>
  <si>
    <t>SH3_ASPP 9e-34| ANK 7e-27| SH3_ASPP1 1e-26|</t>
  </si>
  <si>
    <t>Arp, FOG: Ankyrin repeat [General function prediction only]. Length=235</t>
  </si>
  <si>
    <t>Ankyrin repeats (3 copies). Length=91</t>
  </si>
  <si>
    <t>SH3, Src homology 3 domains.  Src homology 3 (SH3) domains bind to target proteins through sequences containing proline and hydrophobic amino acids. Pro-containing polypeptides may bind to SH3 domains in 2 different binding orientations. Length=56</t>
  </si>
  <si>
    <t>40-868</t>
  </si>
  <si>
    <t xml:space="preserve">  Length=268 </t>
  </si>
  <si>
    <t xml:space="preserve">conserved hypothetical protein, partial </t>
  </si>
  <si>
    <t xml:space="preserve">1 | 81    GPRRQKR|HE  0.758 *ProP*  | </t>
  </si>
  <si>
    <t>LIM_Mical_like_2, This domain belongs to the LIM domain family which are found on Mical (molecule interacting with CasL) like proteins.  The LIM domain on proteins of unknown function: This domain belongs to the LIM domain family which are found on Mical (molecule interacting with CasL)-like proteins. Known members of the Mical-like family includes single LIM domain containing proteins, Mical (molecule interacting with CasL), pollen specific protein SF3, Eplin, xin actin-binding repeat-containing protein 2 (XIRP2), and Ltd-1. The members of this family function mainly at the cytoskeleton and focal adhesions. They interact with transcription factors or other signaling molecules to play roles in muscle development, neuronal differentiation, cell growth, and mobility. As in other LIM domains, this domain family is 50-60 amino acids in size and shares two characteristic zinc finger motifs. The two zinc fingers contain eight conserved residues, mostly cysteines and histidines, which coordinately bond to two zinc atoms. LIM domains function as adaptors or scaffolds to support the assembly of multimeric protein. Length=53</t>
  </si>
  <si>
    <t>LIM_Mical_like_2 1e-30| LIM_Mical_like 9e-25| LIM1_SF3 6e-18|</t>
  </si>
  <si>
    <t>PBP1, Protein interacting with poly(A)-binding protein [RNA processing and modification]. Length=654</t>
  </si>
  <si>
    <t>LIM domain.  This family represents two copies of the LIM structural domain. Length=57</t>
  </si>
  <si>
    <t>LIM, Zinc-binding domain present in Lin-11, Isl-1, Mec-3.  Zinc-binding domain family. Some LIM domains bind protein partners via tyrosine-containing motifs. LIM domains are found in many key regulators of developmental pathways. Length=54</t>
  </si>
  <si>
    <t xml:space="preserve">hypothetical protein IscW_ISCW008643, partial </t>
  </si>
  <si>
    <t>SH3_Sorbs_3, Third (or C-terminal) Src Homology 3 domain of Sorbin and SH3 domain containing (Sorbs) proteins and similar domains.  This family, also called the vinexin family, is composed predominantly of adaptor proteins containing one sorbin homology (SoHo) and three SH3 domains. Members include the third SH3 domains of Sorbs1 (or ponsin), Sorbs2 (or ArgBP2), Vinexin (or Sorbs3), and similar domains. They are involved in the regulation of cytoskeletal organization, cell adhesion, and growth factor signaling. Members of this family bind multiple partners including signaling molecules like c-Abl, c-Arg, Sos, and c-Cbl, as well as cytoskeletal molecules such as vinculin and afadin. They may have overlapping functions. SH3 domains are protein interaction domains that bind to proline-rich ligands with moderate affinity and selectivity, preferentially to PxxP motifs. They play versatile and diverse roles in the cell including the regulation of enzymes, changing the subcellular localization of signaling pathway components, and mediating the formation of multiprotein complex assemblies. Length=55</t>
  </si>
  <si>
    <t>SH3_Sorbs_3 3e-34| SH3_Sorbs_1 4e-28| SH3_Sorbs1_3 1e-26|</t>
  </si>
  <si>
    <t>IMP4, Predicted exosome subunit/U3 small nucleolar ribonucleoprotein (snoRNP) component, contains IMP4 domain [Translation, ribosomal structure and biogenesis / RNA processing and modification]. Length=191</t>
  </si>
  <si>
    <t>Variant SH3 domain. Length=49</t>
  </si>
  <si>
    <t>55-1170</t>
  </si>
  <si>
    <t>G protein-coupled receptors</t>
  </si>
  <si>
    <t xml:space="preserve"> GPI Length=190 </t>
  </si>
  <si>
    <t xml:space="preserve">makorin, putative, partial </t>
  </si>
  <si>
    <t xml:space="preserve">2 | 369    PPRRRRR|EN  0.577 *ProP*  | 372    RRRRENR|AS  0.626 *ProP*  | </t>
  </si>
  <si>
    <t>C(3.16)</t>
  </si>
  <si>
    <t>RING-HC_MKRN1_3, RING finger, HC subclass, found in makorin-1 (MKRN1), makorin-3 (MKRN3), and similar proteins. MKRN1, also known as makorin RING finger protein 1 or RING finger protein 61 (RNF61), is an E3 ubiquitin-protein ligase targeting the telomerase catalytic subunit (TERT) for proteasome processing. It regulates the ubiquitination and degradation of peroxisome-proliferator-activated receptor gamma (PPARgamma), a nuclear receptor that is linked to obesity and metabolic diseases. It also mediates the posttranslational regulation of p14ARF, and thus potentially regulates cellular senescence and tumorigenesis in gastric cancer. Moreover, MKRN1 functions as a differentially negative regulator of p53 and p21, and controls cell cycle arrest and apoptosis. It induces degradation of West Nile virus (WNV) capsid protein to protect cells from WNV. Furthermore, MKRN1 may represent a nuclear protein with multiple nuclear functions, including regulating RNA polymerase II-catalyzed transcription. It is a RNA-binding protein involved in the modulation of cellular stress and apoptosis. It predominantly associates with proteins involved in mRNA metabolism including regulators of mRNA turnover, transport, and/or translation, and acts as a component of a ribonucleoprotein complex in embryonic stem cells (ESCs) that is recruited to stress granules upon exposure to environmental stress. Meanwhile, MKRN1 interacts with poly(A)-binding protein (PABP), a key component of different ribonucleoprotein complexes, in an RNA-independent manner, and stimulates translation in nerve cells. In addition, MKRN1 is a novel SEREX (serological identification of antigens by recombinant cDNA expression cloning) antigen of esophageal squamous cell carcinoma (SCC). It may be involved in carcinogenesis of the well-differentiated type of tumors possibly via ubiquitination of filamin A interacting protein 1 (L-FILIP). Human MKRN1 contains three N-terminal C3H1-type zinc fingers, a motif rich in Cys and His residues (CH), a C3HC4-type RING-HC finger, and another C3H1-type zinc finger at the C-terminus. MKRN3, also known as makorin RING finger protein 3, RING finger protein 63 (RNF63), or zinc finger protein 127 (ZNF127), is a therian mammal-specific retrocopy of MKRN1. It acts as a putative E3 ubiquitin-protein ligase involved in ubiquitination and cell signaling. MKRN3 shows a potential inhibitory effect on hypothalamic gonadotropin-releasing hormone (GnRH) secretion. Its defects represent the most frequent known genetic cause of familial central precocious puberty (CPP). In contrast to human MKRN1, human MKRN3 lacks the second C3H1-type zinc finger at the N-terminal region. The RING-HC finger of mammalian MKRN4 shows high sequence similarity with that of MKRN3, and is also included in this subfamily. Length=61</t>
  </si>
  <si>
    <t>RING-HC_MKRN1_3 5e-27| RING-HC_MKRN2 2e-20| RING-HC_MKRN 6e-20|</t>
  </si>
  <si>
    <t>YTH1, Cleavage and polyadenylation specificity factor (CPSF) Clipper subunit and related makorin family Zn-finger proteins [General function prediction only]. Length=285</t>
  </si>
  <si>
    <t>Zinc-finger containing family.  zf-CCCH_3 family is found in eukaryotes, and is typically between 155 and 169 amino acids in length. Length=110</t>
  </si>
  <si>
    <t>ZnF_C3H1, zinc finger. Length=27</t>
  </si>
  <si>
    <t>30-577</t>
  </si>
  <si>
    <t>E3 ubiquitin ligase</t>
  </si>
  <si>
    <t xml:space="preserve"> E Length=431 </t>
  </si>
  <si>
    <t xml:space="preserve">hypothetical protein IscW_ISCW010781 </t>
  </si>
  <si>
    <t xml:space="preserve">2 | 132    NLCRHKR|MH  0.621 *ProP*  | 313    FQSRVQR|DR  0.503 *ProP*  | </t>
  </si>
  <si>
    <t>ZF_C2H2, Zinc finger, C2H2 type.  The C2H2 zinc finger is a classical zinc finger domain. C2H2-type zinc fingers are ubiquitous; more than 1% of all mammalian proteins are predicted to contain at least one zinc finger. They often function as DNA or protein binding structural motifs, such as in eukaryotic transcription factors, and therefore they play important roles in cellular processes such as development, differentiation, and oncosuppression. C2H2 zinc finger proteins contain from 1 to more than 30 zinc finger repeats. Length=78</t>
  </si>
  <si>
    <t>ZF_C2H2 8e-34| ZF_C2H2 2e-20| zf-H2C2_2 1e-05|</t>
  </si>
  <si>
    <t>COG5048, FOG: Zn-finger [General function prediction only]. Length=467</t>
  </si>
  <si>
    <t>Zinc-finger double domain. Length=26</t>
  </si>
  <si>
    <t>ZnF_C2H2, zinc finger. Length=23</t>
  </si>
  <si>
    <t>30-44</t>
  </si>
  <si>
    <t>ZincFinger</t>
  </si>
  <si>
    <t xml:space="preserve">  Length=453 </t>
  </si>
  <si>
    <t xml:space="preserve">hypothetical protein IscW_ISCW022921 </t>
  </si>
  <si>
    <t xml:space="preserve">3 | 14    RQQRRKR|RQ  0.534 *ProP*  | 15    QQRRKRR|QA  0.712 *ProP*  | 396    KANRLSR|RW  0.517 *ProP*  | </t>
  </si>
  <si>
    <t>WD40, WD40 domain, found in a number of eukaryotic proteins that cover a wide variety of functions including adaptor/regulatory modules in signal transduction, pre-mRNA processing and cytoskeleton assembly; typically contains a GH dipeptide 11-24 residues from its N-terminus and the WD dipeptide at its C-terminus and is 40 residues long, hence the name WD40; between GH and WD lies a conserved core; serves as a stable propeller-like platform to which proteins can bind either stably or reversibly; forms a propeller-like structure with several blades where each blade is composed of a four-stranded anti-parallel b-sheet; instances with few detectable copies are hypothesized to form larger structures by dimerization; each WD40 sequence repeat forms the first three strands of one blade and the last strand in the next blade; the last C-terminal WD40 repeat completes the blade structure of the first WD40 repeat to create the closed ring propeller-structure; residues on the top and bottom surface of the propeller are proposed to coordinate interactions with other proteins and/or small ligands; 7 copies of the repeat are present in this alignment. Length=289</t>
  </si>
  <si>
    <t>WD40 9e-06| 7WD40 4e-04| WD40 0.022|</t>
  </si>
  <si>
    <t>COG2319, FOG: WD40 repeat [General function prediction only]. Length=466</t>
  </si>
  <si>
    <t>WD domain, G-beta repeat. Length=39</t>
  </si>
  <si>
    <t>WD40, WD40 repeats.  Note that these repeats are permuted with respect to the structural repeats (blades) of the beta propeller domain. Length=40</t>
  </si>
  <si>
    <t>40-102</t>
  </si>
  <si>
    <t xml:space="preserve"> PI Length=180 </t>
  </si>
  <si>
    <t xml:space="preserve">putative 22.5 kDa secreted protein </t>
  </si>
  <si>
    <t>Tick histamine binding proteins</t>
  </si>
  <si>
    <t>WC</t>
  </si>
  <si>
    <t>Tick histamine binding protein. Length=150</t>
  </si>
  <si>
    <t>His_binding 1e-48| Small_acid-soluble_spore_protein_gamma-type...  28.6    0.99 0.99| PRK09603 1.8|</t>
  </si>
  <si>
    <t>RseA, Negative regulator of sigma E activity [Signal transduction mechanisms]. Length=213</t>
  </si>
  <si>
    <t>G_alpha, G protein alpha subunit.  Subunit of G proteins that contains the guanine nucleotide binding site. Length=342</t>
  </si>
  <si>
    <t>40-22</t>
  </si>
  <si>
    <t xml:space="preserve">  Length=351 </t>
  </si>
  <si>
    <t>His_binding 2e-29| PRK07377 0.14| PRK06149 3.4|</t>
  </si>
  <si>
    <t>PemB, Pectin methylesterase [Carbohydrate transport and metabolism]. Length=405</t>
  </si>
  <si>
    <t xml:space="preserve">secreted protein, putative, partial </t>
  </si>
  <si>
    <t>ExpAA=1.03 First60=1.03 PredHel=0 Topology=o</t>
  </si>
  <si>
    <t>His_binding 2e-22| hypothetical_protein 0.076| COG4652 0.55|</t>
  </si>
  <si>
    <t>COG4652, Uncharacterized protein conserved in bacteria [Function unknown]. Length=657</t>
  </si>
  <si>
    <t>HTTM, Horizontally Transferred TransMembrane Domain. Sequence analysis of vitamin K dependent gamma-carboxylases (VKGC) revealed the presence of a novel domain, HTTM (Horizontally Transferred TransMembrane) in its N-terminus. In contrast to most known domains, HTTM contains four transmembrane regions. Its occurrence in eukaryotes, bacteria and archaea is more likely caused by horizontal gene transfer than by early invention. The conservation of VKGC catalytic sites indicates an enzymatic function also for the other family members. Length=271</t>
  </si>
  <si>
    <t xml:space="preserve">putative secreted protein </t>
  </si>
  <si>
    <t>ExpAA=0.73 First60=0.73 PredHel=0 Topology=o</t>
  </si>
  <si>
    <t>Y(3.06)</t>
  </si>
  <si>
    <t>His_binding 2e-32| DUF4887 0.62| COG5618 1.3|</t>
  </si>
  <si>
    <t>COG5618, Predicted periplasmic lipoprotein [General function prediction only]. Length=206</t>
  </si>
  <si>
    <t>HMG17, domain in high mobilty group proteins HMG14 and HMG 17. Length=88</t>
  </si>
  <si>
    <t>PLN00220 3e-59| PTZ00010 1e-57| beta_tubulin 1e-50|</t>
  </si>
  <si>
    <t>25-48</t>
  </si>
  <si>
    <t>Hyp30</t>
  </si>
  <si>
    <t xml:space="preserve">  Length=648 </t>
  </si>
  <si>
    <t xml:space="preserve">putative salivary protein, partial </t>
  </si>
  <si>
    <t xml:space="preserve"> 20-21</t>
  </si>
  <si>
    <t>ExpAA=0.72 First60=0.72 PredHel=0 Topology=o</t>
  </si>
  <si>
    <t>C(3.09)</t>
  </si>
  <si>
    <t>anacyclamide_precursor, prenylated cyclic peptide, anacyclamide/piricyclamide family.  Members of this protein family occur primarily in Cyanobacteria. They average about 50 residues in length and are the ribosomally translated precursors of peptide natural products whose modifications include cleavage, cyclization, and prenylation. Sequences are well-conserved in the N-terminal region. They are nearly invariant over the last eight residues, but hypervariable just before that stretch. A related family, often in a similar genome context, is TIGR03678. Length=48</t>
  </si>
  <si>
    <t>anacyclamide_precursor 0.33| Defensin_propep 0.82| DUF19 2.1|</t>
  </si>
  <si>
    <t>PckA, Phosphoenolpyruvate carboxykinase (GTP) [Energy production and conversion]. Length=608</t>
  </si>
  <si>
    <t>Defensin propeptide. Length=51</t>
  </si>
  <si>
    <t>Arfaptin, Arfaptin-like domain.  Arfaptin interacts with ARF1, a small GTPase involved in vesicle budding at the Golgi complex and immature secretory granules. The structure of arfaptin shows that upon binding to a small GTPase, arfaptin forms an elongated, crescent-shaped dimer of three-helix coiled-coils. The N-terminal region of ICA69 is similar to arfaptin. Length=217</t>
  </si>
  <si>
    <t>30-91</t>
  </si>
  <si>
    <t>23-24kDa</t>
  </si>
  <si>
    <t xml:space="preserve"> 24kDa</t>
  </si>
  <si>
    <t xml:space="preserve">  Length=229 </t>
  </si>
  <si>
    <t xml:space="preserve">secreted protein, partial </t>
  </si>
  <si>
    <t>ExpAA=11.39 First60=11.39 PredHel=0 Topology=o</t>
  </si>
  <si>
    <t xml:space="preserve">1 | 48    DRSCEKR|DA  0.618 *ProP*  | </t>
  </si>
  <si>
    <t>E(3.03)</t>
  </si>
  <si>
    <t>aspartate dehydrogenase. Length=265</t>
  </si>
  <si>
    <t>PRK13304 3.3| rpsA 7.5| AmyAc_euk_bac_CMD_like 9.1|</t>
  </si>
  <si>
    <t>COG4322, Uncharacterized protein conserved in bacteria [Function unknown]. Length=304</t>
  </si>
  <si>
    <t>Mating factor alpha precursor N-terminus. This family contains the N-terminal regions of the Saccharomyces mating factor alpha precursor protein. All proteins in this family contain one or more copies pfam04648 further toward their C-terminus. Length=87</t>
  </si>
  <si>
    <t>45-106</t>
  </si>
  <si>
    <t xml:space="preserve">  Length=144 </t>
  </si>
  <si>
    <t>ExpAA=2.61 First60=2.61 PredHel=0 Topology=o</t>
  </si>
  <si>
    <t>E(3.18)</t>
  </si>
  <si>
    <t>hypothetical_protein, UrcA family protein.  Members of this family feature an N-terminal signal sequence, small size, and two invariant Cys residues, 10-20 residues apart. One member of this family, UrcA from the aerobic bacterium Caulobacter crescentus, is expressed so highly in response to uranium, but not other heavy metals, that a genetically engineered strain expressing green fluorescent protein in place of UrcA serves as a biodetector for micromolar uranyl ion. Caulobacter crescentus tolerates high levels of U(VI) exposure by mineralizing the uranium. UrcA and its homologs may participate in such a process. Length=91</t>
  </si>
  <si>
    <t>hypothetical_protein 4.1| MF_alpha_N 4.9| COG2968 5.0|</t>
  </si>
  <si>
    <t>COG2968, Uncharacterized conserved protein [Function unknown]. Length=243</t>
  </si>
  <si>
    <t xml:space="preserve">hypothetical protein IscW_ISCW007063 </t>
  </si>
  <si>
    <t>ExpAA=45.70 First60=40.30 PredHel=2 Topology=i16-38o43-65i</t>
  </si>
  <si>
    <t xml:space="preserve">1 | 361    XLSRVRR|KA  0.558 *ProP*  | </t>
  </si>
  <si>
    <t>potassium/proton antiporter. Length=562</t>
  </si>
  <si>
    <t>PRK05326 0.018| RseC_MucC 0.032| GT_MraY_like 0.043|</t>
  </si>
  <si>
    <t>FtsN, Cell division protein [Cell division and chromosome partitioning]. Length=264</t>
  </si>
  <si>
    <t>Positive regulator of sigma(E), RseC/MucC. This bacterial family of integral membrane proteins represents a positive regulator of the sigma(E) transcription factor, namely RseC/MucC. The sigma(E) transcription factor is up-regulated by cell envelope protein misfolding, and regulates the expression of genes that are collectively termed ECF (devoted to Extra-Cellular Functions). In Pseudomonas aeruginosa, de-repression of sigma(E) is associated with the alginate-overproducing phenotype characteristic of chronic respiratory tract colonisation in cystic fibrosis patients. The mechanism by which RseC/MucC positively regulates the sigma(E) transcription factor is unknown. RseC is also thought to have a role in thiamine biosynthesis in Salmonella typhimurium. In addition, this family also includes an N-terminal part of RnfF, a Rhodobacter capsulatus protein, of unknown function, that is essential for nitrogen fixation. This protein also contains an ApbE domain pfam02424, which is itself involved in thiamine biosynthesis. Length=129</t>
  </si>
  <si>
    <t>SHR3_chaperone, ER membrane protein SH3.  This family of proteins are membrane localised chaperones that are required for correct plasma membrane localisation of amino acid permeases (AAPs). Shr3 prevents AAPs proteins from aggregating and assists in their correct folding. In the absence of Shr3, AAPs are retained in the ER. Length=196</t>
  </si>
  <si>
    <t xml:space="preserve">1 | 23    DRSCDKR|DA  0.628 *ProP*  | </t>
  </si>
  <si>
    <t>retinal_rod, K+-dependent Na+/Ca+ exchanger.  [Transport and binding proteins, Cations and iron carrying compounds]. Length=1096</t>
  </si>
  <si>
    <t>retinal_rod 0.028| TSGP1 0.46| Stealth_CR2 5.2|</t>
  </si>
  <si>
    <t>ChaB, Putative cation transport regulator [General function prediction only]. Length=76</t>
  </si>
  <si>
    <t>Tick salivary peptide group 1.  This contains a group of peptides derived from a salivary gland cDNA library of the tick Ixodes scapularis. Also present are peptides from a related tick species, Ixodes ricinus. They are characterized by a putative signal peptide indicative of secretion and conserved cysteine residues. Length=120</t>
  </si>
  <si>
    <t>ACR, ADAM Cysteine-Rich Domain. Length=137</t>
  </si>
  <si>
    <t xml:space="preserve">putative salivary secreted protein </t>
  </si>
  <si>
    <t>ExpAA=0.03 First60=0.03 PredHel=0 Topology=o</t>
  </si>
  <si>
    <t>C(4.)</t>
  </si>
  <si>
    <t>TSGP1 2.3| Sema_plexin_B2 2.5| PHA03369 4.4|</t>
  </si>
  <si>
    <t>PGU1, Endopygalactorunase [Cell envelope biogenesis, outer membrane]. Length=542</t>
  </si>
  <si>
    <t>Citrate_ly_lig, Citrate lyase ligase C-terminal domain. Proteins of this family contain the C-terminal domain of citrate lyase ligase EC:6.2.1.22. Length=182</t>
  </si>
  <si>
    <t>40-77</t>
  </si>
  <si>
    <t xml:space="preserve">  Length=175 </t>
  </si>
  <si>
    <t xml:space="preserve">hypothetical protein IscW_ISCW015830 </t>
  </si>
  <si>
    <t>COG1041, Predicted DNA modification methylase [DNA replication, recombination, and repair]. Length=347</t>
  </si>
  <si>
    <t>COG1041 0.33| Raftlin 0.43| PHD1_PHF19 2.1|</t>
  </si>
  <si>
    <t>Raftlin.  This family of proteins plays a role in the formation and/or maintenance of lipid rafts. Length=458</t>
  </si>
  <si>
    <t>Calx_beta, Domains in Na-Ca exchangers and integrin-beta4. Domain in Na-Ca exchangers and integrin subunit beta4 (and some cyanobacterial proteins). Length=90</t>
  </si>
  <si>
    <t>40-669</t>
  </si>
  <si>
    <t xml:space="preserve">  Length=1120 </t>
  </si>
  <si>
    <t xml:space="preserve">hypothetical protein IscW_ISCW004438 </t>
  </si>
  <si>
    <t>ExpAA=23.66 First60=23.66 PredHel=1 Topology=i2-20o</t>
  </si>
  <si>
    <t>7tmA_P2Y1-like, P2Y purinoceptor 1-like.  P2Y1-like is an uncharacterized group that is phylogenetically related to a family of purinergic G protein-coupled receptors. The P2Y receptor family is composed of eight subtypes, which are activated by naturally occurring extracellular nucleotides such as ATP, ADP, UTP, UDP, and UDP-glucose. These eight receptors are ubiquitous in human tissues and can be further classified into two subfamilies based on sequence homology and second messenger coupling: a subfamily of five P2Y1-like receptors (P2Y1, P2Y2, P2Y4, P2Y6, and P2Y11Rs) that are coupled to G(q) protein to activate phospholipase C (PLC) and a second subfamily of three P2Y12-like receptors (P2Y12, P2YR13, and P2Y14Rs) that are coupled to G(i) protein to inhibit adenylate cyclase. Several cloned subtypes, such as P2Y3, P2Y5, and P2Y7-10, are not functional mammalian nucleotide receptors. The native agonists for P2Y receptors are: ATP (P2Y2, P2Y12), ADP (P2Y1, P2Y12, and P2Y13), UTP (P2Y2, P2Y4), UDP (P2Y6, P2Y14), and UDP-glucose (P2Y14). Length=281</t>
  </si>
  <si>
    <t>7tmA_P2Y1-like 0.044| COG1549 0.80| PLN02696 2.9|</t>
  </si>
  <si>
    <t>COG1549, Queuine tRNA-ribosyltransferases, contain PUA domain [Translation, ribosomal structure and biogenesis]. Length=519</t>
  </si>
  <si>
    <t>Nickel-dependent hydrogenase. Length=506</t>
  </si>
  <si>
    <t>55-324</t>
  </si>
  <si>
    <t xml:space="preserve">  Length=218 </t>
  </si>
  <si>
    <t xml:space="preserve"> 31-32</t>
  </si>
  <si>
    <t>ExpAA=5.30 First60=5.30 PredHel=0 Topology=o</t>
  </si>
  <si>
    <t xml:space="preserve">1 | 48    DRSCEKR|DA  0.728 *ProP*  | </t>
  </si>
  <si>
    <t>and a C-terminal SrtB processing signal which targets the protein to the cell wall. IsdC is believed to make a direct contact with, and transfer heme to, the heme-binding component (IsdE) of an ABC transporter in the cytoplasmic membrane, and to receive heme from other NEAT-containing heme-binding proteins also localized in the cell wall. Length=217</t>
  </si>
  <si>
    <t>IsdC 0.17| PTZ00459 0.26| PHA03419 0.47|</t>
  </si>
  <si>
    <t>COG2107, Predicted periplasmic solute-binding protein [General function prediction only]. Length=272</t>
  </si>
  <si>
    <t>HECTc, Domain Homologous to E6-AP Carboxyl Terminus with.  E3 ubiquitin-protein ligases. Can bind to E2 enzymes. Length=328</t>
  </si>
  <si>
    <t xml:space="preserve">1 | 50    RTVRFRR|PL  0.642 *ProP*  | </t>
  </si>
  <si>
    <t>F-box-like.  This is an F-box-like family. Length=45</t>
  </si>
  <si>
    <t>F-box-like 2e-05| F-box 0.003| FBOX 0.016|</t>
  </si>
  <si>
    <t>CphB, Cyanophycinase and related exopeptidases [Secondary metabolites biosynthesis, transport, and catabolism / Inorganic ion transport and metabolism]. Length=293</t>
  </si>
  <si>
    <t>FBOX, A Receptor for Ubiquitination Targets. Length=41</t>
  </si>
  <si>
    <t xml:space="preserve">1 | 45    SCDRKCR|DG  0.599 *ProP*  | </t>
  </si>
  <si>
    <t>C(3.97)Y(3.02)</t>
  </si>
  <si>
    <t>sulfoacetaldehyde acetyltransferase; Validated. Length=588</t>
  </si>
  <si>
    <t>PRK07525 2.2| Bunya_G2 3.4| STKc_ROCK_NDR_like 4.5|</t>
  </si>
  <si>
    <t>COG4069, Uncharacterized protein conserved in archaea [Function unknown]. Length=367</t>
  </si>
  <si>
    <t>Bunyavirus glycoprotein G2.  Bunyavirus has three genomic segments: small (S), middle-sized (M), and large (L). The S segment encodes the nucleocapsid and a non-structural protein. The M segment codes for two glycoproteins, G1 and G2, and another non-structural protein (NSm). The L segment codes for an RNA polymerase. This family contains the G2 glycoprotein which interacts with the pfam03557 G1 glycoprotein. Length=285</t>
  </si>
  <si>
    <t>IGc1, Immunoglobulin C-Type. Length=75</t>
  </si>
  <si>
    <t xml:space="preserve"> 25-26</t>
  </si>
  <si>
    <t>ExpAA=16.08 First60=16.08 PredHel=1 Topology=o4-23i</t>
  </si>
  <si>
    <t>C(5.34)</t>
  </si>
  <si>
    <t>RTPR, ribonucleoside-triphosphate reductase, adenosylcobalamin-dependent. This model represents a group of adenosylcobalamin(B12)-dependent ribonucleotide reductases (RNR) related to the characterized species from Lactococcus leichmannii. RNR's are responsible for the conversion of the ribose sugar of RNA into the deoxyribose sugar of DNA. This is the rate-limiting step of DNA biosynthesis. Thus model identifies NrdJ enzymes only in cyanobacteria, lactococcus and certain bacteriophage. A separate model (TIGR02504) identifies a larger group of divergent B12-dependent RNR's. [Purines, pyrimidines, nucleosides, and nucleotides, 2'-Deoxyribonucleotide metabolism]. Length=713</t>
  </si>
  <si>
    <t>RTPR 0.54| xylanase_inhibitor_I_like 2.8| Herpes_MCP 4.7|</t>
  </si>
  <si>
    <t>COG4470, Uncharacterized protein conserved in bacteria [Function unknown]. Length=126</t>
  </si>
  <si>
    <t>Herpes virus major capsid protein.  This family represents the major capsid protein (MCP) of herpes viruses. The capsid shell consists of 150 MCP hexamers and 12 MCP pentamers. One pentamer is found at each of the 12 apices of the icosahedral shell, and the hexamers form the edges and 20 faces. Length=1368</t>
  </si>
  <si>
    <t>PAX, Paired Box domain. Length=125</t>
  </si>
  <si>
    <t>30-90</t>
  </si>
  <si>
    <t xml:space="preserve">secreted salivary gland peptide, putative, partial </t>
  </si>
  <si>
    <t>ExpAA=0.07 First60=0.04 PredHel=0 Topology=o</t>
  </si>
  <si>
    <t>C(3.48)</t>
  </si>
  <si>
    <t>laccase_11, laccase, plant.  Members of this protein family include the copper-containing enzyme laccase (EC 1.10.3.2), often several from a single plant species, and additional, uncharacterized, closely related plant proteins termed laccase-like multicopper oxidases. This protein family shows considerable sequence similarity to the L-ascorbate oxidase (EC 1.10.3.3) family. Laccases are enzymes of rather broad specificity, and classification of all proteins scoring about the trusted cutoff of this model as laccases may be appropriate. Length=539</t>
  </si>
  <si>
    <t>laccase_11 4.3| PGU1 5.2| CysH 5.6|</t>
  </si>
  <si>
    <t>Protein of unknown function (DUF3292).  This eukaryotic family of proteins has no known function. Length=647</t>
  </si>
  <si>
    <t>ExpAA=0.48 First60=0.48 PredHel=0 Topology=o</t>
  </si>
  <si>
    <t>Colicin-like bacteriocin tRNase domain. The C-terminal region of colicin-like bacteriocins is either a pore-forming or an endonuclease-like domain. Cloacin and Pyocins have similar structures and activities to the colicins from E coli and the klebicins from Klebsiella spp. Colicins E5 and D cleave the anticodon loops of distinct tRNAs of Escherichia coli both in vivo and in vitro. The full-length molecule has an N-terminal translocation domain and a middle, double alpha-helical region which is receptor-binding. Length=273</t>
  </si>
  <si>
    <t>Cloacin 0.27| COG3740 0.83| 7tmA_P2Y1-like 1.9|</t>
  </si>
  <si>
    <t>COG3740, Phage head maturation protease [General function prediction only]. Length=194</t>
  </si>
  <si>
    <t>AP2Ec, AP endonuclease family 2.  These endonucleases play a role in DNA repair. Cleave phosphodiester bonds at apurinic or apyrimidinic sites. Length=273</t>
  </si>
  <si>
    <t xml:space="preserve">secreted protein </t>
  </si>
  <si>
    <t>C(3.69)</t>
  </si>
  <si>
    <t>putative fimbrial outer membrane usher protein; Provisional. Length=801</t>
  </si>
  <si>
    <t>PRK15304 2.4| BRCT_PARP4_like 2.5| BBP2_2 10|</t>
  </si>
  <si>
    <t>COG5152, Uncharacterized conserved protein, contains RING and CCCH-type Zn-fingers [General function prediction only]. Length=259</t>
  </si>
  <si>
    <t>Putative beta-barrel porin 2.  This domain is a putative beta-barrel porin type 2. Length=378</t>
  </si>
  <si>
    <t>FGF, Acidic and basic fibroblast growth factor family. Mitogens that stimulate growth or differentiation of cells of mesodermal or neuroectodermal origin. The family play essential roles in patterning and differentiation during vertebrate embryogenesis, and have neurotrophic activities. Length=126</t>
  </si>
  <si>
    <t xml:space="preserve">hypothetical protein IscW_ISCW024106, partial </t>
  </si>
  <si>
    <t>ExpAA=0.31 First60=0.29 PredHel=0 Topology=o</t>
  </si>
  <si>
    <t xml:space="preserve">1 | 35    CDMRKLR|QA  0.508 *ProP*  | </t>
  </si>
  <si>
    <t>SAM_Samd3, SAM domain of Samd3 subfamily.  SAM (sterile alpha motif) domain of the Samd3 subfamily is a putative protein-protein interaction domain. Proteins of this subfamily have a SAM domain at the N-terminus. SAM is a widespread domain in signaling and regulatory proteins. In many cases SAM mediates dimerization/oligomerization. Exact function of proteins belonging to this subfamily is unknown. Length=66</t>
  </si>
  <si>
    <t>SAM_Samd3 1.2| Pho86 1.6| HCR 1.9|</t>
  </si>
  <si>
    <t>GalK, Galactokinase [Carbohydrate transport and metabolism]. Length=390</t>
  </si>
  <si>
    <t>Inorganic phosphate transporter Pho86.  Pho86p is an ER protein which is produced in response to phosphate starvation. It is essential for growth when phosphate levels are limiting. Pho86p is also involved in the regulation of Pho84p, a high-affinity phosphate transporter which is localized to the endoplasmic reticulum (ER) in low phosphate medium. When the level of phosphate increases Pho84p is transported to the vacuole. Pho86p is required for packaging of Pho84p in to COPII vesicles. Length=284</t>
  </si>
  <si>
    <t>EAL, Putative diguanylate phosphodiesterase.  Putative diguanylate phosphodiesterase, present in a variety of bacteria. Length=242</t>
  </si>
  <si>
    <t>ExpAA=11.48 First60=7.30 PredHel=0 Topology=o</t>
  </si>
  <si>
    <t>Uncharacterized protein family UPF0029.  Length=102</t>
  </si>
  <si>
    <t>UPF0029 0.42| Meiotic_rec114 0.52| Meleagrin 1.8|</t>
  </si>
  <si>
    <t>BioA, Adenosylmethionine-8-amino-7-oxononanoate aminotransferase [Coenzyme metabolism]. Length=449</t>
  </si>
  <si>
    <t>SRP54_N, SRP54-type protein, helical bundle domain. This entry represents the N-terminal helical bundle domain of the 54 kDa SRP54 component, a GTP-binding protein that interacts with the signal sequence when it emerges from the ribosome. SRP54 of the signal recognition particle has a three-domain structure: an N-terminal helical bundle domain, a GTPase domain, and the M-domain that binds the 7s RNA and also binds the signal sequence. The extreme C-terminal region is glycine-rich and lower in complexity and poorly conserved between species. Length=77</t>
  </si>
  <si>
    <t>30-60</t>
  </si>
  <si>
    <t>Mys-30-60</t>
  </si>
  <si>
    <t>TickMouthpart1</t>
  </si>
  <si>
    <t>TickMouthpart2</t>
  </si>
  <si>
    <t>TickMouthpart3</t>
  </si>
  <si>
    <t>6hCement1</t>
  </si>
  <si>
    <t>6hCement2</t>
  </si>
  <si>
    <t>6hCement3</t>
  </si>
  <si>
    <t>24hCement1</t>
  </si>
  <si>
    <t>24hCement2</t>
  </si>
  <si>
    <t>24hCement3</t>
  </si>
  <si>
    <t xml:space="preserve"> AAM93648.1</t>
  </si>
  <si>
    <t xml:space="preserve"> AAV80782.1</t>
  </si>
  <si>
    <t xml:space="preserve"> AAY66555.1</t>
  </si>
  <si>
    <t xml:space="preserve"> AAY66767.1</t>
  </si>
  <si>
    <t xml:space="preserve"> EEC04477.1</t>
  </si>
  <si>
    <t xml:space="preserve"> EEC01195.1</t>
  </si>
  <si>
    <t xml:space="preserve"> EEC02656.1</t>
  </si>
  <si>
    <t xml:space="preserve"> EEC03614.1</t>
  </si>
  <si>
    <t xml:space="preserve"> EEC04237.1</t>
  </si>
  <si>
    <t xml:space="preserve"> EEC05986.1</t>
  </si>
  <si>
    <t xml:space="preserve"> EEC07402.1</t>
  </si>
  <si>
    <t xml:space="preserve"> EEC09647.1</t>
  </si>
  <si>
    <t xml:space="preserve"> EEC09165.1</t>
  </si>
  <si>
    <t xml:space="preserve"> EEC11543.1</t>
  </si>
  <si>
    <t xml:space="preserve"> EEC14737.1</t>
  </si>
  <si>
    <t xml:space="preserve"> EEC14106.1</t>
  </si>
  <si>
    <t xml:space="preserve"> EEC16446.1</t>
  </si>
  <si>
    <t xml:space="preserve"> EEC15718.1</t>
  </si>
  <si>
    <t xml:space="preserve"> EEC18344.1</t>
  </si>
  <si>
    <t xml:space="preserve"> EEC20460.1</t>
  </si>
  <si>
    <t xml:space="preserve"> EEC02823.1</t>
  </si>
  <si>
    <t xml:space="preserve"> EEC04044.1</t>
  </si>
  <si>
    <t xml:space="preserve"> EEC05056.1</t>
  </si>
  <si>
    <t xml:space="preserve"> EEC09557.1</t>
  </si>
  <si>
    <t xml:space="preserve"> EEC13271.1</t>
  </si>
  <si>
    <t xml:space="preserve"> EEC17727.1</t>
  </si>
  <si>
    <t xml:space="preserve"> EEC18671.1</t>
  </si>
  <si>
    <t xml:space="preserve"> EEC19195.1</t>
  </si>
  <si>
    <t xml:space="preserve"> EEC01647.1</t>
  </si>
  <si>
    <t xml:space="preserve"> EEC13690.1</t>
  </si>
  <si>
    <t xml:space="preserve"> EEC15712.1</t>
  </si>
  <si>
    <t xml:space="preserve"> AAT75324.1</t>
  </si>
  <si>
    <t xml:space="preserve"> AAY66821.1</t>
  </si>
  <si>
    <t xml:space="preserve"> EEC00993.1</t>
  </si>
  <si>
    <t xml:space="preserve"> EEC07075.1</t>
  </si>
  <si>
    <t xml:space="preserve"> EEC09701.1</t>
  </si>
  <si>
    <t xml:space="preserve"> EEC11639.1</t>
  </si>
  <si>
    <t xml:space="preserve"> EEC14892.1</t>
  </si>
  <si>
    <t xml:space="preserve"> EEC17118.1</t>
  </si>
  <si>
    <t xml:space="preserve"> EEC15720.1</t>
  </si>
  <si>
    <t xml:space="preserve"> EEC15723.1</t>
  </si>
  <si>
    <t xml:space="preserve"> EEC01810.1</t>
  </si>
  <si>
    <t xml:space="preserve"> EEC03470.1</t>
  </si>
  <si>
    <t xml:space="preserve"> EEC03471.1</t>
  </si>
  <si>
    <t xml:space="preserve"> EEC03688.1</t>
  </si>
  <si>
    <t xml:space="preserve"> EEC14470.1</t>
  </si>
  <si>
    <t xml:space="preserve"> EEC19593.1</t>
  </si>
  <si>
    <t xml:space="preserve"> AAQ18696.1</t>
  </si>
  <si>
    <t xml:space="preserve"> AAR29959.1</t>
  </si>
  <si>
    <t xml:space="preserve"> AAY66605.1</t>
  </si>
  <si>
    <t xml:space="preserve"> EEC03925.1</t>
  </si>
  <si>
    <t xml:space="preserve"> EEC09465.1</t>
  </si>
  <si>
    <t xml:space="preserve"> EEC03517.1</t>
  </si>
  <si>
    <t xml:space="preserve"> EEC07262.1</t>
  </si>
  <si>
    <t xml:space="preserve"> EEC08136.1</t>
  </si>
  <si>
    <t xml:space="preserve"> EEC11563.1</t>
  </si>
  <si>
    <t xml:space="preserve"> EEC14639.1</t>
  </si>
  <si>
    <t xml:space="preserve"> EEC14464.1</t>
  </si>
  <si>
    <t xml:space="preserve"> EEC13579.1</t>
  </si>
  <si>
    <t xml:space="preserve"> AAL30373.1</t>
  </si>
  <si>
    <t xml:space="preserve"> AAY66603.1</t>
  </si>
  <si>
    <t xml:space="preserve"> AAY66716.1</t>
  </si>
  <si>
    <t xml:space="preserve"> AAY66786.1</t>
  </si>
  <si>
    <t xml:space="preserve"> ADJ68002.1</t>
  </si>
  <si>
    <t xml:space="preserve"> EEC04675.1</t>
  </si>
  <si>
    <t xml:space="preserve"> EEC05915.1</t>
  </si>
  <si>
    <t xml:space="preserve"> EEC05916.1</t>
  </si>
  <si>
    <t xml:space="preserve"> EEC05710.1</t>
  </si>
  <si>
    <t xml:space="preserve"> EEC06365.1</t>
  </si>
  <si>
    <t xml:space="preserve"> EEC06154.1</t>
  </si>
  <si>
    <t xml:space="preserve"> EEC06076.1</t>
  </si>
  <si>
    <t xml:space="preserve"> EEC13429.1</t>
  </si>
  <si>
    <t xml:space="preserve"> EEC12401.1</t>
  </si>
  <si>
    <t xml:space="preserve"> EEC12427.1</t>
  </si>
  <si>
    <t xml:space="preserve"> EEC12621.1</t>
  </si>
  <si>
    <t xml:space="preserve"> EEC14604.1</t>
  </si>
  <si>
    <t xml:space="preserve"> EEC18473.1</t>
  </si>
  <si>
    <t xml:space="preserve"> EEC20577.1</t>
  </si>
  <si>
    <t xml:space="preserve"> EEC20578.1</t>
  </si>
  <si>
    <t xml:space="preserve"> EEC20239.1</t>
  </si>
  <si>
    <t xml:space="preserve"> EEC02131.1</t>
  </si>
  <si>
    <t xml:space="preserve"> EEC01924.1</t>
  </si>
  <si>
    <t xml:space="preserve"> EEC01927.1</t>
  </si>
  <si>
    <t xml:space="preserve"> EEC04043.1</t>
  </si>
  <si>
    <t xml:space="preserve"> EEC03514.1</t>
  </si>
  <si>
    <t xml:space="preserve"> EEC02794.1</t>
  </si>
  <si>
    <t xml:space="preserve"> EEC06563.1</t>
  </si>
  <si>
    <t xml:space="preserve"> EEC07171.1</t>
  </si>
  <si>
    <t xml:space="preserve"> EEC20127.1</t>
  </si>
  <si>
    <t xml:space="preserve"> EEC01384.1</t>
  </si>
  <si>
    <t xml:space="preserve"> EEC03934.1</t>
  </si>
  <si>
    <t xml:space="preserve"> EEC08503.1</t>
  </si>
  <si>
    <t xml:space="preserve"> EEC11984.1</t>
  </si>
  <si>
    <t xml:space="preserve"> EEC13528.1</t>
  </si>
  <si>
    <t xml:space="preserve"> AAM93664.1</t>
  </si>
  <si>
    <t xml:space="preserve"> AAY66525.1</t>
  </si>
  <si>
    <t xml:space="preserve"> AAY66550.1</t>
  </si>
  <si>
    <t xml:space="preserve"> AAY66685.1</t>
  </si>
  <si>
    <t xml:space="preserve"> AAY66704.1</t>
  </si>
  <si>
    <t xml:space="preserve"> AAY66819.1</t>
  </si>
  <si>
    <t xml:space="preserve"> EEC00903.1</t>
  </si>
  <si>
    <t xml:space="preserve"> EEC01472.1</t>
  </si>
  <si>
    <t xml:space="preserve"> EEC05763.1</t>
  </si>
  <si>
    <t xml:space="preserve"> EEC06619.1</t>
  </si>
  <si>
    <t xml:space="preserve"> EEC09599.1</t>
  </si>
  <si>
    <t xml:space="preserve"> EEC11084.1</t>
  </si>
  <si>
    <t xml:space="preserve"> EEC09495.1</t>
  </si>
  <si>
    <t xml:space="preserve"> EEC10745.1</t>
  </si>
  <si>
    <t xml:space="preserve"> EEC12044.1</t>
  </si>
  <si>
    <t xml:space="preserve"> EEC11497.1</t>
  </si>
  <si>
    <t xml:space="preserve"> EEC12627.1</t>
  </si>
  <si>
    <t xml:space="preserve"> EEC14187.1</t>
  </si>
  <si>
    <t xml:space="preserve"> EEC17564.1</t>
  </si>
  <si>
    <t xml:space="preserve"> EEC17151.1</t>
  </si>
  <si>
    <t xml:space="preserve"> EEC20594.1</t>
  </si>
  <si>
    <t xml:space="preserve"> EEC01412.1</t>
  </si>
  <si>
    <t xml:space="preserve"> EEC01928.1</t>
  </si>
  <si>
    <t xml:space="preserve"> EEC02148.1</t>
  </si>
  <si>
    <t xml:space="preserve"> EEC04370.1</t>
  </si>
  <si>
    <t xml:space="preserve"> EEC11164.1</t>
  </si>
  <si>
    <t xml:space="preserve"> EEC10234.1</t>
  </si>
  <si>
    <t xml:space="preserve"> EEC10156.1</t>
  </si>
  <si>
    <t xml:space="preserve"> EEC11064.1</t>
  </si>
  <si>
    <t xml:space="preserve"> EEC16392.1</t>
  </si>
  <si>
    <t xml:space="preserve"> EEC19418.1</t>
  </si>
  <si>
    <t xml:space="preserve"> AAY66553.1</t>
  </si>
  <si>
    <t xml:space="preserve"> AAY66987.1</t>
  </si>
  <si>
    <t xml:space="preserve"> EEC02397.1</t>
  </si>
  <si>
    <t xml:space="preserve"> EEC00212.1</t>
  </si>
  <si>
    <t xml:space="preserve"> EEC00744.1</t>
  </si>
  <si>
    <t xml:space="preserve"> EEC04674.1</t>
  </si>
  <si>
    <t xml:space="preserve"> EEC09166.1</t>
  </si>
  <si>
    <t xml:space="preserve"> EEC14178.1</t>
  </si>
  <si>
    <t xml:space="preserve"> EEC17437.1</t>
  </si>
  <si>
    <t xml:space="preserve"> EEC02399.1</t>
  </si>
  <si>
    <t xml:space="preserve"> EEC09556.1</t>
  </si>
  <si>
    <t xml:space="preserve"> EEC09558.1</t>
  </si>
  <si>
    <t xml:space="preserve"> EEC14149.1</t>
  </si>
  <si>
    <t xml:space="preserve"> EEC17055.1</t>
  </si>
  <si>
    <t xml:space="preserve"> EEC03436.1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</si>
</sst>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2"/>
      <color theme="1"/>
      <name val="Calibri"/>
      <family val="2"/>
      <scheme val="minor"/>
    </font>
    <font>
      <sz val="12"/>
      <color rgb="FF000000"/>
      <name val="Calibri"/>
      <family val="2"/>
      <scheme val="minor"/>
    </font>
    <font>
      <sz val="14"/>
      <color theme="1"/>
      <name val="Arial"/>
      <family val="2"/>
    </font>
    <font>
      <sz val="14"/>
      <color rgb="FF000000"/>
      <name val="Arial"/>
      <family val="2"/>
    </font>
    <font>
      <b/>
      <sz val="12"/>
      <color rgb="FF000000"/>
      <name val="Arial"/>
      <family val="2"/>
    </font>
    <font>
      <sz val="12"/>
      <color theme="1"/>
      <name val="Arial"/>
      <family val="2"/>
    </font>
    <font>
      <sz val="12"/>
      <color rgb="FF000000"/>
      <name val="Arial"/>
      <family val="2"/>
    </font>
    <font>
      <sz val="11"/>
      <color rgb="FF000000"/>
      <name val="Calibri"/>
      <family val="2"/>
      <scheme val="minor"/>
    </font>
    <font>
      <b/>
      <sz val="14"/>
      <color rgb="FF000000"/>
      <name val="Calibri"/>
      <family val="2"/>
      <scheme val="minor"/>
    </font>
    <font>
      <b/>
      <i/>
      <sz val="14"/>
      <color rgb="FF000000"/>
      <name val="Calibri"/>
      <family val="2"/>
      <scheme val="minor"/>
    </font>
    <font>
      <sz val="14"/>
      <color rgb="FF000000"/>
      <name val="Calibri"/>
      <family val="2"/>
      <scheme val="minor"/>
    </font>
    <font>
      <b/>
      <sz val="11"/>
      <color theme="1"/>
      <name val="Calibri"/>
      <family val="2"/>
      <scheme val="minor"/>
    </font>
    <font>
      <b/>
      <sz val="12"/>
      <color rgb="FF002060"/>
      <name val="Times New Roman"/>
      <family val="1"/>
    </font>
    <font>
      <sz val="12"/>
      <color theme="1"/>
      <name val="Times New Roman"/>
      <family val="1"/>
    </font>
    <font>
      <sz val="12"/>
      <color rgb="FF000000"/>
      <name val="Times New Roman"/>
      <family val="1"/>
    </font>
  </fonts>
  <fills count="9">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rgb="FF99FFCC"/>
        <bgColor indexed="64"/>
      </patternFill>
    </fill>
    <fill>
      <patternFill patternType="solid">
        <fgColor rgb="FF99CCFF"/>
        <bgColor indexed="64"/>
      </patternFill>
    </fill>
    <fill>
      <patternFill patternType="solid">
        <fgColor rgb="FFCCFF99"/>
        <bgColor indexed="64"/>
      </patternFill>
    </fill>
    <fill>
      <patternFill patternType="solid">
        <fgColor rgb="FF00B0F0"/>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hair">
        <color indexed="64"/>
      </right>
      <top style="medium">
        <color indexed="64"/>
      </top>
      <bottom/>
      <diagonal/>
    </border>
    <border>
      <left style="medium">
        <color indexed="64"/>
      </left>
      <right style="hair">
        <color indexed="64"/>
      </right>
      <top/>
      <bottom style="medium">
        <color rgb="FF000000"/>
      </bottom>
      <diagonal/>
    </border>
    <border>
      <left style="hair">
        <color indexed="64"/>
      </left>
      <right style="hair">
        <color indexed="64"/>
      </right>
      <top style="medium">
        <color indexed="64"/>
      </top>
      <bottom/>
      <diagonal/>
    </border>
    <border>
      <left style="hair">
        <color indexed="64"/>
      </left>
      <right style="hair">
        <color indexed="64"/>
      </right>
      <top/>
      <bottom style="medium">
        <color rgb="FF000000"/>
      </bottom>
      <diagonal/>
    </border>
    <border>
      <left style="hair">
        <color indexed="64"/>
      </left>
      <right style="medium">
        <color indexed="64"/>
      </right>
      <top style="medium">
        <color indexed="64"/>
      </top>
      <bottom/>
      <diagonal/>
    </border>
    <border>
      <left style="hair">
        <color indexed="64"/>
      </left>
      <right style="medium">
        <color indexed="64"/>
      </right>
      <top/>
      <bottom style="medium">
        <color rgb="FF000000"/>
      </bottom>
      <diagonal/>
    </border>
    <border>
      <left style="medium">
        <color indexed="64"/>
      </left>
      <right style="medium">
        <color indexed="64"/>
      </right>
      <top/>
      <bottom/>
      <diagonal/>
    </border>
    <border>
      <left/>
      <right style="hair">
        <color indexed="64"/>
      </right>
      <top/>
      <bottom style="thin">
        <color indexed="64"/>
      </bottom>
      <diagonal/>
    </border>
    <border>
      <left/>
      <right style="medium">
        <color indexed="64"/>
      </right>
      <top/>
      <bottom style="thin">
        <color indexed="64"/>
      </bottom>
      <diagonal/>
    </border>
    <border>
      <left/>
      <right style="hair">
        <color indexed="64"/>
      </right>
      <top/>
      <bottom/>
      <diagonal/>
    </border>
    <border>
      <left/>
      <right style="medium">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rgb="FF000000"/>
      </top>
      <bottom/>
      <diagonal/>
    </border>
  </borders>
  <cellStyleXfs count="1">
    <xf numFmtId="0" fontId="0" fillId="0" borderId="0"/>
  </cellStyleXfs>
  <cellXfs count="81">
    <xf numFmtId="0" fontId="0" fillId="0" borderId="0" xfId="0"/>
    <xf numFmtId="0" fontId="1" fillId="0" borderId="0" xfId="0" applyFont="1"/>
    <xf numFmtId="11" fontId="1" fillId="0" borderId="0" xfId="0" applyNumberFormat="1" applyFont="1"/>
    <xf numFmtId="10" fontId="1" fillId="0" borderId="0" xfId="0" applyNumberFormat="1" applyFont="1"/>
    <xf numFmtId="0" fontId="2" fillId="0" borderId="0" xfId="0" applyFont="1" applyFill="1"/>
    <xf numFmtId="11" fontId="2" fillId="0" borderId="0" xfId="0" applyNumberFormat="1" applyFont="1" applyFill="1"/>
    <xf numFmtId="10" fontId="2" fillId="0" borderId="0" xfId="0" applyNumberFormat="1" applyFont="1" applyFill="1"/>
    <xf numFmtId="0" fontId="3" fillId="0" borderId="0" xfId="0" applyFont="1" applyFill="1"/>
    <xf numFmtId="0" fontId="4" fillId="0" borderId="0" xfId="0" applyFont="1" applyFill="1"/>
    <xf numFmtId="0" fontId="5" fillId="0" borderId="0" xfId="0" applyFont="1" applyFill="1"/>
    <xf numFmtId="0" fontId="6" fillId="0" borderId="0" xfId="0" applyFont="1" applyFill="1"/>
    <xf numFmtId="11" fontId="6" fillId="0" borderId="0" xfId="0" applyNumberFormat="1" applyFont="1" applyFill="1"/>
    <xf numFmtId="10" fontId="6" fillId="0" borderId="0" xfId="0" applyNumberFormat="1" applyFont="1" applyFill="1"/>
    <xf numFmtId="0" fontId="7" fillId="0" borderId="0" xfId="0" applyFont="1"/>
    <xf numFmtId="0" fontId="8" fillId="0" borderId="10" xfId="0" applyFont="1" applyBorder="1" applyAlignment="1">
      <alignment horizontal="left" vertical="center"/>
    </xf>
    <xf numFmtId="0" fontId="10" fillId="0" borderId="10" xfId="0" applyFont="1" applyBorder="1" applyAlignment="1">
      <alignment horizontal="center" vertical="center" wrapText="1"/>
    </xf>
    <xf numFmtId="11" fontId="10" fillId="0" borderId="10" xfId="0" applyNumberFormat="1" applyFont="1" applyBorder="1" applyAlignment="1">
      <alignment horizontal="center" wrapText="1"/>
    </xf>
    <xf numFmtId="11" fontId="10" fillId="0" borderId="11" xfId="0" applyNumberFormat="1"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center" vertical="center" wrapText="1"/>
    </xf>
    <xf numFmtId="11" fontId="10" fillId="0" borderId="12" xfId="0" applyNumberFormat="1" applyFont="1" applyBorder="1" applyAlignment="1">
      <alignment horizontal="center" wrapText="1"/>
    </xf>
    <xf numFmtId="11" fontId="10" fillId="0" borderId="13" xfId="0" applyNumberFormat="1" applyFont="1" applyBorder="1" applyAlignment="1">
      <alignment horizontal="center" vertical="center" wrapText="1"/>
    </xf>
    <xf numFmtId="0" fontId="8" fillId="0" borderId="14" xfId="0" applyFont="1" applyBorder="1" applyAlignment="1">
      <alignment horizontal="left" vertical="center"/>
    </xf>
    <xf numFmtId="0" fontId="10" fillId="0" borderId="14" xfId="0" applyFont="1" applyBorder="1" applyAlignment="1">
      <alignment horizontal="center" vertical="center" wrapText="1"/>
    </xf>
    <xf numFmtId="11" fontId="10" fillId="0" borderId="14" xfId="0" applyNumberFormat="1" applyFont="1" applyBorder="1" applyAlignment="1">
      <alignment horizontal="center" wrapText="1"/>
    </xf>
    <xf numFmtId="11" fontId="10" fillId="0" borderId="15" xfId="0" applyNumberFormat="1" applyFont="1" applyBorder="1" applyAlignment="1">
      <alignment horizontal="center" vertical="center" wrapText="1"/>
    </xf>
    <xf numFmtId="0" fontId="8" fillId="0" borderId="10" xfId="0" applyFont="1" applyBorder="1"/>
    <xf numFmtId="0" fontId="10" fillId="0" borderId="10" xfId="0" applyFont="1" applyBorder="1" applyAlignment="1">
      <alignment horizontal="center"/>
    </xf>
    <xf numFmtId="11" fontId="10" fillId="0" borderId="10" xfId="0" applyNumberFormat="1" applyFont="1" applyBorder="1" applyAlignment="1">
      <alignment horizontal="center"/>
    </xf>
    <xf numFmtId="11" fontId="10" fillId="0" borderId="11" xfId="0" applyNumberFormat="1" applyFont="1" applyBorder="1" applyAlignment="1">
      <alignment horizontal="center"/>
    </xf>
    <xf numFmtId="0" fontId="8" fillId="0" borderId="12" xfId="0" applyFont="1" applyBorder="1"/>
    <xf numFmtId="0" fontId="10" fillId="0" borderId="12" xfId="0" applyFont="1" applyBorder="1" applyAlignment="1">
      <alignment horizontal="center"/>
    </xf>
    <xf numFmtId="11" fontId="10" fillId="0" borderId="12" xfId="0" applyNumberFormat="1" applyFont="1" applyBorder="1" applyAlignment="1">
      <alignment horizontal="center"/>
    </xf>
    <xf numFmtId="11" fontId="10" fillId="0" borderId="13" xfId="0" applyNumberFormat="1" applyFont="1" applyBorder="1" applyAlignment="1">
      <alignment horizontal="center"/>
    </xf>
    <xf numFmtId="0" fontId="10" fillId="0" borderId="12" xfId="0" applyFont="1" applyBorder="1"/>
    <xf numFmtId="0" fontId="10" fillId="0" borderId="10" xfId="0" applyFont="1" applyBorder="1"/>
    <xf numFmtId="0" fontId="10" fillId="0" borderId="16" xfId="0" applyFont="1" applyBorder="1"/>
    <xf numFmtId="0" fontId="10" fillId="0" borderId="16" xfId="0" applyFont="1" applyBorder="1" applyAlignment="1">
      <alignment horizontal="center"/>
    </xf>
    <xf numFmtId="11" fontId="10" fillId="0" borderId="16" xfId="0" applyNumberFormat="1" applyFont="1" applyBorder="1" applyAlignment="1">
      <alignment horizontal="center"/>
    </xf>
    <xf numFmtId="11" fontId="10" fillId="0" borderId="17" xfId="0" applyNumberFormat="1" applyFont="1" applyBorder="1" applyAlignment="1">
      <alignment horizontal="center"/>
    </xf>
    <xf numFmtId="0" fontId="8" fillId="0" borderId="18" xfId="0" applyFont="1" applyBorder="1" applyAlignment="1">
      <alignment horizontal="center" vertical="center" wrapText="1"/>
    </xf>
    <xf numFmtId="0" fontId="8" fillId="0" borderId="16" xfId="0" applyFont="1" applyBorder="1"/>
    <xf numFmtId="0" fontId="8" fillId="0" borderId="19" xfId="0" applyFont="1" applyBorder="1" applyAlignment="1">
      <alignment horizontal="center"/>
    </xf>
    <xf numFmtId="0" fontId="8" fillId="0" borderId="20" xfId="0" applyFont="1" applyBorder="1"/>
    <xf numFmtId="0" fontId="10" fillId="0" borderId="21" xfId="0" applyFont="1" applyBorder="1" applyAlignment="1">
      <alignment horizontal="center"/>
    </xf>
    <xf numFmtId="11" fontId="10" fillId="0" borderId="21" xfId="0" applyNumberFormat="1" applyFont="1" applyBorder="1" applyAlignment="1">
      <alignment horizontal="center"/>
    </xf>
    <xf numFmtId="11" fontId="10" fillId="0" borderId="22" xfId="0" applyNumberFormat="1" applyFont="1" applyBorder="1" applyAlignment="1">
      <alignment horizontal="center"/>
    </xf>
    <xf numFmtId="0" fontId="11" fillId="0" borderId="0" xfId="0" applyFont="1"/>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12" fillId="2" borderId="0" xfId="0" applyFont="1" applyFill="1" applyAlignment="1">
      <alignment wrapText="1"/>
    </xf>
    <xf numFmtId="0" fontId="12" fillId="3" borderId="0" xfId="0" applyFont="1" applyFill="1" applyAlignment="1">
      <alignment wrapText="1"/>
    </xf>
    <xf numFmtId="0" fontId="12" fillId="4" borderId="0" xfId="0" applyFont="1" applyFill="1" applyAlignment="1">
      <alignment wrapText="1"/>
    </xf>
    <xf numFmtId="0" fontId="12" fillId="5" borderId="0" xfId="0" applyFont="1" applyFill="1" applyAlignment="1">
      <alignment wrapText="1"/>
    </xf>
    <xf numFmtId="0" fontId="12" fillId="6" borderId="0" xfId="0" applyFont="1" applyFill="1" applyAlignment="1">
      <alignment wrapText="1"/>
    </xf>
    <xf numFmtId="0" fontId="12" fillId="7" borderId="0" xfId="0" applyFont="1" applyFill="1" applyAlignment="1">
      <alignment wrapText="1"/>
    </xf>
    <xf numFmtId="0" fontId="12" fillId="0" borderId="0" xfId="0" applyFont="1" applyAlignment="1">
      <alignment wrapText="1"/>
    </xf>
    <xf numFmtId="0" fontId="13" fillId="0" borderId="0" xfId="0" applyFont="1"/>
    <xf numFmtId="0" fontId="14" fillId="0" borderId="0" xfId="0" applyFont="1"/>
    <xf numFmtId="164" fontId="13" fillId="0" borderId="0" xfId="0" applyNumberFormat="1" applyFont="1"/>
    <xf numFmtId="0" fontId="13" fillId="7" borderId="0" xfId="0" applyFont="1" applyFill="1"/>
    <xf numFmtId="11" fontId="13" fillId="0" borderId="0" xfId="0" applyNumberFormat="1" applyFont="1"/>
    <xf numFmtId="0" fontId="13" fillId="8" borderId="0" xfId="0" applyFont="1" applyFill="1"/>
  </cellXfs>
  <cellStyles count="1">
    <cellStyle name="Normal" xfId="0" builtinId="0"/>
  </cellStyles>
  <dxfs count="0"/>
  <tableStyles count="0" defaultTableStyle="TableStyleMedium2" defaultPivotStyle="PivotStyleLight16"/>
  <colors>
    <mruColors>
      <color rgb="FF00FDFF"/>
      <color rgb="FF00F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BA279-6456-0F4D-9C74-03CD95BFEAEF}">
  <dimension ref="A1:T139"/>
  <sheetViews>
    <sheetView topLeftCell="A25" zoomScale="150" zoomScaleNormal="150" workbookViewId="0">
      <selection activeCell="D140" sqref="D140"/>
    </sheetView>
  </sheetViews>
  <sheetFormatPr baseColWidth="10" defaultColWidth="34.33203125" defaultRowHeight="16" x14ac:dyDescent="0.2"/>
  <cols>
    <col min="1" max="16384" width="34.33203125" style="9"/>
  </cols>
  <sheetData>
    <row r="1" spans="1:20" x14ac:dyDescent="0.2">
      <c r="A1" s="8" t="s">
        <v>0</v>
      </c>
      <c r="B1" s="8" t="s">
        <v>24</v>
      </c>
      <c r="C1" s="8" t="s">
        <v>46</v>
      </c>
      <c r="D1" s="8" t="s">
        <v>59</v>
      </c>
      <c r="E1" s="8" t="s">
        <v>60</v>
      </c>
      <c r="F1" s="8" t="s">
        <v>2539</v>
      </c>
      <c r="G1" s="8" t="s">
        <v>2537</v>
      </c>
      <c r="H1" s="8" t="s">
        <v>2538</v>
      </c>
      <c r="I1" s="8" t="s">
        <v>2540</v>
      </c>
      <c r="J1" s="8" t="s">
        <v>2544</v>
      </c>
      <c r="K1" s="8" t="s">
        <v>2548</v>
      </c>
      <c r="L1" s="8" t="s">
        <v>2541</v>
      </c>
      <c r="M1" s="8" t="s">
        <v>2545</v>
      </c>
      <c r="N1" s="8" t="s">
        <v>2549</v>
      </c>
      <c r="O1" s="8" t="s">
        <v>2542</v>
      </c>
      <c r="P1" s="8" t="s">
        <v>2546</v>
      </c>
      <c r="Q1" s="8" t="s">
        <v>2550</v>
      </c>
      <c r="R1" s="8" t="s">
        <v>2543</v>
      </c>
      <c r="S1" s="8" t="s">
        <v>2547</v>
      </c>
      <c r="T1" s="8" t="s">
        <v>2551</v>
      </c>
    </row>
    <row r="2" spans="1:20" x14ac:dyDescent="0.2">
      <c r="A2" s="10" t="s">
        <v>117</v>
      </c>
      <c r="B2" s="10" t="s">
        <v>123</v>
      </c>
      <c r="C2" s="10" t="s">
        <v>124</v>
      </c>
      <c r="D2" s="10">
        <v>2</v>
      </c>
      <c r="E2" s="10" t="s">
        <v>131</v>
      </c>
      <c r="F2" s="10">
        <v>3</v>
      </c>
      <c r="G2" s="10">
        <v>0</v>
      </c>
      <c r="H2" s="10">
        <v>3</v>
      </c>
      <c r="I2" s="11">
        <v>2.4399999999999999E-4</v>
      </c>
      <c r="J2" s="10">
        <v>0</v>
      </c>
      <c r="K2" s="11">
        <v>1.94E-4</v>
      </c>
      <c r="L2" s="10">
        <v>9.6478220000000003E-2</v>
      </c>
      <c r="M2" s="10">
        <v>0</v>
      </c>
      <c r="N2" s="10">
        <v>7.3989390000000002E-2</v>
      </c>
      <c r="O2" s="10">
        <v>6</v>
      </c>
      <c r="P2" s="10">
        <v>0</v>
      </c>
      <c r="Q2" s="10">
        <v>6</v>
      </c>
      <c r="R2" s="12">
        <v>0.04</v>
      </c>
      <c r="S2" s="10">
        <v>0</v>
      </c>
      <c r="T2" s="12">
        <v>3.1E-2</v>
      </c>
    </row>
    <row r="3" spans="1:20" x14ac:dyDescent="0.2">
      <c r="A3" s="10" t="s">
        <v>150</v>
      </c>
      <c r="B3" s="10" t="s">
        <v>126</v>
      </c>
      <c r="C3" s="9" t="s">
        <v>169</v>
      </c>
      <c r="D3" s="10">
        <v>2</v>
      </c>
      <c r="E3" s="10" t="s">
        <v>181</v>
      </c>
      <c r="F3" s="10">
        <v>6</v>
      </c>
      <c r="G3" s="10">
        <v>3</v>
      </c>
      <c r="H3" s="10">
        <v>0</v>
      </c>
      <c r="I3" s="10">
        <v>1.2992800000000001E-3</v>
      </c>
      <c r="J3" s="11">
        <v>4.4099999999999999E-4</v>
      </c>
      <c r="K3" s="10">
        <v>0</v>
      </c>
      <c r="L3" s="10">
        <v>0.59220874000000001</v>
      </c>
      <c r="M3" s="10">
        <v>0.27057409999999998</v>
      </c>
      <c r="N3" s="10">
        <v>0</v>
      </c>
      <c r="O3" s="10">
        <v>16</v>
      </c>
      <c r="P3" s="10">
        <v>4</v>
      </c>
      <c r="Q3" s="10">
        <v>0</v>
      </c>
      <c r="R3" s="12">
        <v>0.20200000000000001</v>
      </c>
      <c r="S3" s="12">
        <v>0.104</v>
      </c>
      <c r="T3" s="10">
        <v>0</v>
      </c>
    </row>
    <row r="4" spans="1:20" x14ac:dyDescent="0.2">
      <c r="A4" s="10" t="s">
        <v>151</v>
      </c>
      <c r="B4" s="10" t="s">
        <v>126</v>
      </c>
      <c r="C4" s="10" t="s">
        <v>169</v>
      </c>
      <c r="D4" s="10">
        <v>2</v>
      </c>
      <c r="E4" s="10" t="s">
        <v>181</v>
      </c>
      <c r="F4" s="10">
        <v>11</v>
      </c>
      <c r="G4" s="10">
        <v>3</v>
      </c>
      <c r="H4" s="10">
        <v>0</v>
      </c>
      <c r="I4" s="10">
        <v>2.3636500000000001E-3</v>
      </c>
      <c r="J4" s="11">
        <v>5.5000000000000003E-4</v>
      </c>
      <c r="K4" s="10">
        <v>0</v>
      </c>
      <c r="L4" s="10">
        <v>0.79887090000000005</v>
      </c>
      <c r="M4" s="10">
        <v>0.15080035</v>
      </c>
      <c r="N4" s="10">
        <v>0</v>
      </c>
      <c r="O4" s="10">
        <v>35</v>
      </c>
      <c r="P4" s="10">
        <v>6</v>
      </c>
      <c r="Q4" s="10">
        <v>0</v>
      </c>
      <c r="R4" s="12">
        <v>0.255</v>
      </c>
      <c r="S4" s="12">
        <v>6.0999999999999999E-2</v>
      </c>
      <c r="T4" s="10">
        <v>0</v>
      </c>
    </row>
    <row r="5" spans="1:20" x14ac:dyDescent="0.2">
      <c r="A5" s="10" t="s">
        <v>207</v>
      </c>
      <c r="B5" s="10" t="s">
        <v>126</v>
      </c>
      <c r="C5" s="10" t="s">
        <v>169</v>
      </c>
      <c r="D5" s="10">
        <v>3</v>
      </c>
      <c r="E5" s="10" t="s">
        <v>283</v>
      </c>
      <c r="F5" s="10">
        <v>9</v>
      </c>
      <c r="G5" s="10">
        <v>6</v>
      </c>
      <c r="H5" s="10">
        <v>2</v>
      </c>
      <c r="I5" s="11">
        <v>6.4599999999999998E-4</v>
      </c>
      <c r="J5" s="11">
        <v>4.3899999999999999E-4</v>
      </c>
      <c r="K5" s="11">
        <v>8.5599999999999994E-5</v>
      </c>
      <c r="L5" s="10">
        <v>1.1527817</v>
      </c>
      <c r="M5" s="10">
        <v>0.67494284999999998</v>
      </c>
      <c r="N5" s="10">
        <v>0.17219532000000001</v>
      </c>
      <c r="O5" s="10">
        <v>12</v>
      </c>
      <c r="P5" s="10">
        <v>6</v>
      </c>
      <c r="Q5" s="10">
        <v>2</v>
      </c>
      <c r="R5" s="12">
        <v>0.33300000000000002</v>
      </c>
      <c r="S5" s="12">
        <v>0.224</v>
      </c>
      <c r="T5" s="12">
        <v>6.9000000000000006E-2</v>
      </c>
    </row>
    <row r="6" spans="1:20" x14ac:dyDescent="0.2">
      <c r="A6" s="10" t="s">
        <v>2</v>
      </c>
      <c r="B6" s="10" t="s">
        <v>26</v>
      </c>
      <c r="C6" s="10" t="s">
        <v>47</v>
      </c>
      <c r="D6" s="10">
        <v>1</v>
      </c>
      <c r="E6" s="10" t="s">
        <v>61</v>
      </c>
      <c r="F6" s="10">
        <v>0</v>
      </c>
      <c r="G6" s="10">
        <v>0</v>
      </c>
      <c r="H6" s="10">
        <v>3</v>
      </c>
      <c r="I6" s="10">
        <v>0</v>
      </c>
      <c r="J6" s="10">
        <v>0</v>
      </c>
      <c r="K6" s="11">
        <v>1.63E-4</v>
      </c>
      <c r="L6" s="10">
        <v>0</v>
      </c>
      <c r="M6" s="10">
        <v>0</v>
      </c>
      <c r="N6" s="10">
        <v>4.9542429999999998E-2</v>
      </c>
      <c r="O6" s="10">
        <v>0</v>
      </c>
      <c r="P6" s="10">
        <v>0</v>
      </c>
      <c r="Q6" s="10">
        <v>11</v>
      </c>
      <c r="R6" s="10">
        <v>0</v>
      </c>
      <c r="S6" s="10">
        <v>0</v>
      </c>
      <c r="T6" s="12">
        <v>2.1000000000000001E-2</v>
      </c>
    </row>
    <row r="7" spans="1:20" x14ac:dyDescent="0.2">
      <c r="A7" s="10" t="s">
        <v>119</v>
      </c>
      <c r="B7" s="10" t="s">
        <v>126</v>
      </c>
      <c r="C7" s="10" t="s">
        <v>125</v>
      </c>
      <c r="D7" s="10">
        <v>2</v>
      </c>
      <c r="E7" s="10" t="s">
        <v>131</v>
      </c>
      <c r="F7" s="10">
        <v>3</v>
      </c>
      <c r="G7" s="10">
        <v>0</v>
      </c>
      <c r="H7" s="10">
        <v>3</v>
      </c>
      <c r="I7" s="10">
        <v>2.6754499999999998E-3</v>
      </c>
      <c r="J7" s="10">
        <v>0</v>
      </c>
      <c r="K7" s="10">
        <v>1.23255E-3</v>
      </c>
      <c r="L7" s="10">
        <v>0.24738347999999999</v>
      </c>
      <c r="M7" s="10">
        <v>0</v>
      </c>
      <c r="N7" s="10">
        <v>0.24738347999999999</v>
      </c>
      <c r="O7" s="10">
        <v>19</v>
      </c>
      <c r="P7" s="10">
        <v>0</v>
      </c>
      <c r="Q7" s="10">
        <v>11</v>
      </c>
      <c r="R7" s="12">
        <v>9.6000000000000002E-2</v>
      </c>
      <c r="S7" s="10">
        <v>0</v>
      </c>
      <c r="T7" s="12">
        <v>9.6000000000000002E-2</v>
      </c>
    </row>
    <row r="8" spans="1:20" x14ac:dyDescent="0.2">
      <c r="A8" s="10" t="s">
        <v>118</v>
      </c>
      <c r="B8" s="10" t="s">
        <v>39</v>
      </c>
      <c r="C8" s="10" t="s">
        <v>125</v>
      </c>
      <c r="D8" s="10">
        <v>2</v>
      </c>
      <c r="E8" s="10" t="s">
        <v>131</v>
      </c>
      <c r="F8" s="10">
        <v>3</v>
      </c>
      <c r="G8" s="10">
        <v>0</v>
      </c>
      <c r="H8" s="10">
        <v>6</v>
      </c>
      <c r="I8" s="11">
        <v>3.9300000000000001E-4</v>
      </c>
      <c r="J8" s="10">
        <v>0</v>
      </c>
      <c r="K8" s="10">
        <v>1.3556900000000001E-3</v>
      </c>
      <c r="L8" s="10">
        <v>0.40928875999999997</v>
      </c>
      <c r="M8" s="10">
        <v>0</v>
      </c>
      <c r="N8" s="10">
        <v>0.40928875999999997</v>
      </c>
      <c r="O8" s="10">
        <v>3</v>
      </c>
      <c r="P8" s="10">
        <v>0</v>
      </c>
      <c r="Q8" s="10">
        <v>13</v>
      </c>
      <c r="R8" s="12">
        <v>0.14899999999999999</v>
      </c>
      <c r="S8" s="10">
        <v>0</v>
      </c>
      <c r="T8" s="12">
        <v>0.14899999999999999</v>
      </c>
    </row>
    <row r="9" spans="1:20" x14ac:dyDescent="0.2">
      <c r="A9" s="10" t="s">
        <v>208</v>
      </c>
      <c r="B9" s="10" t="s">
        <v>259</v>
      </c>
      <c r="C9" s="10" t="s">
        <v>260</v>
      </c>
      <c r="D9" s="10">
        <v>3</v>
      </c>
      <c r="E9" s="10" t="s">
        <v>283</v>
      </c>
      <c r="F9" s="10">
        <v>19</v>
      </c>
      <c r="G9" s="10">
        <v>3</v>
      </c>
      <c r="H9" s="10">
        <v>4</v>
      </c>
      <c r="I9" s="10">
        <v>3.90874E-3</v>
      </c>
      <c r="J9" s="11">
        <v>3.6200000000000002E-4</v>
      </c>
      <c r="K9" s="11">
        <v>2.8299999999999999E-4</v>
      </c>
      <c r="L9" s="10">
        <v>1.8575904000000001</v>
      </c>
      <c r="M9" s="10">
        <v>0.20503592000000001</v>
      </c>
      <c r="N9" s="10">
        <v>0.7179084</v>
      </c>
      <c r="O9" s="10">
        <v>44</v>
      </c>
      <c r="P9" s="10">
        <v>3</v>
      </c>
      <c r="Q9" s="10">
        <v>4</v>
      </c>
      <c r="R9" s="12">
        <v>0.45600000000000002</v>
      </c>
      <c r="S9" s="12">
        <v>8.1000000000000003E-2</v>
      </c>
      <c r="T9" s="12">
        <v>0.23499999999999999</v>
      </c>
    </row>
    <row r="10" spans="1:20" x14ac:dyDescent="0.2">
      <c r="A10" s="10" t="s">
        <v>209</v>
      </c>
      <c r="B10" s="10" t="s">
        <v>259</v>
      </c>
      <c r="C10" s="10" t="s">
        <v>260</v>
      </c>
      <c r="D10" s="10">
        <v>3</v>
      </c>
      <c r="E10" s="10" t="s">
        <v>283</v>
      </c>
      <c r="F10" s="10">
        <v>22</v>
      </c>
      <c r="G10" s="10">
        <v>9</v>
      </c>
      <c r="H10" s="10">
        <v>11</v>
      </c>
      <c r="I10" s="10">
        <v>4.04879E-3</v>
      </c>
      <c r="J10" s="10">
        <v>1.5866999999999999E-3</v>
      </c>
      <c r="K10" s="10">
        <v>1.1152200000000001E-3</v>
      </c>
      <c r="L10" s="10">
        <v>2.8725765000000001</v>
      </c>
      <c r="M10" s="10">
        <v>1.9922645000000001</v>
      </c>
      <c r="N10" s="10">
        <v>1.9922645000000001</v>
      </c>
      <c r="O10" s="10">
        <v>52</v>
      </c>
      <c r="P10" s="10">
        <v>15</v>
      </c>
      <c r="Q10" s="10">
        <v>18</v>
      </c>
      <c r="R10" s="12">
        <v>0.58799999999999997</v>
      </c>
      <c r="S10" s="12">
        <v>0.47599999999999998</v>
      </c>
      <c r="T10" s="12">
        <v>0.47599999999999998</v>
      </c>
    </row>
    <row r="11" spans="1:20" x14ac:dyDescent="0.2">
      <c r="A11" s="10" t="s">
        <v>210</v>
      </c>
      <c r="B11" s="10" t="s">
        <v>259</v>
      </c>
      <c r="C11" s="10" t="s">
        <v>260</v>
      </c>
      <c r="D11" s="10">
        <v>3</v>
      </c>
      <c r="E11" s="10" t="s">
        <v>283</v>
      </c>
      <c r="F11" s="10">
        <v>22</v>
      </c>
      <c r="G11" s="10">
        <v>10</v>
      </c>
      <c r="H11" s="10">
        <v>15</v>
      </c>
      <c r="I11" s="10">
        <v>5.7194400000000001E-3</v>
      </c>
      <c r="J11" s="10">
        <v>1.9980699999999998E-3</v>
      </c>
      <c r="K11" s="10">
        <v>1.8204600000000001E-3</v>
      </c>
      <c r="L11" s="10">
        <v>2.3036954000000001</v>
      </c>
      <c r="M11" s="10">
        <v>1.2803419</v>
      </c>
      <c r="N11" s="10">
        <v>2.3036954000000001</v>
      </c>
      <c r="O11" s="10">
        <v>70</v>
      </c>
      <c r="P11" s="10">
        <v>18</v>
      </c>
      <c r="Q11" s="10">
        <v>28</v>
      </c>
      <c r="R11" s="12">
        <v>0.51900000000000002</v>
      </c>
      <c r="S11" s="12">
        <v>0.35799999999999998</v>
      </c>
      <c r="T11" s="12">
        <v>0.51900000000000002</v>
      </c>
    </row>
    <row r="12" spans="1:20" x14ac:dyDescent="0.2">
      <c r="A12" s="10" t="s">
        <v>213</v>
      </c>
      <c r="B12" s="10" t="s">
        <v>259</v>
      </c>
      <c r="C12" s="10" t="s">
        <v>260</v>
      </c>
      <c r="D12" s="10">
        <v>3</v>
      </c>
      <c r="E12" s="10" t="s">
        <v>283</v>
      </c>
      <c r="F12" s="10">
        <v>6</v>
      </c>
      <c r="G12" s="10">
        <v>3</v>
      </c>
      <c r="H12" s="10">
        <v>3</v>
      </c>
      <c r="I12" s="10">
        <v>1.9147000000000001E-3</v>
      </c>
      <c r="J12" s="11">
        <v>7.9199999999999995E-4</v>
      </c>
      <c r="K12" s="11">
        <v>3.3100000000000002E-4</v>
      </c>
      <c r="L12" s="10">
        <v>0.43548942000000002</v>
      </c>
      <c r="M12" s="10">
        <v>0.20781385999999999</v>
      </c>
      <c r="N12" s="10">
        <v>0.20781385999999999</v>
      </c>
      <c r="O12" s="10">
        <v>23</v>
      </c>
      <c r="P12" s="10">
        <v>7</v>
      </c>
      <c r="Q12" s="10">
        <v>5</v>
      </c>
      <c r="R12" s="12">
        <v>0.157</v>
      </c>
      <c r="S12" s="12">
        <v>8.2000000000000003E-2</v>
      </c>
      <c r="T12" s="12">
        <v>8.2000000000000003E-2</v>
      </c>
    </row>
    <row r="13" spans="1:20" x14ac:dyDescent="0.2">
      <c r="A13" s="10" t="s">
        <v>211</v>
      </c>
      <c r="B13" s="10" t="s">
        <v>126</v>
      </c>
      <c r="C13" s="10" t="s">
        <v>260</v>
      </c>
      <c r="D13" s="10">
        <v>3</v>
      </c>
      <c r="E13" s="10" t="s">
        <v>283</v>
      </c>
      <c r="F13" s="10">
        <v>29</v>
      </c>
      <c r="G13" s="10">
        <v>9</v>
      </c>
      <c r="H13" s="10">
        <v>3</v>
      </c>
      <c r="I13" s="10">
        <v>1.3128809999999999E-2</v>
      </c>
      <c r="J13" s="10">
        <v>3.2164099999999998E-3</v>
      </c>
      <c r="K13" s="10">
        <v>1.0275799999999999E-3</v>
      </c>
      <c r="L13" s="10">
        <v>6.0145520000000001</v>
      </c>
      <c r="M13" s="10">
        <v>4.1879999999999997</v>
      </c>
      <c r="N13" s="10">
        <v>1.0370419</v>
      </c>
      <c r="O13" s="10">
        <v>122</v>
      </c>
      <c r="P13" s="10">
        <v>22</v>
      </c>
      <c r="Q13" s="10">
        <v>12</v>
      </c>
      <c r="R13" s="12">
        <v>0.84599999999999997</v>
      </c>
      <c r="S13" s="12">
        <v>0.71499999999999997</v>
      </c>
      <c r="T13" s="12">
        <v>0.309</v>
      </c>
    </row>
    <row r="14" spans="1:20" x14ac:dyDescent="0.2">
      <c r="A14" s="10" t="s">
        <v>212</v>
      </c>
      <c r="B14" s="10" t="s">
        <v>126</v>
      </c>
      <c r="C14" s="10" t="s">
        <v>260</v>
      </c>
      <c r="D14" s="10">
        <v>3</v>
      </c>
      <c r="E14" s="10" t="s">
        <v>283</v>
      </c>
      <c r="F14" s="10">
        <v>24</v>
      </c>
      <c r="G14" s="10">
        <v>6</v>
      </c>
      <c r="H14" s="10">
        <v>2</v>
      </c>
      <c r="I14" s="10">
        <v>7.4809410000000007E-2</v>
      </c>
      <c r="J14" s="10">
        <v>1.6055900000000001E-3</v>
      </c>
      <c r="K14" s="11">
        <v>1.8799999999999999E-4</v>
      </c>
      <c r="L14" s="10">
        <v>7.147043</v>
      </c>
      <c r="M14" s="10">
        <v>1.7925435999999999</v>
      </c>
      <c r="N14" s="10">
        <v>0.67109059999999998</v>
      </c>
      <c r="O14" s="10">
        <v>633</v>
      </c>
      <c r="P14" s="10">
        <v>10</v>
      </c>
      <c r="Q14" s="10">
        <v>2</v>
      </c>
      <c r="R14" s="12">
        <v>0.91100000000000003</v>
      </c>
      <c r="S14" s="12">
        <v>0.44600000000000001</v>
      </c>
      <c r="T14" s="12">
        <v>0.223</v>
      </c>
    </row>
    <row r="15" spans="1:20" x14ac:dyDescent="0.2">
      <c r="A15" s="10" t="s">
        <v>215</v>
      </c>
      <c r="B15" s="10" t="s">
        <v>126</v>
      </c>
      <c r="C15" s="10" t="s">
        <v>260</v>
      </c>
      <c r="D15" s="10">
        <v>3</v>
      </c>
      <c r="E15" s="10" t="s">
        <v>283</v>
      </c>
      <c r="F15" s="10">
        <v>20</v>
      </c>
      <c r="G15" s="10">
        <v>13</v>
      </c>
      <c r="H15" s="10">
        <v>10</v>
      </c>
      <c r="I15" s="10">
        <v>4.1929000000000003E-3</v>
      </c>
      <c r="J15" s="10">
        <v>2.2338700000000002E-3</v>
      </c>
      <c r="K15" s="10">
        <v>1.1121499999999999E-3</v>
      </c>
      <c r="L15" s="10">
        <v>3.2364302</v>
      </c>
      <c r="M15" s="10">
        <v>1.5703956999999999</v>
      </c>
      <c r="N15" s="10">
        <v>0.93196833000000001</v>
      </c>
      <c r="O15" s="10">
        <v>51</v>
      </c>
      <c r="P15" s="10">
        <v>20</v>
      </c>
      <c r="Q15" s="10">
        <v>17</v>
      </c>
      <c r="R15" s="12">
        <v>0.627</v>
      </c>
      <c r="S15" s="12">
        <v>0.41</v>
      </c>
      <c r="T15" s="12">
        <v>0.28599999999999998</v>
      </c>
    </row>
    <row r="16" spans="1:20" x14ac:dyDescent="0.2">
      <c r="A16" s="10" t="s">
        <v>216</v>
      </c>
      <c r="B16" s="10" t="s">
        <v>262</v>
      </c>
      <c r="C16" s="10" t="s">
        <v>260</v>
      </c>
      <c r="D16" s="10">
        <v>3</v>
      </c>
      <c r="E16" s="10" t="s">
        <v>283</v>
      </c>
      <c r="F16" s="10">
        <v>4</v>
      </c>
      <c r="G16" s="10">
        <v>2</v>
      </c>
      <c r="H16" s="10">
        <v>3</v>
      </c>
      <c r="I16" s="11">
        <v>6.38E-4</v>
      </c>
      <c r="J16" s="11">
        <v>3.2499999999999999E-4</v>
      </c>
      <c r="K16" s="11">
        <v>3.1700000000000001E-4</v>
      </c>
      <c r="L16" s="10">
        <v>0.7179084</v>
      </c>
      <c r="M16" s="10">
        <v>0.23026884</v>
      </c>
      <c r="N16" s="10">
        <v>0.23026884</v>
      </c>
      <c r="O16" s="10">
        <v>8</v>
      </c>
      <c r="P16" s="10">
        <v>3</v>
      </c>
      <c r="Q16" s="10">
        <v>5</v>
      </c>
      <c r="R16" s="12">
        <v>0.23499999999999999</v>
      </c>
      <c r="S16" s="12">
        <v>0.09</v>
      </c>
      <c r="T16" s="12">
        <v>0.09</v>
      </c>
    </row>
    <row r="17" spans="1:20" x14ac:dyDescent="0.2">
      <c r="A17" s="10" t="s">
        <v>217</v>
      </c>
      <c r="B17" s="10" t="s">
        <v>262</v>
      </c>
      <c r="C17" s="10" t="s">
        <v>260</v>
      </c>
      <c r="D17" s="10">
        <v>3</v>
      </c>
      <c r="E17" s="10" t="s">
        <v>283</v>
      </c>
      <c r="F17" s="10">
        <v>30</v>
      </c>
      <c r="G17" s="10">
        <v>9</v>
      </c>
      <c r="H17" s="10">
        <v>9</v>
      </c>
      <c r="I17" s="10">
        <v>2.2173829999999999E-2</v>
      </c>
      <c r="J17" s="10">
        <v>6.30161E-3</v>
      </c>
      <c r="K17" s="10">
        <v>3.51089E-3</v>
      </c>
      <c r="L17" s="10">
        <v>6.2945757000000002</v>
      </c>
      <c r="M17" s="10">
        <v>1.4717243</v>
      </c>
      <c r="N17" s="10">
        <v>1.4717243</v>
      </c>
      <c r="O17" s="10">
        <v>196</v>
      </c>
      <c r="P17" s="10">
        <v>41</v>
      </c>
      <c r="Q17" s="10">
        <v>39</v>
      </c>
      <c r="R17" s="12">
        <v>0.86299999999999999</v>
      </c>
      <c r="S17" s="12">
        <v>0.39300000000000002</v>
      </c>
      <c r="T17" s="12">
        <v>0.39300000000000002</v>
      </c>
    </row>
    <row r="18" spans="1:20" x14ac:dyDescent="0.2">
      <c r="A18" s="10" t="s">
        <v>214</v>
      </c>
      <c r="B18" s="10" t="s">
        <v>261</v>
      </c>
      <c r="C18" s="10" t="s">
        <v>260</v>
      </c>
      <c r="D18" s="10">
        <v>3</v>
      </c>
      <c r="E18" s="10" t="s">
        <v>283</v>
      </c>
      <c r="F18" s="10">
        <v>9</v>
      </c>
      <c r="G18" s="10">
        <v>6</v>
      </c>
      <c r="H18" s="10">
        <v>4</v>
      </c>
      <c r="I18" s="11">
        <v>9.5500000000000001E-4</v>
      </c>
      <c r="J18" s="11">
        <v>7.4200000000000004E-4</v>
      </c>
      <c r="K18" s="11">
        <v>2.1699999999999999E-4</v>
      </c>
      <c r="L18" s="10">
        <v>1.2130947000000001</v>
      </c>
      <c r="M18" s="10">
        <v>0.87499450000000001</v>
      </c>
      <c r="N18" s="10">
        <v>0.46217715999999998</v>
      </c>
      <c r="O18" s="10">
        <v>14</v>
      </c>
      <c r="P18" s="10">
        <v>8</v>
      </c>
      <c r="Q18" s="10">
        <v>4</v>
      </c>
      <c r="R18" s="12">
        <v>0.34499999999999997</v>
      </c>
      <c r="S18" s="12">
        <v>0.27300000000000002</v>
      </c>
      <c r="T18" s="12">
        <v>0.16500000000000001</v>
      </c>
    </row>
    <row r="19" spans="1:20" x14ac:dyDescent="0.2">
      <c r="A19" s="10" t="s">
        <v>220</v>
      </c>
      <c r="B19" s="10" t="s">
        <v>259</v>
      </c>
      <c r="C19" s="10" t="s">
        <v>263</v>
      </c>
      <c r="D19" s="10">
        <v>3</v>
      </c>
      <c r="E19" s="10" t="s">
        <v>283</v>
      </c>
      <c r="F19" s="10">
        <v>3</v>
      </c>
      <c r="G19" s="10">
        <v>3</v>
      </c>
      <c r="H19" s="10">
        <v>3</v>
      </c>
      <c r="I19" s="11">
        <v>5.31E-4</v>
      </c>
      <c r="J19" s="11">
        <v>3.3700000000000001E-4</v>
      </c>
      <c r="K19" s="11">
        <v>1.4100000000000001E-4</v>
      </c>
      <c r="L19" s="10">
        <v>8.3926920000000002E-2</v>
      </c>
      <c r="M19" s="10">
        <v>8.3926920000000002E-2</v>
      </c>
      <c r="N19" s="10">
        <v>8.3926920000000002E-2</v>
      </c>
      <c r="O19" s="10">
        <v>15</v>
      </c>
      <c r="P19" s="10">
        <v>7</v>
      </c>
      <c r="Q19" s="10">
        <v>5</v>
      </c>
      <c r="R19" s="12">
        <v>3.5000000000000003E-2</v>
      </c>
      <c r="S19" s="12">
        <v>3.5000000000000003E-2</v>
      </c>
      <c r="T19" s="12">
        <v>3.5000000000000003E-2</v>
      </c>
    </row>
    <row r="20" spans="1:20" x14ac:dyDescent="0.2">
      <c r="A20" s="10" t="s">
        <v>218</v>
      </c>
      <c r="B20" s="10" t="s">
        <v>126</v>
      </c>
      <c r="C20" s="10" t="s">
        <v>263</v>
      </c>
      <c r="D20" s="10">
        <v>3</v>
      </c>
      <c r="E20" s="10" t="s">
        <v>283</v>
      </c>
      <c r="F20" s="10">
        <v>15</v>
      </c>
      <c r="G20" s="10">
        <v>9</v>
      </c>
      <c r="H20" s="10">
        <v>6</v>
      </c>
      <c r="I20" s="10">
        <v>1.184311E-2</v>
      </c>
      <c r="J20" s="10">
        <v>5.0477600000000001E-3</v>
      </c>
      <c r="K20" s="10">
        <v>2.4021899999999998E-3</v>
      </c>
      <c r="L20" s="10">
        <v>7.1658229999999996</v>
      </c>
      <c r="M20" s="10">
        <v>3.1114974000000002</v>
      </c>
      <c r="N20" s="10">
        <v>0.98609482999999998</v>
      </c>
      <c r="O20" s="10">
        <v>102</v>
      </c>
      <c r="P20" s="10">
        <v>32</v>
      </c>
      <c r="Q20" s="10">
        <v>26</v>
      </c>
      <c r="R20" s="12">
        <v>0.91200000000000003</v>
      </c>
      <c r="S20" s="12">
        <v>0.61399999999999999</v>
      </c>
      <c r="T20" s="12">
        <v>0.29799999999999999</v>
      </c>
    </row>
    <row r="21" spans="1:20" x14ac:dyDescent="0.2">
      <c r="A21" s="10" t="s">
        <v>219</v>
      </c>
      <c r="B21" s="10" t="s">
        <v>126</v>
      </c>
      <c r="C21" s="10" t="s">
        <v>263</v>
      </c>
      <c r="D21" s="10">
        <v>3</v>
      </c>
      <c r="E21" s="10" t="s">
        <v>283</v>
      </c>
      <c r="F21" s="10">
        <v>30</v>
      </c>
      <c r="G21" s="10">
        <v>19</v>
      </c>
      <c r="H21" s="10">
        <v>21</v>
      </c>
      <c r="I21" s="10">
        <v>1.83357E-2</v>
      </c>
      <c r="J21" s="10">
        <v>9.4335200000000008E-3</v>
      </c>
      <c r="K21" s="10">
        <v>6.6476699999999996E-3</v>
      </c>
      <c r="L21" s="10">
        <v>5.2373485999999998</v>
      </c>
      <c r="M21" s="10">
        <v>5.0117380000000002</v>
      </c>
      <c r="N21" s="10">
        <v>5.0117380000000002</v>
      </c>
      <c r="O21" s="10">
        <v>169</v>
      </c>
      <c r="P21" s="10">
        <v>64</v>
      </c>
      <c r="Q21" s="10">
        <v>77</v>
      </c>
      <c r="R21" s="12">
        <v>0.79500000000000004</v>
      </c>
      <c r="S21" s="12">
        <v>0.77900000000000003</v>
      </c>
      <c r="T21" s="12">
        <v>0.77900000000000003</v>
      </c>
    </row>
    <row r="22" spans="1:20" x14ac:dyDescent="0.2">
      <c r="A22" s="10" t="s">
        <v>1</v>
      </c>
      <c r="B22" s="10" t="s">
        <v>25</v>
      </c>
      <c r="C22" s="10" t="s">
        <v>2556</v>
      </c>
      <c r="D22" s="10">
        <v>1</v>
      </c>
      <c r="E22" s="10" t="s">
        <v>61</v>
      </c>
      <c r="F22" s="10">
        <v>0</v>
      </c>
      <c r="G22" s="10">
        <v>0</v>
      </c>
      <c r="H22" s="10">
        <v>7</v>
      </c>
      <c r="I22" s="10">
        <v>0</v>
      </c>
      <c r="J22" s="10">
        <v>0</v>
      </c>
      <c r="K22" s="11">
        <v>2.0100000000000001E-4</v>
      </c>
      <c r="L22" s="10">
        <v>0</v>
      </c>
      <c r="M22" s="10">
        <v>0</v>
      </c>
      <c r="N22" s="10">
        <v>0.15611220000000001</v>
      </c>
      <c r="O22" s="10">
        <v>0</v>
      </c>
      <c r="P22" s="10">
        <v>0</v>
      </c>
      <c r="Q22" s="10">
        <v>10</v>
      </c>
      <c r="R22" s="10">
        <v>0</v>
      </c>
      <c r="S22" s="10">
        <v>0</v>
      </c>
      <c r="T22" s="12">
        <v>6.3E-2</v>
      </c>
    </row>
    <row r="23" spans="1:20" x14ac:dyDescent="0.2">
      <c r="A23" s="10" t="s">
        <v>152</v>
      </c>
      <c r="B23" s="10" t="s">
        <v>126</v>
      </c>
      <c r="C23" s="10" t="s">
        <v>170</v>
      </c>
      <c r="D23" s="10">
        <v>2</v>
      </c>
      <c r="E23" s="10" t="s">
        <v>181</v>
      </c>
      <c r="F23" s="10">
        <v>3</v>
      </c>
      <c r="G23" s="10">
        <v>3</v>
      </c>
      <c r="H23" s="10">
        <v>0</v>
      </c>
      <c r="I23" s="11">
        <v>4.8999999999999998E-4</v>
      </c>
      <c r="J23" s="11">
        <v>4.0000000000000002E-4</v>
      </c>
      <c r="K23" s="10">
        <v>0</v>
      </c>
      <c r="L23" s="10">
        <v>0.16680967999999999</v>
      </c>
      <c r="M23" s="10">
        <v>0.16680967999999999</v>
      </c>
      <c r="N23" s="10">
        <v>0</v>
      </c>
      <c r="O23" s="10">
        <v>5</v>
      </c>
      <c r="P23" s="10">
        <v>3</v>
      </c>
      <c r="Q23" s="10">
        <v>0</v>
      </c>
      <c r="R23" s="12">
        <v>6.7000000000000004E-2</v>
      </c>
      <c r="S23" s="12">
        <v>6.7000000000000004E-2</v>
      </c>
      <c r="T23" s="10">
        <v>0</v>
      </c>
    </row>
    <row r="24" spans="1:20" x14ac:dyDescent="0.2">
      <c r="A24" s="10" t="s">
        <v>148</v>
      </c>
      <c r="B24" s="10" t="s">
        <v>167</v>
      </c>
      <c r="C24" s="10" t="s">
        <v>48</v>
      </c>
      <c r="D24" s="10">
        <v>2</v>
      </c>
      <c r="E24" s="10" t="s">
        <v>181</v>
      </c>
      <c r="F24" s="10">
        <v>92</v>
      </c>
      <c r="G24" s="10">
        <v>6</v>
      </c>
      <c r="H24" s="10">
        <v>0</v>
      </c>
      <c r="I24" s="10">
        <v>2.6102199999999999E-3</v>
      </c>
      <c r="J24" s="11">
        <v>1.47E-4</v>
      </c>
      <c r="K24" s="10">
        <v>0</v>
      </c>
      <c r="L24" s="10">
        <v>1.3227367000000001</v>
      </c>
      <c r="M24" s="10">
        <v>8.6425660000000001E-2</v>
      </c>
      <c r="N24" s="10">
        <v>0</v>
      </c>
      <c r="O24" s="10">
        <v>169</v>
      </c>
      <c r="P24" s="10">
        <v>7</v>
      </c>
      <c r="Q24" s="10">
        <v>0</v>
      </c>
      <c r="R24" s="12">
        <v>0.36599999999999999</v>
      </c>
      <c r="S24" s="12">
        <v>3.5999999999999997E-2</v>
      </c>
      <c r="T24" s="10">
        <v>0</v>
      </c>
    </row>
    <row r="25" spans="1:20" x14ac:dyDescent="0.2">
      <c r="A25" s="10" t="s">
        <v>206</v>
      </c>
      <c r="B25" s="10" t="s">
        <v>258</v>
      </c>
      <c r="C25" s="10" t="s">
        <v>48</v>
      </c>
      <c r="D25" s="10">
        <v>3</v>
      </c>
      <c r="E25" s="10" t="s">
        <v>283</v>
      </c>
      <c r="F25" s="10">
        <v>3</v>
      </c>
      <c r="G25" s="10">
        <v>2</v>
      </c>
      <c r="H25" s="10">
        <v>2</v>
      </c>
      <c r="I25" s="11">
        <v>4.1399999999999998E-4</v>
      </c>
      <c r="J25" s="11">
        <v>1.8699999999999999E-4</v>
      </c>
      <c r="K25" s="11">
        <v>1.1E-4</v>
      </c>
      <c r="L25" s="10">
        <v>0.15345323</v>
      </c>
      <c r="M25" s="10">
        <v>0.15345323</v>
      </c>
      <c r="N25" s="10">
        <v>0.15345323</v>
      </c>
      <c r="O25" s="10">
        <v>6</v>
      </c>
      <c r="P25" s="10">
        <v>2</v>
      </c>
      <c r="Q25" s="10">
        <v>2</v>
      </c>
      <c r="R25" s="12">
        <v>6.2E-2</v>
      </c>
      <c r="S25" s="12">
        <v>6.2E-2</v>
      </c>
      <c r="T25" s="12">
        <v>6.2E-2</v>
      </c>
    </row>
    <row r="26" spans="1:20" x14ac:dyDescent="0.2">
      <c r="A26" s="10" t="s">
        <v>149</v>
      </c>
      <c r="B26" s="10" t="s">
        <v>168</v>
      </c>
      <c r="C26" s="10" t="s">
        <v>48</v>
      </c>
      <c r="D26" s="10">
        <v>2</v>
      </c>
      <c r="E26" s="10" t="s">
        <v>181</v>
      </c>
      <c r="F26" s="10">
        <v>32</v>
      </c>
      <c r="G26" s="10">
        <v>4</v>
      </c>
      <c r="H26" s="10">
        <v>0</v>
      </c>
      <c r="I26" s="10">
        <v>3.2874800000000002E-3</v>
      </c>
      <c r="J26" s="11">
        <v>4.6999999999999999E-4</v>
      </c>
      <c r="K26" s="10">
        <v>0</v>
      </c>
      <c r="L26" s="10">
        <v>0.82389570000000001</v>
      </c>
      <c r="M26" s="10">
        <v>0.15345323</v>
      </c>
      <c r="N26" s="10">
        <v>0</v>
      </c>
      <c r="O26" s="10">
        <v>76</v>
      </c>
      <c r="P26" s="10">
        <v>8</v>
      </c>
      <c r="Q26" s="10">
        <v>0</v>
      </c>
      <c r="R26" s="12">
        <v>0.26100000000000001</v>
      </c>
      <c r="S26" s="12">
        <v>6.2E-2</v>
      </c>
      <c r="T26" s="10">
        <v>0</v>
      </c>
    </row>
    <row r="27" spans="1:20" x14ac:dyDescent="0.2">
      <c r="A27" s="10" t="s">
        <v>190</v>
      </c>
      <c r="B27" s="10" t="s">
        <v>249</v>
      </c>
      <c r="C27" s="10" t="s">
        <v>48</v>
      </c>
      <c r="D27" s="10">
        <v>3</v>
      </c>
      <c r="E27" s="10" t="s">
        <v>283</v>
      </c>
      <c r="F27" s="10">
        <v>9</v>
      </c>
      <c r="G27" s="10">
        <v>2</v>
      </c>
      <c r="H27" s="10">
        <v>2</v>
      </c>
      <c r="I27" s="10">
        <v>4.1850400000000001E-3</v>
      </c>
      <c r="J27" s="11">
        <v>3.97E-4</v>
      </c>
      <c r="K27" s="11">
        <v>2.32E-4</v>
      </c>
      <c r="L27" s="10">
        <v>0.96788629999999998</v>
      </c>
      <c r="M27" s="10">
        <v>0.18576872</v>
      </c>
      <c r="N27" s="10">
        <v>0.18576872</v>
      </c>
      <c r="O27" s="10">
        <v>43</v>
      </c>
      <c r="P27" s="10">
        <v>3</v>
      </c>
      <c r="Q27" s="10">
        <v>3</v>
      </c>
      <c r="R27" s="12">
        <v>0.29399999999999998</v>
      </c>
      <c r="S27" s="12">
        <v>7.3999999999999996E-2</v>
      </c>
      <c r="T27" s="12">
        <v>7.3999999999999996E-2</v>
      </c>
    </row>
    <row r="28" spans="1:20" x14ac:dyDescent="0.2">
      <c r="A28" s="10" t="s">
        <v>196</v>
      </c>
      <c r="B28" s="10" t="s">
        <v>253</v>
      </c>
      <c r="C28" s="10" t="s">
        <v>48</v>
      </c>
      <c r="D28" s="10">
        <v>3</v>
      </c>
      <c r="E28" s="10" t="s">
        <v>283</v>
      </c>
      <c r="F28" s="10">
        <v>50</v>
      </c>
      <c r="G28" s="10">
        <v>18</v>
      </c>
      <c r="H28" s="10">
        <v>24</v>
      </c>
      <c r="I28" s="10">
        <v>1.0115000000000001E-2</v>
      </c>
      <c r="J28" s="10">
        <v>4.0796499999999998E-3</v>
      </c>
      <c r="K28" s="10">
        <v>1.9807700000000002E-3</v>
      </c>
      <c r="L28" s="10">
        <v>2.4434993</v>
      </c>
      <c r="M28" s="10">
        <v>0.85780440000000002</v>
      </c>
      <c r="N28" s="10">
        <v>1.0137240999999999</v>
      </c>
      <c r="O28" s="10">
        <v>256</v>
      </c>
      <c r="P28" s="10">
        <v>76</v>
      </c>
      <c r="Q28" s="10">
        <v>63</v>
      </c>
      <c r="R28" s="12">
        <v>0.53700000000000003</v>
      </c>
      <c r="S28" s="12">
        <v>0.26900000000000002</v>
      </c>
      <c r="T28" s="12">
        <v>0.30399999999999999</v>
      </c>
    </row>
    <row r="29" spans="1:20" x14ac:dyDescent="0.2">
      <c r="A29" s="10" t="s">
        <v>191</v>
      </c>
      <c r="B29" s="10" t="s">
        <v>250</v>
      </c>
      <c r="C29" s="10" t="s">
        <v>48</v>
      </c>
      <c r="D29" s="10">
        <v>3</v>
      </c>
      <c r="E29" s="10" t="s">
        <v>283</v>
      </c>
      <c r="F29" s="10">
        <v>18</v>
      </c>
      <c r="G29" s="10">
        <v>3</v>
      </c>
      <c r="H29" s="10">
        <v>4</v>
      </c>
      <c r="I29" s="10">
        <v>1.6142000000000001E-3</v>
      </c>
      <c r="J29" s="11">
        <v>1.5899999999999999E-4</v>
      </c>
      <c r="K29" s="11">
        <v>1.17E-4</v>
      </c>
      <c r="L29" s="10">
        <v>0.83653829999999996</v>
      </c>
      <c r="M29" s="10">
        <v>9.6478220000000003E-2</v>
      </c>
      <c r="N29" s="10">
        <v>0.27057409999999998</v>
      </c>
      <c r="O29" s="10">
        <v>55</v>
      </c>
      <c r="P29" s="10">
        <v>4</v>
      </c>
      <c r="Q29" s="10">
        <v>5</v>
      </c>
      <c r="R29" s="12">
        <v>0.26400000000000001</v>
      </c>
      <c r="S29" s="12">
        <v>0.04</v>
      </c>
      <c r="T29" s="12">
        <v>0.104</v>
      </c>
    </row>
    <row r="30" spans="1:20" x14ac:dyDescent="0.2">
      <c r="A30" s="10" t="s">
        <v>198</v>
      </c>
      <c r="B30" s="10" t="s">
        <v>250</v>
      </c>
      <c r="C30" s="10" t="s">
        <v>48</v>
      </c>
      <c r="D30" s="10">
        <v>3</v>
      </c>
      <c r="E30" s="10" t="s">
        <v>283</v>
      </c>
      <c r="F30" s="10">
        <v>21</v>
      </c>
      <c r="G30" s="10">
        <v>6</v>
      </c>
      <c r="H30" s="10">
        <v>6</v>
      </c>
      <c r="I30" s="10">
        <v>1.7902899999999999E-3</v>
      </c>
      <c r="J30" s="11">
        <v>3.59E-4</v>
      </c>
      <c r="K30" s="11">
        <v>1.63E-4</v>
      </c>
      <c r="L30" s="10">
        <v>0.97242269999999997</v>
      </c>
      <c r="M30" s="10">
        <v>0.21338879999999999</v>
      </c>
      <c r="N30" s="10">
        <v>0.40928875999999997</v>
      </c>
      <c r="O30" s="10">
        <v>61</v>
      </c>
      <c r="P30" s="10">
        <v>9</v>
      </c>
      <c r="Q30" s="10">
        <v>7</v>
      </c>
      <c r="R30" s="12">
        <v>0.29499999999999998</v>
      </c>
      <c r="S30" s="12">
        <v>8.4000000000000005E-2</v>
      </c>
      <c r="T30" s="12">
        <v>0.14899999999999999</v>
      </c>
    </row>
    <row r="31" spans="1:20" x14ac:dyDescent="0.2">
      <c r="A31" s="10" t="s">
        <v>205</v>
      </c>
      <c r="B31" s="10" t="s">
        <v>250</v>
      </c>
      <c r="C31" s="10" t="s">
        <v>48</v>
      </c>
      <c r="D31" s="10">
        <v>3</v>
      </c>
      <c r="E31" s="10" t="s">
        <v>283</v>
      </c>
      <c r="F31" s="10">
        <v>21</v>
      </c>
      <c r="G31" s="10">
        <v>6</v>
      </c>
      <c r="H31" s="10">
        <v>6</v>
      </c>
      <c r="I31" s="10">
        <v>1.87834E-3</v>
      </c>
      <c r="J31" s="11">
        <v>3.59E-4</v>
      </c>
      <c r="K31" s="11">
        <v>1.63E-4</v>
      </c>
      <c r="L31" s="10">
        <v>0.97242269999999997</v>
      </c>
      <c r="M31" s="10">
        <v>0.21338879999999999</v>
      </c>
      <c r="N31" s="10">
        <v>0.40928875999999997</v>
      </c>
      <c r="O31" s="10">
        <v>64</v>
      </c>
      <c r="P31" s="10">
        <v>9</v>
      </c>
      <c r="Q31" s="10">
        <v>7</v>
      </c>
      <c r="R31" s="12">
        <v>0.29499999999999998</v>
      </c>
      <c r="S31" s="12">
        <v>8.4000000000000005E-2</v>
      </c>
      <c r="T31" s="12">
        <v>0.14899999999999999</v>
      </c>
    </row>
    <row r="32" spans="1:20" x14ac:dyDescent="0.2">
      <c r="A32" s="10" t="s">
        <v>193</v>
      </c>
      <c r="B32" s="10" t="s">
        <v>251</v>
      </c>
      <c r="C32" s="10" t="s">
        <v>48</v>
      </c>
      <c r="D32" s="10">
        <v>3</v>
      </c>
      <c r="E32" s="10" t="s">
        <v>283</v>
      </c>
      <c r="F32" s="10">
        <v>15</v>
      </c>
      <c r="G32" s="10">
        <v>3</v>
      </c>
      <c r="H32" s="10">
        <v>6</v>
      </c>
      <c r="I32" s="11">
        <v>7.9299999999999998E-4</v>
      </c>
      <c r="J32" s="11">
        <v>1.13E-4</v>
      </c>
      <c r="K32" s="11">
        <v>1.66E-4</v>
      </c>
      <c r="L32" s="10">
        <v>0.35518944000000002</v>
      </c>
      <c r="M32" s="10">
        <v>6.6596150000000007E-2</v>
      </c>
      <c r="N32" s="10">
        <v>0.19398808000000001</v>
      </c>
      <c r="O32" s="10">
        <v>38</v>
      </c>
      <c r="P32" s="10">
        <v>4</v>
      </c>
      <c r="Q32" s="10">
        <v>10</v>
      </c>
      <c r="R32" s="12">
        <v>0.13200000000000001</v>
      </c>
      <c r="S32" s="12">
        <v>2.8000000000000001E-2</v>
      </c>
      <c r="T32" s="12">
        <v>7.6999999999999999E-2</v>
      </c>
    </row>
    <row r="33" spans="1:20" x14ac:dyDescent="0.2">
      <c r="A33" s="10" t="s">
        <v>197</v>
      </c>
      <c r="B33" s="10" t="s">
        <v>251</v>
      </c>
      <c r="C33" s="10" t="s">
        <v>48</v>
      </c>
      <c r="D33" s="10">
        <v>3</v>
      </c>
      <c r="E33" s="10" t="s">
        <v>283</v>
      </c>
      <c r="F33" s="10">
        <v>25</v>
      </c>
      <c r="G33" s="10">
        <v>3</v>
      </c>
      <c r="H33" s="10">
        <v>6</v>
      </c>
      <c r="I33" s="10">
        <v>1.8833400000000001E-3</v>
      </c>
      <c r="J33" s="11">
        <v>1.44E-4</v>
      </c>
      <c r="K33" s="11">
        <v>2.1100000000000001E-4</v>
      </c>
      <c r="L33" s="10">
        <v>0.85780440000000002</v>
      </c>
      <c r="M33" s="10">
        <v>8.6425660000000001E-2</v>
      </c>
      <c r="N33" s="10">
        <v>0.25314115999999998</v>
      </c>
      <c r="O33" s="10">
        <v>71</v>
      </c>
      <c r="P33" s="10">
        <v>4</v>
      </c>
      <c r="Q33" s="10">
        <v>10</v>
      </c>
      <c r="R33" s="12">
        <v>0.26900000000000002</v>
      </c>
      <c r="S33" s="12">
        <v>3.5999999999999997E-2</v>
      </c>
      <c r="T33" s="12">
        <v>9.8000000000000004E-2</v>
      </c>
    </row>
    <row r="34" spans="1:20" x14ac:dyDescent="0.2">
      <c r="A34" s="10" t="s">
        <v>200</v>
      </c>
      <c r="B34" s="10" t="s">
        <v>251</v>
      </c>
      <c r="C34" s="10" t="s">
        <v>48</v>
      </c>
      <c r="D34" s="10">
        <v>3</v>
      </c>
      <c r="E34" s="10" t="s">
        <v>283</v>
      </c>
      <c r="F34" s="10">
        <v>43</v>
      </c>
      <c r="G34" s="10">
        <v>4</v>
      </c>
      <c r="H34" s="10">
        <v>9</v>
      </c>
      <c r="I34" s="10">
        <v>5.2261900000000003E-3</v>
      </c>
      <c r="J34" s="11">
        <v>2.6499999999999999E-4</v>
      </c>
      <c r="K34" s="11">
        <v>3.5E-4</v>
      </c>
      <c r="L34" s="10">
        <v>1.4831331000000001</v>
      </c>
      <c r="M34" s="10">
        <v>0.33352150000000003</v>
      </c>
      <c r="N34" s="10">
        <v>0.63681650000000001</v>
      </c>
      <c r="O34" s="10">
        <v>107</v>
      </c>
      <c r="P34" s="10">
        <v>4</v>
      </c>
      <c r="Q34" s="10">
        <v>9</v>
      </c>
      <c r="R34" s="12">
        <v>0.39500000000000002</v>
      </c>
      <c r="S34" s="12">
        <v>0.125</v>
      </c>
      <c r="T34" s="12">
        <v>0.214</v>
      </c>
    </row>
    <row r="35" spans="1:20" x14ac:dyDescent="0.2">
      <c r="A35" s="10" t="s">
        <v>204</v>
      </c>
      <c r="B35" s="10" t="s">
        <v>251</v>
      </c>
      <c r="C35" s="10" t="s">
        <v>48</v>
      </c>
      <c r="D35" s="10">
        <v>3</v>
      </c>
      <c r="E35" s="10" t="s">
        <v>283</v>
      </c>
      <c r="F35" s="10">
        <v>16</v>
      </c>
      <c r="G35" s="10">
        <v>3</v>
      </c>
      <c r="H35" s="10">
        <v>3</v>
      </c>
      <c r="I35" s="10">
        <v>1.67975E-3</v>
      </c>
      <c r="J35" s="11">
        <v>1.83E-4</v>
      </c>
      <c r="K35" s="11">
        <v>1.07E-4</v>
      </c>
      <c r="L35" s="10">
        <v>0.85780440000000002</v>
      </c>
      <c r="M35" s="10">
        <v>0.11173176999999999</v>
      </c>
      <c r="N35" s="10">
        <v>0.22743917</v>
      </c>
      <c r="O35" s="10">
        <v>50</v>
      </c>
      <c r="P35" s="10">
        <v>4</v>
      </c>
      <c r="Q35" s="10">
        <v>4</v>
      </c>
      <c r="R35" s="12">
        <v>0.26900000000000002</v>
      </c>
      <c r="S35" s="12">
        <v>4.5999999999999999E-2</v>
      </c>
      <c r="T35" s="12">
        <v>8.8999999999999996E-2</v>
      </c>
    </row>
    <row r="36" spans="1:20" x14ac:dyDescent="0.2">
      <c r="A36" s="10" t="s">
        <v>202</v>
      </c>
      <c r="B36" s="10" t="s">
        <v>256</v>
      </c>
      <c r="C36" s="10" t="s">
        <v>48</v>
      </c>
      <c r="D36" s="10">
        <v>3</v>
      </c>
      <c r="E36" s="10" t="s">
        <v>283</v>
      </c>
      <c r="F36" s="10">
        <v>9</v>
      </c>
      <c r="G36" s="10">
        <v>3</v>
      </c>
      <c r="H36" s="10">
        <v>2</v>
      </c>
      <c r="I36" s="10">
        <v>2.4777499999999999E-3</v>
      </c>
      <c r="J36" s="11">
        <v>3.5399999999999999E-4</v>
      </c>
      <c r="K36" s="11">
        <v>1.56E-4</v>
      </c>
      <c r="L36" s="10">
        <v>0.46892630000000002</v>
      </c>
      <c r="M36" s="10">
        <v>0.22743917</v>
      </c>
      <c r="N36" s="10">
        <v>0.22743917</v>
      </c>
      <c r="O36" s="10">
        <v>38</v>
      </c>
      <c r="P36" s="10">
        <v>4</v>
      </c>
      <c r="Q36" s="10">
        <v>3</v>
      </c>
      <c r="R36" s="12">
        <v>0.16700000000000001</v>
      </c>
      <c r="S36" s="12">
        <v>8.8999999999999996E-2</v>
      </c>
      <c r="T36" s="12">
        <v>8.8999999999999996E-2</v>
      </c>
    </row>
    <row r="37" spans="1:20" x14ac:dyDescent="0.2">
      <c r="A37" s="10" t="s">
        <v>194</v>
      </c>
      <c r="B37" s="10" t="s">
        <v>252</v>
      </c>
      <c r="C37" s="10" t="s">
        <v>48</v>
      </c>
      <c r="D37" s="10">
        <v>3</v>
      </c>
      <c r="E37" s="10" t="s">
        <v>283</v>
      </c>
      <c r="F37" s="10">
        <v>41</v>
      </c>
      <c r="G37" s="10">
        <v>7</v>
      </c>
      <c r="H37" s="10">
        <v>10</v>
      </c>
      <c r="I37" s="10">
        <v>3.2052299999999999E-3</v>
      </c>
      <c r="J37" s="11">
        <v>2.8200000000000002E-4</v>
      </c>
      <c r="K37" s="11">
        <v>2.3599999999999999E-4</v>
      </c>
      <c r="L37" s="10">
        <v>0.76603779999999999</v>
      </c>
      <c r="M37" s="10">
        <v>0.28233063000000003</v>
      </c>
      <c r="N37" s="10">
        <v>0.44877182999999998</v>
      </c>
      <c r="O37" s="10">
        <v>108</v>
      </c>
      <c r="P37" s="10">
        <v>7</v>
      </c>
      <c r="Q37" s="10">
        <v>10</v>
      </c>
      <c r="R37" s="12">
        <v>0.247</v>
      </c>
      <c r="S37" s="12">
        <v>0.108</v>
      </c>
      <c r="T37" s="12">
        <v>0.161</v>
      </c>
    </row>
    <row r="38" spans="1:20" x14ac:dyDescent="0.2">
      <c r="A38" s="10" t="s">
        <v>195</v>
      </c>
      <c r="B38" s="10" t="s">
        <v>252</v>
      </c>
      <c r="C38" s="10" t="s">
        <v>48</v>
      </c>
      <c r="D38" s="10">
        <v>3</v>
      </c>
      <c r="E38" s="10" t="s">
        <v>283</v>
      </c>
      <c r="F38" s="10">
        <v>52</v>
      </c>
      <c r="G38" s="10">
        <v>5</v>
      </c>
      <c r="H38" s="10">
        <v>7</v>
      </c>
      <c r="I38" s="10">
        <v>3.7987899999999998E-3</v>
      </c>
      <c r="J38" s="11">
        <v>2.02E-4</v>
      </c>
      <c r="K38" s="11">
        <v>1.65E-4</v>
      </c>
      <c r="L38" s="10">
        <v>1.4322037999999999</v>
      </c>
      <c r="M38" s="10">
        <v>0.18576872</v>
      </c>
      <c r="N38" s="10">
        <v>0.34276497</v>
      </c>
      <c r="O38" s="10">
        <v>128</v>
      </c>
      <c r="P38" s="10">
        <v>5</v>
      </c>
      <c r="Q38" s="10">
        <v>7</v>
      </c>
      <c r="R38" s="12">
        <v>0.38600000000000001</v>
      </c>
      <c r="S38" s="12">
        <v>7.3999999999999996E-2</v>
      </c>
      <c r="T38" s="12">
        <v>0.128</v>
      </c>
    </row>
    <row r="39" spans="1:20" x14ac:dyDescent="0.2">
      <c r="A39" s="10" t="s">
        <v>201</v>
      </c>
      <c r="B39" s="10" t="s">
        <v>255</v>
      </c>
      <c r="C39" s="10" t="s">
        <v>48</v>
      </c>
      <c r="D39" s="10">
        <v>3</v>
      </c>
      <c r="E39" s="10" t="s">
        <v>283</v>
      </c>
      <c r="F39" s="10">
        <v>23</v>
      </c>
      <c r="G39" s="10">
        <v>4</v>
      </c>
      <c r="H39" s="10">
        <v>7</v>
      </c>
      <c r="I39" s="10">
        <v>3.1568E-3</v>
      </c>
      <c r="J39" s="11">
        <v>3.01E-4</v>
      </c>
      <c r="K39" s="11">
        <v>3.0800000000000001E-4</v>
      </c>
      <c r="L39" s="10">
        <v>1.1183609999999999</v>
      </c>
      <c r="M39" s="10">
        <v>0.38675581999999997</v>
      </c>
      <c r="N39" s="10">
        <v>0.37404190999999998</v>
      </c>
      <c r="O39" s="10">
        <v>57</v>
      </c>
      <c r="P39" s="10">
        <v>4</v>
      </c>
      <c r="Q39" s="10">
        <v>7</v>
      </c>
      <c r="R39" s="12">
        <v>0.32600000000000001</v>
      </c>
      <c r="S39" s="12">
        <v>0.14199999999999999</v>
      </c>
      <c r="T39" s="12">
        <v>0.13800000000000001</v>
      </c>
    </row>
    <row r="40" spans="1:20" x14ac:dyDescent="0.2">
      <c r="A40" s="10" t="s">
        <v>199</v>
      </c>
      <c r="B40" s="10" t="s">
        <v>254</v>
      </c>
      <c r="C40" s="10" t="s">
        <v>48</v>
      </c>
      <c r="D40" s="10">
        <v>3</v>
      </c>
      <c r="E40" s="10" t="s">
        <v>283</v>
      </c>
      <c r="F40" s="10">
        <v>23</v>
      </c>
      <c r="G40" s="10">
        <v>3</v>
      </c>
      <c r="H40" s="10">
        <v>3</v>
      </c>
      <c r="I40" s="10">
        <v>2.6472800000000001E-3</v>
      </c>
      <c r="J40" s="11">
        <v>1.8000000000000001E-4</v>
      </c>
      <c r="K40" s="11">
        <v>1.05E-4</v>
      </c>
      <c r="L40" s="10">
        <v>0.74984660000000003</v>
      </c>
      <c r="M40" s="10">
        <v>0.11429453000000001</v>
      </c>
      <c r="N40" s="10">
        <v>0.34896290000000002</v>
      </c>
      <c r="O40" s="10">
        <v>60</v>
      </c>
      <c r="P40" s="10">
        <v>3</v>
      </c>
      <c r="Q40" s="10">
        <v>3</v>
      </c>
      <c r="R40" s="12">
        <v>0.24299999999999999</v>
      </c>
      <c r="S40" s="12">
        <v>4.7E-2</v>
      </c>
      <c r="T40" s="12">
        <v>0.13</v>
      </c>
    </row>
    <row r="41" spans="1:20" x14ac:dyDescent="0.2">
      <c r="A41" s="10" t="s">
        <v>203</v>
      </c>
      <c r="B41" s="10" t="s">
        <v>257</v>
      </c>
      <c r="C41" s="10" t="s">
        <v>48</v>
      </c>
      <c r="D41" s="10">
        <v>3</v>
      </c>
      <c r="E41" s="10" t="s">
        <v>283</v>
      </c>
      <c r="F41" s="10">
        <v>31</v>
      </c>
      <c r="G41" s="10">
        <v>2</v>
      </c>
      <c r="H41" s="10">
        <v>5</v>
      </c>
      <c r="I41" s="10">
        <v>2.2931499999999999E-3</v>
      </c>
      <c r="J41" s="11">
        <v>7.8899999999999993E-5</v>
      </c>
      <c r="K41" s="11">
        <v>1.15E-4</v>
      </c>
      <c r="L41" s="10">
        <v>0.37404190999999998</v>
      </c>
      <c r="M41" s="10">
        <v>0.10153925</v>
      </c>
      <c r="N41" s="10">
        <v>0.15080035</v>
      </c>
      <c r="O41" s="10">
        <v>79</v>
      </c>
      <c r="P41" s="10">
        <v>2</v>
      </c>
      <c r="Q41" s="10">
        <v>5</v>
      </c>
      <c r="R41" s="12">
        <v>0.13800000000000001</v>
      </c>
      <c r="S41" s="12">
        <v>4.2000000000000003E-2</v>
      </c>
      <c r="T41" s="12">
        <v>6.0999999999999999E-2</v>
      </c>
    </row>
    <row r="42" spans="1:20" x14ac:dyDescent="0.2">
      <c r="A42" s="10" t="s">
        <v>192</v>
      </c>
      <c r="B42" s="10" t="s">
        <v>28</v>
      </c>
      <c r="C42" s="10" t="s">
        <v>48</v>
      </c>
      <c r="D42" s="10">
        <v>3</v>
      </c>
      <c r="E42" s="10" t="s">
        <v>283</v>
      </c>
      <c r="F42" s="10">
        <v>6</v>
      </c>
      <c r="G42" s="10">
        <v>2</v>
      </c>
      <c r="H42" s="10">
        <v>3</v>
      </c>
      <c r="I42" s="10">
        <v>2.7943600000000001E-3</v>
      </c>
      <c r="J42" s="11">
        <v>4.0000000000000002E-4</v>
      </c>
      <c r="K42" s="11">
        <v>3.5100000000000002E-4</v>
      </c>
      <c r="L42" s="10">
        <v>0.99526239999999999</v>
      </c>
      <c r="M42" s="10">
        <v>0.46892630000000002</v>
      </c>
      <c r="N42" s="10">
        <v>0.46892630000000002</v>
      </c>
      <c r="O42" s="10">
        <v>19</v>
      </c>
      <c r="P42" s="10">
        <v>2</v>
      </c>
      <c r="Q42" s="10">
        <v>3</v>
      </c>
      <c r="R42" s="12">
        <v>0.3</v>
      </c>
      <c r="S42" s="12">
        <v>0.16700000000000001</v>
      </c>
      <c r="T42" s="12">
        <v>0.16700000000000001</v>
      </c>
    </row>
    <row r="43" spans="1:20" x14ac:dyDescent="0.2">
      <c r="A43" s="10" t="s">
        <v>3</v>
      </c>
      <c r="B43" s="10" t="s">
        <v>27</v>
      </c>
      <c r="C43" s="10" t="s">
        <v>48</v>
      </c>
      <c r="D43" s="10">
        <v>1</v>
      </c>
      <c r="E43" s="10" t="s">
        <v>61</v>
      </c>
      <c r="F43" s="10">
        <v>0</v>
      </c>
      <c r="G43" s="10">
        <v>0</v>
      </c>
      <c r="H43" s="10">
        <v>3</v>
      </c>
      <c r="I43" s="10">
        <v>0</v>
      </c>
      <c r="J43" s="10">
        <v>0</v>
      </c>
      <c r="K43" s="11">
        <v>5.8499999999999999E-5</v>
      </c>
      <c r="L43" s="10">
        <v>0</v>
      </c>
      <c r="M43" s="10">
        <v>0</v>
      </c>
      <c r="N43" s="10">
        <v>5.9253689999999998E-2</v>
      </c>
      <c r="O43" s="10">
        <v>0</v>
      </c>
      <c r="P43" s="10">
        <v>0</v>
      </c>
      <c r="Q43" s="10">
        <v>4</v>
      </c>
      <c r="R43" s="10">
        <v>0</v>
      </c>
      <c r="S43" s="10">
        <v>0</v>
      </c>
      <c r="T43" s="12">
        <v>2.5000000000000001E-2</v>
      </c>
    </row>
    <row r="44" spans="1:20" x14ac:dyDescent="0.2">
      <c r="A44" s="10" t="s">
        <v>186</v>
      </c>
      <c r="B44" s="10" t="s">
        <v>245</v>
      </c>
      <c r="C44" s="10" t="s">
        <v>2559</v>
      </c>
      <c r="D44" s="10">
        <v>3</v>
      </c>
      <c r="E44" s="10" t="s">
        <v>283</v>
      </c>
      <c r="F44" s="10">
        <v>27</v>
      </c>
      <c r="G44" s="10">
        <v>3</v>
      </c>
      <c r="H44" s="10">
        <v>3</v>
      </c>
      <c r="I44" s="10">
        <v>2.3358400000000001E-3</v>
      </c>
      <c r="J44" s="11">
        <v>4.7600000000000002E-4</v>
      </c>
      <c r="K44" s="11">
        <v>1.8599999999999999E-4</v>
      </c>
      <c r="L44" s="10">
        <v>1.6181829000000001</v>
      </c>
      <c r="M44" s="10">
        <v>0.13762724000000001</v>
      </c>
      <c r="N44" s="10">
        <v>0.13762724000000001</v>
      </c>
      <c r="O44" s="10">
        <v>60</v>
      </c>
      <c r="P44" s="10">
        <v>9</v>
      </c>
      <c r="Q44" s="10">
        <v>6</v>
      </c>
      <c r="R44" s="12">
        <v>0.41799999999999998</v>
      </c>
      <c r="S44" s="12">
        <v>5.6000000000000001E-2</v>
      </c>
      <c r="T44" s="12">
        <v>5.6000000000000001E-2</v>
      </c>
    </row>
    <row r="45" spans="1:20" x14ac:dyDescent="0.2">
      <c r="A45" s="10" t="s">
        <v>62</v>
      </c>
      <c r="B45" s="10" t="s">
        <v>78</v>
      </c>
      <c r="C45" s="10" t="s">
        <v>2559</v>
      </c>
      <c r="D45" s="10">
        <v>1</v>
      </c>
      <c r="E45" s="10" t="s">
        <v>97</v>
      </c>
      <c r="F45" s="10">
        <v>0</v>
      </c>
      <c r="G45" s="10">
        <v>3</v>
      </c>
      <c r="H45" s="10">
        <v>0</v>
      </c>
      <c r="I45" s="10">
        <v>0</v>
      </c>
      <c r="J45" s="11">
        <v>1.9100000000000001E-4</v>
      </c>
      <c r="K45" s="10">
        <v>0</v>
      </c>
      <c r="L45" s="10">
        <v>0</v>
      </c>
      <c r="M45" s="10">
        <v>0.10917485</v>
      </c>
      <c r="N45" s="10">
        <v>0</v>
      </c>
      <c r="O45" s="10">
        <v>0</v>
      </c>
      <c r="P45" s="10">
        <v>4</v>
      </c>
      <c r="Q45" s="10">
        <v>0</v>
      </c>
      <c r="R45" s="10">
        <v>0</v>
      </c>
      <c r="S45" s="12">
        <v>4.4999999999999998E-2</v>
      </c>
      <c r="T45" s="10">
        <v>0</v>
      </c>
    </row>
    <row r="46" spans="1:20" x14ac:dyDescent="0.2">
      <c r="A46" s="10" t="s">
        <v>184</v>
      </c>
      <c r="B46" s="10" t="s">
        <v>243</v>
      </c>
      <c r="C46" s="10" t="s">
        <v>2559</v>
      </c>
      <c r="D46" s="10">
        <v>3</v>
      </c>
      <c r="E46" s="10" t="s">
        <v>283</v>
      </c>
      <c r="F46" s="10">
        <v>6</v>
      </c>
      <c r="G46" s="10">
        <v>3</v>
      </c>
      <c r="H46" s="10">
        <v>3</v>
      </c>
      <c r="I46" s="11">
        <v>5.6800000000000004E-4</v>
      </c>
      <c r="J46" s="11">
        <v>3.86E-4</v>
      </c>
      <c r="K46" s="11">
        <v>2.7099999999999997E-4</v>
      </c>
      <c r="L46" s="10">
        <v>0.27938128000000001</v>
      </c>
      <c r="M46" s="10">
        <v>0.11429453000000001</v>
      </c>
      <c r="N46" s="10">
        <v>0.11429453000000001</v>
      </c>
      <c r="O46" s="10">
        <v>10</v>
      </c>
      <c r="P46" s="10">
        <v>5</v>
      </c>
      <c r="Q46" s="10">
        <v>6</v>
      </c>
      <c r="R46" s="12">
        <v>0.107</v>
      </c>
      <c r="S46" s="12">
        <v>4.7E-2</v>
      </c>
      <c r="T46" s="12">
        <v>4.7E-2</v>
      </c>
    </row>
    <row r="47" spans="1:20" x14ac:dyDescent="0.2">
      <c r="A47" s="10" t="s">
        <v>187</v>
      </c>
      <c r="B47" s="10" t="s">
        <v>243</v>
      </c>
      <c r="C47" s="10" t="s">
        <v>2559</v>
      </c>
      <c r="D47" s="10">
        <v>3</v>
      </c>
      <c r="E47" s="10" t="s">
        <v>283</v>
      </c>
      <c r="F47" s="10">
        <v>6</v>
      </c>
      <c r="G47" s="10">
        <v>3</v>
      </c>
      <c r="H47" s="10">
        <v>3</v>
      </c>
      <c r="I47" s="11">
        <v>5.6800000000000004E-4</v>
      </c>
      <c r="J47" s="11">
        <v>3.86E-4</v>
      </c>
      <c r="K47" s="11">
        <v>2.7099999999999997E-4</v>
      </c>
      <c r="L47" s="10">
        <v>0.27938128000000001</v>
      </c>
      <c r="M47" s="10">
        <v>0.11429453000000001</v>
      </c>
      <c r="N47" s="10">
        <v>0.11429453000000001</v>
      </c>
      <c r="O47" s="10">
        <v>10</v>
      </c>
      <c r="P47" s="10">
        <v>5</v>
      </c>
      <c r="Q47" s="10">
        <v>6</v>
      </c>
      <c r="R47" s="12">
        <v>0.107</v>
      </c>
      <c r="S47" s="12">
        <v>4.7E-2</v>
      </c>
      <c r="T47" s="12">
        <v>4.7E-2</v>
      </c>
    </row>
    <row r="48" spans="1:20" x14ac:dyDescent="0.2">
      <c r="A48" s="10" t="s">
        <v>185</v>
      </c>
      <c r="B48" s="10" t="s">
        <v>244</v>
      </c>
      <c r="C48" s="10" t="s">
        <v>2559</v>
      </c>
      <c r="D48" s="10">
        <v>3</v>
      </c>
      <c r="E48" s="10" t="s">
        <v>283</v>
      </c>
      <c r="F48" s="10">
        <v>6</v>
      </c>
      <c r="G48" s="10">
        <v>3</v>
      </c>
      <c r="H48" s="10">
        <v>3</v>
      </c>
      <c r="I48" s="11">
        <v>6.2500000000000001E-4</v>
      </c>
      <c r="J48" s="11">
        <v>3.86E-4</v>
      </c>
      <c r="K48" s="11">
        <v>2.7099999999999997E-4</v>
      </c>
      <c r="L48" s="10">
        <v>0.27938128000000001</v>
      </c>
      <c r="M48" s="10">
        <v>0.11429453000000001</v>
      </c>
      <c r="N48" s="10">
        <v>0.11429453000000001</v>
      </c>
      <c r="O48" s="10">
        <v>11</v>
      </c>
      <c r="P48" s="10">
        <v>5</v>
      </c>
      <c r="Q48" s="10">
        <v>6</v>
      </c>
      <c r="R48" s="12">
        <v>0.107</v>
      </c>
      <c r="S48" s="12">
        <v>4.7E-2</v>
      </c>
      <c r="T48" s="12">
        <v>4.7E-2</v>
      </c>
    </row>
    <row r="49" spans="1:20" x14ac:dyDescent="0.2">
      <c r="A49" s="10" t="s">
        <v>188</v>
      </c>
      <c r="B49" s="10" t="s">
        <v>246</v>
      </c>
      <c r="C49" s="10" t="s">
        <v>49</v>
      </c>
      <c r="D49" s="10">
        <v>3</v>
      </c>
      <c r="E49" s="10" t="s">
        <v>283</v>
      </c>
      <c r="F49" s="10">
        <v>5</v>
      </c>
      <c r="G49" s="10">
        <v>2</v>
      </c>
      <c r="H49" s="10">
        <v>2</v>
      </c>
      <c r="I49" s="11">
        <v>1.9599999999999999E-4</v>
      </c>
      <c r="J49" s="11">
        <v>6.6500000000000004E-5</v>
      </c>
      <c r="K49" s="11">
        <v>3.8899999999999997E-5</v>
      </c>
      <c r="L49" s="10">
        <v>0.21618604999999999</v>
      </c>
      <c r="M49" s="10">
        <v>7.3989390000000002E-2</v>
      </c>
      <c r="N49" s="10">
        <v>7.3989390000000002E-2</v>
      </c>
      <c r="O49" s="10">
        <v>8</v>
      </c>
      <c r="P49" s="10">
        <v>2</v>
      </c>
      <c r="Q49" s="10">
        <v>2</v>
      </c>
      <c r="R49" s="12">
        <v>8.5000000000000006E-2</v>
      </c>
      <c r="S49" s="12">
        <v>3.1E-2</v>
      </c>
      <c r="T49" s="12">
        <v>3.1E-2</v>
      </c>
    </row>
    <row r="50" spans="1:20" x14ac:dyDescent="0.2">
      <c r="A50" s="10" t="s">
        <v>100</v>
      </c>
      <c r="B50" s="10" t="s">
        <v>108</v>
      </c>
      <c r="C50" s="10" t="s">
        <v>109</v>
      </c>
      <c r="D50" s="10">
        <v>2</v>
      </c>
      <c r="E50" s="10" t="s">
        <v>116</v>
      </c>
      <c r="F50" s="10">
        <v>0</v>
      </c>
      <c r="G50" s="10">
        <v>4</v>
      </c>
      <c r="H50" s="10">
        <v>2</v>
      </c>
      <c r="I50" s="10">
        <v>0</v>
      </c>
      <c r="J50" s="10">
        <v>1.10662E-3</v>
      </c>
      <c r="K50" s="11">
        <v>3.2400000000000001E-4</v>
      </c>
      <c r="L50" s="10">
        <v>0</v>
      </c>
      <c r="M50" s="10">
        <v>0.82810019999999995</v>
      </c>
      <c r="N50" s="10">
        <v>0.82810019999999995</v>
      </c>
      <c r="O50" s="10">
        <v>0</v>
      </c>
      <c r="P50" s="10">
        <v>4</v>
      </c>
      <c r="Q50" s="10">
        <v>2</v>
      </c>
      <c r="R50" s="10">
        <v>0</v>
      </c>
      <c r="S50" s="12">
        <v>0.26200000000000001</v>
      </c>
      <c r="T50" s="12">
        <v>0.26200000000000001</v>
      </c>
    </row>
    <row r="51" spans="1:20" x14ac:dyDescent="0.2">
      <c r="A51" s="10" t="s">
        <v>5</v>
      </c>
      <c r="B51" s="10" t="s">
        <v>29</v>
      </c>
      <c r="C51" s="10" t="s">
        <v>49</v>
      </c>
      <c r="D51" s="10">
        <v>1</v>
      </c>
      <c r="E51" s="10" t="s">
        <v>61</v>
      </c>
      <c r="F51" s="10">
        <v>0</v>
      </c>
      <c r="G51" s="10">
        <v>0</v>
      </c>
      <c r="H51" s="10">
        <v>2</v>
      </c>
      <c r="I51" s="10">
        <v>0</v>
      </c>
      <c r="J51" s="10">
        <v>0</v>
      </c>
      <c r="K51" s="11">
        <v>2.3900000000000001E-4</v>
      </c>
      <c r="L51" s="10">
        <v>0</v>
      </c>
      <c r="M51" s="10">
        <v>0</v>
      </c>
      <c r="N51" s="10">
        <v>0.60324540000000004</v>
      </c>
      <c r="O51" s="10">
        <v>0</v>
      </c>
      <c r="P51" s="10">
        <v>0</v>
      </c>
      <c r="Q51" s="10">
        <v>3</v>
      </c>
      <c r="R51" s="10">
        <v>0</v>
      </c>
      <c r="S51" s="10">
        <v>0</v>
      </c>
      <c r="T51" s="12">
        <v>0.20499999999999999</v>
      </c>
    </row>
    <row r="52" spans="1:20" x14ac:dyDescent="0.2">
      <c r="A52" s="10" t="s">
        <v>63</v>
      </c>
      <c r="B52" s="10" t="s">
        <v>79</v>
      </c>
      <c r="C52" s="10" t="s">
        <v>50</v>
      </c>
      <c r="D52" s="10">
        <v>1</v>
      </c>
      <c r="E52" s="10" t="s">
        <v>97</v>
      </c>
      <c r="F52" s="10">
        <v>0</v>
      </c>
      <c r="G52" s="10">
        <v>2</v>
      </c>
      <c r="H52" s="10">
        <v>0</v>
      </c>
      <c r="I52" s="10">
        <v>0</v>
      </c>
      <c r="J52" s="11">
        <v>7.7999999999999999E-5</v>
      </c>
      <c r="K52" s="10">
        <v>0</v>
      </c>
      <c r="L52" s="10">
        <v>0</v>
      </c>
      <c r="M52" s="10">
        <v>0.10407864999999999</v>
      </c>
      <c r="N52" s="10">
        <v>0</v>
      </c>
      <c r="O52" s="10">
        <v>0</v>
      </c>
      <c r="P52" s="10">
        <v>2</v>
      </c>
      <c r="Q52" s="10">
        <v>0</v>
      </c>
      <c r="R52" s="10">
        <v>0</v>
      </c>
      <c r="S52" s="12">
        <v>4.2999999999999997E-2</v>
      </c>
      <c r="T52" s="10">
        <v>0</v>
      </c>
    </row>
    <row r="53" spans="1:20" x14ac:dyDescent="0.2">
      <c r="A53" s="10" t="s">
        <v>224</v>
      </c>
      <c r="B53" s="10" t="s">
        <v>266</v>
      </c>
      <c r="C53" s="10" t="s">
        <v>50</v>
      </c>
      <c r="D53" s="10">
        <v>3</v>
      </c>
      <c r="E53" s="10" t="s">
        <v>283</v>
      </c>
      <c r="F53" s="10">
        <v>10</v>
      </c>
      <c r="G53" s="10">
        <v>4</v>
      </c>
      <c r="H53" s="10">
        <v>3</v>
      </c>
      <c r="I53" s="11">
        <v>8.3799999999999999E-4</v>
      </c>
      <c r="J53" s="11">
        <v>3.0400000000000002E-4</v>
      </c>
      <c r="K53" s="11">
        <v>1.3300000000000001E-4</v>
      </c>
      <c r="L53" s="10">
        <v>0.35207260000000001</v>
      </c>
      <c r="M53" s="10">
        <v>0.14024972999999999</v>
      </c>
      <c r="N53" s="10">
        <v>7.1519260000000001E-2</v>
      </c>
      <c r="O53" s="10">
        <v>30</v>
      </c>
      <c r="P53" s="10">
        <v>8</v>
      </c>
      <c r="Q53" s="10">
        <v>6</v>
      </c>
      <c r="R53" s="12">
        <v>0.13100000000000001</v>
      </c>
      <c r="S53" s="12">
        <v>5.7000000000000002E-2</v>
      </c>
      <c r="T53" s="12">
        <v>0.03</v>
      </c>
    </row>
    <row r="54" spans="1:20" x14ac:dyDescent="0.2">
      <c r="A54" s="10" t="s">
        <v>227</v>
      </c>
      <c r="B54" s="10" t="s">
        <v>269</v>
      </c>
      <c r="C54" s="10" t="s">
        <v>50</v>
      </c>
      <c r="D54" s="10">
        <v>3</v>
      </c>
      <c r="E54" s="10" t="s">
        <v>283</v>
      </c>
      <c r="F54" s="10">
        <v>60</v>
      </c>
      <c r="G54" s="10">
        <v>8</v>
      </c>
      <c r="H54" s="10">
        <v>6</v>
      </c>
      <c r="I54" s="10">
        <v>3.5265800000000001E-3</v>
      </c>
      <c r="J54" s="11">
        <v>5.4299999999999997E-4</v>
      </c>
      <c r="K54" s="11">
        <v>2.81E-4</v>
      </c>
      <c r="L54" s="10">
        <v>2.8282474999999998</v>
      </c>
      <c r="M54" s="10">
        <v>0.28824949999999999</v>
      </c>
      <c r="N54" s="10">
        <v>0.12979590999999999</v>
      </c>
      <c r="O54" s="10">
        <v>150</v>
      </c>
      <c r="P54" s="10">
        <v>17</v>
      </c>
      <c r="Q54" s="10">
        <v>15</v>
      </c>
      <c r="R54" s="12">
        <v>0.58299999999999996</v>
      </c>
      <c r="S54" s="12">
        <v>0.11</v>
      </c>
      <c r="T54" s="12">
        <v>5.2999999999999999E-2</v>
      </c>
    </row>
    <row r="55" spans="1:20" x14ac:dyDescent="0.2">
      <c r="A55" s="10" t="s">
        <v>225</v>
      </c>
      <c r="B55" s="10" t="s">
        <v>267</v>
      </c>
      <c r="C55" s="10" t="s">
        <v>50</v>
      </c>
      <c r="D55" s="10">
        <v>3</v>
      </c>
      <c r="E55" s="10" t="s">
        <v>283</v>
      </c>
      <c r="F55" s="10">
        <v>27</v>
      </c>
      <c r="G55" s="10">
        <v>3</v>
      </c>
      <c r="H55" s="10">
        <v>3</v>
      </c>
      <c r="I55" s="10">
        <v>2.7344700000000001E-3</v>
      </c>
      <c r="J55" s="11">
        <v>4.8500000000000003E-4</v>
      </c>
      <c r="K55" s="11">
        <v>1.8900000000000001E-4</v>
      </c>
      <c r="L55" s="10">
        <v>1.4322037999999999</v>
      </c>
      <c r="M55" s="10">
        <v>0.10917485</v>
      </c>
      <c r="N55" s="10">
        <v>0.10917485</v>
      </c>
      <c r="O55" s="10">
        <v>69</v>
      </c>
      <c r="P55" s="10">
        <v>9</v>
      </c>
      <c r="Q55" s="10">
        <v>6</v>
      </c>
      <c r="R55" s="12">
        <v>0.38600000000000001</v>
      </c>
      <c r="S55" s="12">
        <v>4.4999999999999998E-2</v>
      </c>
      <c r="T55" s="12">
        <v>4.4999999999999998E-2</v>
      </c>
    </row>
    <row r="56" spans="1:20" x14ac:dyDescent="0.2">
      <c r="A56" s="10" t="s">
        <v>71</v>
      </c>
      <c r="B56" s="10" t="s">
        <v>87</v>
      </c>
      <c r="C56" s="10" t="s">
        <v>50</v>
      </c>
      <c r="D56" s="10">
        <v>1</v>
      </c>
      <c r="E56" s="10" t="s">
        <v>97</v>
      </c>
      <c r="F56" s="10">
        <v>0</v>
      </c>
      <c r="G56" s="10">
        <v>2</v>
      </c>
      <c r="H56" s="10">
        <v>0</v>
      </c>
      <c r="I56" s="10">
        <v>0</v>
      </c>
      <c r="J56" s="11">
        <v>4.8000000000000001E-4</v>
      </c>
      <c r="K56" s="10">
        <v>0</v>
      </c>
      <c r="L56" s="10">
        <v>0</v>
      </c>
      <c r="M56" s="10">
        <v>0.73780084000000001</v>
      </c>
      <c r="N56" s="10">
        <v>0</v>
      </c>
      <c r="O56" s="10">
        <v>0</v>
      </c>
      <c r="P56" s="10">
        <v>2</v>
      </c>
      <c r="Q56" s="10">
        <v>0</v>
      </c>
      <c r="R56" s="10">
        <v>0</v>
      </c>
      <c r="S56" s="12">
        <v>0.24</v>
      </c>
      <c r="T56" s="10">
        <v>0</v>
      </c>
    </row>
    <row r="57" spans="1:20" x14ac:dyDescent="0.2">
      <c r="A57" s="10" t="s">
        <v>70</v>
      </c>
      <c r="B57" s="10" t="s">
        <v>86</v>
      </c>
      <c r="C57" s="10" t="s">
        <v>50</v>
      </c>
      <c r="D57" s="10">
        <v>1</v>
      </c>
      <c r="E57" s="10" t="s">
        <v>97</v>
      </c>
      <c r="F57" s="10">
        <v>0</v>
      </c>
      <c r="G57" s="10">
        <v>2</v>
      </c>
      <c r="H57" s="10">
        <v>0</v>
      </c>
      <c r="I57" s="10">
        <v>0</v>
      </c>
      <c r="J57" s="11">
        <v>5.8E-5</v>
      </c>
      <c r="K57" s="10">
        <v>0</v>
      </c>
      <c r="L57" s="10">
        <v>0</v>
      </c>
      <c r="M57" s="10">
        <v>5.438685E-2</v>
      </c>
      <c r="N57" s="10">
        <v>0</v>
      </c>
      <c r="O57" s="10">
        <v>0</v>
      </c>
      <c r="P57" s="10">
        <v>2</v>
      </c>
      <c r="Q57" s="10">
        <v>0</v>
      </c>
      <c r="R57" s="10">
        <v>0</v>
      </c>
      <c r="S57" s="12">
        <v>2.3E-2</v>
      </c>
      <c r="T57" s="10">
        <v>0</v>
      </c>
    </row>
    <row r="58" spans="1:20" x14ac:dyDescent="0.2">
      <c r="A58" s="10" t="s">
        <v>105</v>
      </c>
      <c r="B58" s="10" t="s">
        <v>115</v>
      </c>
      <c r="C58" s="10" t="s">
        <v>50</v>
      </c>
      <c r="D58" s="10">
        <v>2</v>
      </c>
      <c r="E58" s="10" t="s">
        <v>116</v>
      </c>
      <c r="F58" s="10">
        <v>0</v>
      </c>
      <c r="G58" s="10">
        <v>2</v>
      </c>
      <c r="H58" s="10">
        <v>2</v>
      </c>
      <c r="I58" s="10">
        <v>0</v>
      </c>
      <c r="J58" s="11">
        <v>1.1E-4</v>
      </c>
      <c r="K58" s="11">
        <v>6.4599999999999998E-5</v>
      </c>
      <c r="L58" s="10">
        <v>0</v>
      </c>
      <c r="M58" s="10">
        <v>8.8930129999999996E-2</v>
      </c>
      <c r="N58" s="10">
        <v>8.8930129999999996E-2</v>
      </c>
      <c r="O58" s="10">
        <v>0</v>
      </c>
      <c r="P58" s="10">
        <v>2</v>
      </c>
      <c r="Q58" s="10">
        <v>2</v>
      </c>
      <c r="R58" s="10">
        <v>0</v>
      </c>
      <c r="S58" s="12">
        <v>3.6999999999999998E-2</v>
      </c>
      <c r="T58" s="12">
        <v>3.6999999999999998E-2</v>
      </c>
    </row>
    <row r="59" spans="1:20" x14ac:dyDescent="0.2">
      <c r="A59" s="10" t="s">
        <v>8</v>
      </c>
      <c r="B59" s="10" t="s">
        <v>31</v>
      </c>
      <c r="C59" s="10" t="s">
        <v>50</v>
      </c>
      <c r="D59" s="10">
        <v>1</v>
      </c>
      <c r="E59" s="10" t="s">
        <v>61</v>
      </c>
      <c r="F59" s="10">
        <v>0</v>
      </c>
      <c r="G59" s="10">
        <v>0</v>
      </c>
      <c r="H59" s="10">
        <v>3</v>
      </c>
      <c r="I59" s="10">
        <v>0</v>
      </c>
      <c r="J59" s="10">
        <v>0</v>
      </c>
      <c r="K59" s="11">
        <v>8.0199999999999998E-5</v>
      </c>
      <c r="L59" s="10">
        <v>0</v>
      </c>
      <c r="M59" s="10">
        <v>0</v>
      </c>
      <c r="N59" s="10">
        <v>0.17760598999999999</v>
      </c>
      <c r="O59" s="10">
        <v>0</v>
      </c>
      <c r="P59" s="10">
        <v>0</v>
      </c>
      <c r="Q59" s="10">
        <v>3</v>
      </c>
      <c r="R59" s="10">
        <v>0</v>
      </c>
      <c r="S59" s="10">
        <v>0</v>
      </c>
      <c r="T59" s="12">
        <v>7.0999999999999994E-2</v>
      </c>
    </row>
    <row r="60" spans="1:20" x14ac:dyDescent="0.2">
      <c r="A60" s="10" t="s">
        <v>6</v>
      </c>
      <c r="B60" s="10" t="s">
        <v>30</v>
      </c>
      <c r="C60" s="10" t="s">
        <v>50</v>
      </c>
      <c r="D60" s="10">
        <v>1</v>
      </c>
      <c r="E60" s="10" t="s">
        <v>61</v>
      </c>
      <c r="F60" s="10">
        <v>0</v>
      </c>
      <c r="G60" s="10">
        <v>0</v>
      </c>
      <c r="H60" s="10">
        <v>2</v>
      </c>
      <c r="I60" s="10">
        <v>0</v>
      </c>
      <c r="J60" s="10">
        <v>0</v>
      </c>
      <c r="K60" s="11">
        <v>3.1600000000000002E-5</v>
      </c>
      <c r="L60" s="10">
        <v>0</v>
      </c>
      <c r="M60" s="10">
        <v>0</v>
      </c>
      <c r="N60" s="10">
        <v>2.8016329999999999E-2</v>
      </c>
      <c r="O60" s="10">
        <v>0</v>
      </c>
      <c r="P60" s="10">
        <v>0</v>
      </c>
      <c r="Q60" s="10">
        <v>2</v>
      </c>
      <c r="R60" s="10">
        <v>0</v>
      </c>
      <c r="S60" s="10">
        <v>0</v>
      </c>
      <c r="T60" s="12">
        <v>1.2E-2</v>
      </c>
    </row>
    <row r="61" spans="1:20" x14ac:dyDescent="0.2">
      <c r="A61" s="10" t="s">
        <v>7</v>
      </c>
      <c r="B61" s="10" t="s">
        <v>30</v>
      </c>
      <c r="C61" s="10" t="s">
        <v>50</v>
      </c>
      <c r="D61" s="10">
        <v>1</v>
      </c>
      <c r="E61" s="10" t="s">
        <v>61</v>
      </c>
      <c r="F61" s="10">
        <v>0</v>
      </c>
      <c r="G61" s="10">
        <v>0</v>
      </c>
      <c r="H61" s="10">
        <v>2</v>
      </c>
      <c r="I61" s="10">
        <v>0</v>
      </c>
      <c r="J61" s="10">
        <v>0</v>
      </c>
      <c r="K61" s="11">
        <v>2.73E-5</v>
      </c>
      <c r="L61" s="10">
        <v>0</v>
      </c>
      <c r="M61" s="10">
        <v>0</v>
      </c>
      <c r="N61" s="10">
        <v>2.3293020000000001E-2</v>
      </c>
      <c r="O61" s="10">
        <v>0</v>
      </c>
      <c r="P61" s="10">
        <v>0</v>
      </c>
      <c r="Q61" s="10">
        <v>2</v>
      </c>
      <c r="R61" s="10">
        <v>0</v>
      </c>
      <c r="S61" s="10">
        <v>0</v>
      </c>
      <c r="T61" s="12">
        <v>0.01</v>
      </c>
    </row>
    <row r="62" spans="1:20" x14ac:dyDescent="0.2">
      <c r="A62" s="10" t="s">
        <v>226</v>
      </c>
      <c r="B62" s="10" t="s">
        <v>268</v>
      </c>
      <c r="C62" s="10" t="s">
        <v>50</v>
      </c>
      <c r="D62" s="10">
        <v>3</v>
      </c>
      <c r="E62" s="10" t="s">
        <v>283</v>
      </c>
      <c r="F62" s="10">
        <v>21</v>
      </c>
      <c r="G62" s="10">
        <v>3</v>
      </c>
      <c r="H62" s="10">
        <v>3</v>
      </c>
      <c r="I62" s="10">
        <v>1.9291899999999999E-3</v>
      </c>
      <c r="J62" s="11">
        <v>2.1800000000000001E-4</v>
      </c>
      <c r="K62" s="11">
        <v>2.5599999999999999E-4</v>
      </c>
      <c r="L62" s="10">
        <v>2.0619632999999999</v>
      </c>
      <c r="M62" s="10">
        <v>0.15080035</v>
      </c>
      <c r="N62" s="10">
        <v>0.15080035</v>
      </c>
      <c r="O62" s="10">
        <v>36</v>
      </c>
      <c r="P62" s="10">
        <v>3</v>
      </c>
      <c r="Q62" s="10">
        <v>6</v>
      </c>
      <c r="R62" s="12">
        <v>0.48599999999999999</v>
      </c>
      <c r="S62" s="12">
        <v>6.0999999999999999E-2</v>
      </c>
      <c r="T62" s="12">
        <v>6.0999999999999999E-2</v>
      </c>
    </row>
    <row r="63" spans="1:20" x14ac:dyDescent="0.2">
      <c r="A63" s="10" t="s">
        <v>13</v>
      </c>
      <c r="B63" s="10" t="s">
        <v>36</v>
      </c>
      <c r="C63" s="10" t="s">
        <v>2553</v>
      </c>
      <c r="D63" s="10">
        <v>1</v>
      </c>
      <c r="E63" s="10" t="s">
        <v>61</v>
      </c>
      <c r="F63" s="10">
        <v>0</v>
      </c>
      <c r="G63" s="10">
        <v>0</v>
      </c>
      <c r="H63" s="10">
        <v>3</v>
      </c>
      <c r="I63" s="10">
        <v>0</v>
      </c>
      <c r="J63" s="10">
        <v>0</v>
      </c>
      <c r="K63" s="11">
        <v>2.19E-5</v>
      </c>
      <c r="L63" s="10">
        <v>0</v>
      </c>
      <c r="M63" s="10">
        <v>0</v>
      </c>
      <c r="N63" s="10">
        <v>4.4720169999999997E-2</v>
      </c>
      <c r="O63" s="10">
        <v>0</v>
      </c>
      <c r="P63" s="10">
        <v>0</v>
      </c>
      <c r="Q63" s="10">
        <v>3</v>
      </c>
      <c r="R63" s="10">
        <v>0</v>
      </c>
      <c r="S63" s="10">
        <v>0</v>
      </c>
      <c r="T63" s="12">
        <v>1.9E-2</v>
      </c>
    </row>
    <row r="64" spans="1:20" x14ac:dyDescent="0.2">
      <c r="A64" s="10" t="s">
        <v>121</v>
      </c>
      <c r="B64" s="10" t="s">
        <v>129</v>
      </c>
      <c r="C64" s="10" t="s">
        <v>128</v>
      </c>
      <c r="D64" s="10">
        <v>2</v>
      </c>
      <c r="E64" s="10" t="s">
        <v>131</v>
      </c>
      <c r="F64" s="10">
        <v>12</v>
      </c>
      <c r="G64" s="10">
        <v>0</v>
      </c>
      <c r="H64" s="10">
        <v>5</v>
      </c>
      <c r="I64" s="10">
        <v>2.76238E-3</v>
      </c>
      <c r="J64" s="10">
        <v>0</v>
      </c>
      <c r="K64" s="11">
        <v>4.5800000000000002E-4</v>
      </c>
      <c r="L64" s="10">
        <v>2.1332857999999999</v>
      </c>
      <c r="M64" s="10">
        <v>0</v>
      </c>
      <c r="N64" s="10">
        <v>0.78648759999999995</v>
      </c>
      <c r="O64" s="10">
        <v>24</v>
      </c>
      <c r="P64" s="10">
        <v>0</v>
      </c>
      <c r="Q64" s="10">
        <v>5</v>
      </c>
      <c r="R64" s="12">
        <v>0.496</v>
      </c>
      <c r="S64" s="10">
        <v>0</v>
      </c>
      <c r="T64" s="12">
        <v>0.252</v>
      </c>
    </row>
    <row r="65" spans="1:20" x14ac:dyDescent="0.2">
      <c r="A65" s="10" t="s">
        <v>120</v>
      </c>
      <c r="B65" s="10" t="s">
        <v>127</v>
      </c>
      <c r="C65" s="10" t="s">
        <v>128</v>
      </c>
      <c r="D65" s="10">
        <v>2</v>
      </c>
      <c r="E65" s="10" t="s">
        <v>131</v>
      </c>
      <c r="F65" s="10">
        <v>5</v>
      </c>
      <c r="G65" s="10">
        <v>0</v>
      </c>
      <c r="H65" s="10">
        <v>3</v>
      </c>
      <c r="I65" s="10">
        <v>1.49019E-3</v>
      </c>
      <c r="J65" s="10">
        <v>0</v>
      </c>
      <c r="K65" s="11">
        <v>2.7900000000000001E-4</v>
      </c>
      <c r="L65" s="10">
        <v>1.3823194999999999</v>
      </c>
      <c r="M65" s="10">
        <v>0</v>
      </c>
      <c r="N65" s="10">
        <v>0.48593570000000003</v>
      </c>
      <c r="O65" s="10">
        <v>17</v>
      </c>
      <c r="P65" s="10">
        <v>0</v>
      </c>
      <c r="Q65" s="10">
        <v>4</v>
      </c>
      <c r="R65" s="12">
        <v>0.377</v>
      </c>
      <c r="S65" s="10">
        <v>0</v>
      </c>
      <c r="T65" s="12">
        <v>0.17199999999999999</v>
      </c>
    </row>
    <row r="66" spans="1:20" x14ac:dyDescent="0.2">
      <c r="A66" s="10" t="s">
        <v>155</v>
      </c>
      <c r="B66" s="10" t="s">
        <v>25</v>
      </c>
      <c r="C66" s="10" t="s">
        <v>172</v>
      </c>
      <c r="D66" s="10">
        <v>2</v>
      </c>
      <c r="E66" s="10" t="s">
        <v>181</v>
      </c>
      <c r="F66" s="10">
        <v>3</v>
      </c>
      <c r="G66" s="10">
        <v>3</v>
      </c>
      <c r="H66" s="10">
        <v>0</v>
      </c>
      <c r="I66" s="10">
        <v>2.0800100000000002E-3</v>
      </c>
      <c r="J66" s="11">
        <v>7.7099999999999998E-4</v>
      </c>
      <c r="K66" s="10">
        <v>0</v>
      </c>
      <c r="L66" s="10">
        <v>0.43548942000000002</v>
      </c>
      <c r="M66" s="10">
        <v>0.43548942000000002</v>
      </c>
      <c r="N66" s="10">
        <v>0</v>
      </c>
      <c r="O66" s="10">
        <v>11</v>
      </c>
      <c r="P66" s="10">
        <v>3</v>
      </c>
      <c r="Q66" s="10">
        <v>0</v>
      </c>
      <c r="R66" s="12">
        <v>0.157</v>
      </c>
      <c r="S66" s="12">
        <v>0.157</v>
      </c>
      <c r="T66" s="10">
        <v>0</v>
      </c>
    </row>
    <row r="67" spans="1:20" x14ac:dyDescent="0.2">
      <c r="A67" s="10" t="s">
        <v>153</v>
      </c>
      <c r="B67" s="10" t="s">
        <v>171</v>
      </c>
      <c r="C67" s="10" t="s">
        <v>172</v>
      </c>
      <c r="D67" s="10">
        <v>2</v>
      </c>
      <c r="E67" s="10" t="s">
        <v>181</v>
      </c>
      <c r="F67" s="10">
        <v>6</v>
      </c>
      <c r="G67" s="10">
        <v>3</v>
      </c>
      <c r="H67" s="10">
        <v>0</v>
      </c>
      <c r="I67" s="10">
        <v>2.0681900000000001E-3</v>
      </c>
      <c r="J67" s="11">
        <v>5.62E-4</v>
      </c>
      <c r="K67" s="10">
        <v>0</v>
      </c>
      <c r="L67" s="10">
        <v>0.57761119999999999</v>
      </c>
      <c r="M67" s="10">
        <v>0.57761119999999999</v>
      </c>
      <c r="N67" s="10">
        <v>0</v>
      </c>
      <c r="O67" s="10">
        <v>15</v>
      </c>
      <c r="P67" s="10">
        <v>3</v>
      </c>
      <c r="Q67" s="10">
        <v>0</v>
      </c>
      <c r="R67" s="12">
        <v>0.19800000000000001</v>
      </c>
      <c r="S67" s="12">
        <v>0.19800000000000001</v>
      </c>
      <c r="T67" s="10">
        <v>0</v>
      </c>
    </row>
    <row r="68" spans="1:20" x14ac:dyDescent="0.2">
      <c r="A68" s="10" t="s">
        <v>157</v>
      </c>
      <c r="B68" s="10" t="s">
        <v>173</v>
      </c>
      <c r="C68" s="10" t="s">
        <v>172</v>
      </c>
      <c r="D68" s="10">
        <v>2</v>
      </c>
      <c r="E68" s="10" t="s">
        <v>181</v>
      </c>
      <c r="F68" s="10">
        <v>6</v>
      </c>
      <c r="G68" s="10">
        <v>3</v>
      </c>
      <c r="H68" s="10">
        <v>0</v>
      </c>
      <c r="I68" s="10">
        <v>4.6607100000000002E-3</v>
      </c>
      <c r="J68" s="11">
        <v>7.6000000000000004E-4</v>
      </c>
      <c r="K68" s="10">
        <v>0</v>
      </c>
      <c r="L68" s="10">
        <v>0.97696959999999999</v>
      </c>
      <c r="M68" s="10">
        <v>0.42889391999999998</v>
      </c>
      <c r="N68" s="10">
        <v>0</v>
      </c>
      <c r="O68" s="10">
        <v>25</v>
      </c>
      <c r="P68" s="10">
        <v>3</v>
      </c>
      <c r="Q68" s="10">
        <v>0</v>
      </c>
      <c r="R68" s="12">
        <v>0.29599999999999999</v>
      </c>
      <c r="S68" s="12">
        <v>0.155</v>
      </c>
      <c r="T68" s="10">
        <v>0</v>
      </c>
    </row>
    <row r="69" spans="1:20" x14ac:dyDescent="0.2">
      <c r="A69" s="10" t="s">
        <v>154</v>
      </c>
      <c r="B69" s="10" t="s">
        <v>84</v>
      </c>
      <c r="C69" s="10" t="s">
        <v>172</v>
      </c>
      <c r="D69" s="10">
        <v>2</v>
      </c>
      <c r="E69" s="10" t="s">
        <v>181</v>
      </c>
      <c r="F69" s="10">
        <v>5</v>
      </c>
      <c r="G69" s="10">
        <v>2</v>
      </c>
      <c r="H69" s="10">
        <v>0</v>
      </c>
      <c r="I69" s="11">
        <v>4.86E-4</v>
      </c>
      <c r="J69" s="11">
        <v>1.65E-4</v>
      </c>
      <c r="K69" s="10">
        <v>0</v>
      </c>
      <c r="L69" s="10">
        <v>0.30316674999999998</v>
      </c>
      <c r="M69" s="10">
        <v>0.13501083999999999</v>
      </c>
      <c r="N69" s="10">
        <v>0</v>
      </c>
      <c r="O69" s="10">
        <v>8</v>
      </c>
      <c r="P69" s="10">
        <v>2</v>
      </c>
      <c r="Q69" s="10">
        <v>0</v>
      </c>
      <c r="R69" s="12">
        <v>0.115</v>
      </c>
      <c r="S69" s="12">
        <v>5.5E-2</v>
      </c>
      <c r="T69" s="10">
        <v>0</v>
      </c>
    </row>
    <row r="70" spans="1:20" x14ac:dyDescent="0.2">
      <c r="A70" s="10" t="s">
        <v>156</v>
      </c>
      <c r="B70" s="10" t="s">
        <v>84</v>
      </c>
      <c r="C70" s="10" t="s">
        <v>172</v>
      </c>
      <c r="D70" s="10">
        <v>2</v>
      </c>
      <c r="E70" s="10" t="s">
        <v>181</v>
      </c>
      <c r="F70" s="10">
        <v>6</v>
      </c>
      <c r="G70" s="10">
        <v>3</v>
      </c>
      <c r="H70" s="10">
        <v>0</v>
      </c>
      <c r="I70" s="10">
        <v>4.5959800000000004E-3</v>
      </c>
      <c r="J70" s="11">
        <v>7.4899999999999999E-4</v>
      </c>
      <c r="K70" s="10">
        <v>0</v>
      </c>
      <c r="L70" s="10">
        <v>0.95884466000000002</v>
      </c>
      <c r="M70" s="10">
        <v>0.42232882999999999</v>
      </c>
      <c r="N70" s="10">
        <v>0</v>
      </c>
      <c r="O70" s="10">
        <v>25</v>
      </c>
      <c r="P70" s="10">
        <v>3</v>
      </c>
      <c r="Q70" s="10">
        <v>0</v>
      </c>
      <c r="R70" s="12">
        <v>0.29199999999999998</v>
      </c>
      <c r="S70" s="12">
        <v>0.153</v>
      </c>
      <c r="T70" s="10">
        <v>0</v>
      </c>
    </row>
    <row r="71" spans="1:20" x14ac:dyDescent="0.2">
      <c r="A71" s="10" t="s">
        <v>122</v>
      </c>
      <c r="B71" s="10" t="s">
        <v>84</v>
      </c>
      <c r="C71" s="10" t="s">
        <v>130</v>
      </c>
      <c r="D71" s="10">
        <v>2</v>
      </c>
      <c r="E71" s="10" t="s">
        <v>131</v>
      </c>
      <c r="F71" s="10">
        <v>5</v>
      </c>
      <c r="G71" s="10">
        <v>0</v>
      </c>
      <c r="H71" s="10">
        <v>3</v>
      </c>
      <c r="I71" s="10">
        <v>1.49019E-3</v>
      </c>
      <c r="J71" s="10">
        <v>0</v>
      </c>
      <c r="K71" s="11">
        <v>2.7900000000000001E-4</v>
      </c>
      <c r="L71" s="10">
        <v>1.3823194999999999</v>
      </c>
      <c r="M71" s="10">
        <v>0</v>
      </c>
      <c r="N71" s="10">
        <v>0.48593570000000003</v>
      </c>
      <c r="O71" s="10">
        <v>17</v>
      </c>
      <c r="P71" s="10">
        <v>0</v>
      </c>
      <c r="Q71" s="10">
        <v>4</v>
      </c>
      <c r="R71" s="12">
        <v>0.377</v>
      </c>
      <c r="S71" s="10">
        <v>0</v>
      </c>
      <c r="T71" s="12">
        <v>0.17199999999999999</v>
      </c>
    </row>
    <row r="72" spans="1:20" x14ac:dyDescent="0.2">
      <c r="A72" s="10" t="s">
        <v>161</v>
      </c>
      <c r="B72" s="10" t="s">
        <v>177</v>
      </c>
      <c r="C72" s="10" t="s">
        <v>93</v>
      </c>
      <c r="D72" s="10">
        <v>2</v>
      </c>
      <c r="E72" s="10" t="s">
        <v>181</v>
      </c>
      <c r="F72" s="10">
        <v>2</v>
      </c>
      <c r="G72" s="10">
        <v>3</v>
      </c>
      <c r="H72" s="10">
        <v>0</v>
      </c>
      <c r="I72" s="11">
        <v>1.8699999999999999E-4</v>
      </c>
      <c r="J72" s="11">
        <v>2.5399999999999999E-4</v>
      </c>
      <c r="K72" s="10">
        <v>0</v>
      </c>
      <c r="L72" s="10">
        <v>0.15080035</v>
      </c>
      <c r="M72" s="10">
        <v>0.31219995</v>
      </c>
      <c r="N72" s="10">
        <v>0</v>
      </c>
      <c r="O72" s="10">
        <v>3</v>
      </c>
      <c r="P72" s="10">
        <v>3</v>
      </c>
      <c r="Q72" s="10">
        <v>0</v>
      </c>
      <c r="R72" s="12">
        <v>6.0999999999999999E-2</v>
      </c>
      <c r="S72" s="12">
        <v>0.11799999999999999</v>
      </c>
      <c r="T72" s="10">
        <v>0</v>
      </c>
    </row>
    <row r="73" spans="1:20" x14ac:dyDescent="0.2">
      <c r="A73" s="10" t="s">
        <v>162</v>
      </c>
      <c r="B73" s="10" t="s">
        <v>178</v>
      </c>
      <c r="C73" s="10" t="s">
        <v>93</v>
      </c>
      <c r="D73" s="10">
        <v>2</v>
      </c>
      <c r="E73" s="10" t="s">
        <v>181</v>
      </c>
      <c r="F73" s="10">
        <v>6</v>
      </c>
      <c r="G73" s="10">
        <v>2</v>
      </c>
      <c r="H73" s="10">
        <v>0</v>
      </c>
      <c r="I73" s="11">
        <v>4.0999999999999999E-4</v>
      </c>
      <c r="J73" s="11">
        <v>5.8600000000000001E-5</v>
      </c>
      <c r="K73" s="10">
        <v>0</v>
      </c>
      <c r="L73" s="10">
        <v>8.6425660000000001E-2</v>
      </c>
      <c r="M73" s="10">
        <v>4.2317390000000003E-2</v>
      </c>
      <c r="N73" s="10">
        <v>0</v>
      </c>
      <c r="O73" s="10">
        <v>19</v>
      </c>
      <c r="P73" s="10">
        <v>2</v>
      </c>
      <c r="Q73" s="10">
        <v>0</v>
      </c>
      <c r="R73" s="12">
        <v>3.5999999999999997E-2</v>
      </c>
      <c r="S73" s="12">
        <v>1.7999999999999999E-2</v>
      </c>
      <c r="T73" s="10">
        <v>0</v>
      </c>
    </row>
    <row r="74" spans="1:20" x14ac:dyDescent="0.2">
      <c r="A74" s="10" t="s">
        <v>165</v>
      </c>
      <c r="B74" s="10" t="s">
        <v>178</v>
      </c>
      <c r="C74" s="10" t="s">
        <v>93</v>
      </c>
      <c r="D74" s="10">
        <v>2</v>
      </c>
      <c r="E74" s="10" t="s">
        <v>181</v>
      </c>
      <c r="F74" s="10">
        <v>5</v>
      </c>
      <c r="G74" s="10">
        <v>3</v>
      </c>
      <c r="H74" s="10">
        <v>0</v>
      </c>
      <c r="I74" s="11">
        <v>9.6400000000000001E-4</v>
      </c>
      <c r="J74" s="11">
        <v>3.57E-4</v>
      </c>
      <c r="K74" s="10">
        <v>0</v>
      </c>
      <c r="L74" s="10">
        <v>0.44211529999999999</v>
      </c>
      <c r="M74" s="10">
        <v>0.44211529999999999</v>
      </c>
      <c r="N74" s="10">
        <v>0</v>
      </c>
      <c r="O74" s="10">
        <v>11</v>
      </c>
      <c r="P74" s="10">
        <v>3</v>
      </c>
      <c r="Q74" s="10">
        <v>0</v>
      </c>
      <c r="R74" s="12">
        <v>0.159</v>
      </c>
      <c r="S74" s="12">
        <v>0.159</v>
      </c>
      <c r="T74" s="10">
        <v>0</v>
      </c>
    </row>
    <row r="75" spans="1:20" x14ac:dyDescent="0.2">
      <c r="A75" s="10" t="s">
        <v>163</v>
      </c>
      <c r="B75" s="10" t="s">
        <v>179</v>
      </c>
      <c r="C75" s="10" t="s">
        <v>93</v>
      </c>
      <c r="D75" s="10">
        <v>2</v>
      </c>
      <c r="E75" s="10" t="s">
        <v>181</v>
      </c>
      <c r="F75" s="10">
        <v>7</v>
      </c>
      <c r="G75" s="10">
        <v>3</v>
      </c>
      <c r="H75" s="10">
        <v>0</v>
      </c>
      <c r="I75" s="11">
        <v>2.9399999999999999E-4</v>
      </c>
      <c r="J75" s="11">
        <v>9.2100000000000003E-5</v>
      </c>
      <c r="K75" s="10">
        <v>0</v>
      </c>
      <c r="L75" s="10">
        <v>0.15080035</v>
      </c>
      <c r="M75" s="10">
        <v>9.9005819999999994E-2</v>
      </c>
      <c r="N75" s="10">
        <v>0</v>
      </c>
      <c r="O75" s="10">
        <v>13</v>
      </c>
      <c r="P75" s="10">
        <v>3</v>
      </c>
      <c r="Q75" s="10">
        <v>0</v>
      </c>
      <c r="R75" s="12">
        <v>6.0999999999999999E-2</v>
      </c>
      <c r="S75" s="12">
        <v>4.1000000000000002E-2</v>
      </c>
      <c r="T75" s="10">
        <v>0</v>
      </c>
    </row>
    <row r="76" spans="1:20" x14ac:dyDescent="0.2">
      <c r="A76" s="10" t="s">
        <v>164</v>
      </c>
      <c r="B76" s="10" t="s">
        <v>179</v>
      </c>
      <c r="C76" s="10" t="s">
        <v>93</v>
      </c>
      <c r="D76" s="10">
        <v>2</v>
      </c>
      <c r="E76" s="10" t="s">
        <v>181</v>
      </c>
      <c r="F76" s="10">
        <v>13</v>
      </c>
      <c r="G76" s="10">
        <v>5</v>
      </c>
      <c r="H76" s="10">
        <v>0</v>
      </c>
      <c r="I76" s="11">
        <v>6.4800000000000003E-4</v>
      </c>
      <c r="J76" s="11">
        <v>1.47E-4</v>
      </c>
      <c r="K76" s="10">
        <v>0</v>
      </c>
      <c r="L76" s="10">
        <v>0.21618604999999999</v>
      </c>
      <c r="M76" s="10">
        <v>0.1614486</v>
      </c>
      <c r="N76" s="10">
        <v>0</v>
      </c>
      <c r="O76" s="10">
        <v>30</v>
      </c>
      <c r="P76" s="10">
        <v>5</v>
      </c>
      <c r="Q76" s="10">
        <v>0</v>
      </c>
      <c r="R76" s="12">
        <v>8.5000000000000006E-2</v>
      </c>
      <c r="S76" s="12">
        <v>6.5000000000000002E-2</v>
      </c>
      <c r="T76" s="10">
        <v>0</v>
      </c>
    </row>
    <row r="77" spans="1:20" x14ac:dyDescent="0.2">
      <c r="A77" s="10" t="s">
        <v>160</v>
      </c>
      <c r="B77" s="10" t="s">
        <v>176</v>
      </c>
      <c r="C77" s="10" t="s">
        <v>93</v>
      </c>
      <c r="D77" s="10">
        <v>2</v>
      </c>
      <c r="E77" s="10" t="s">
        <v>181</v>
      </c>
      <c r="F77" s="10">
        <v>6</v>
      </c>
      <c r="G77" s="10">
        <v>2</v>
      </c>
      <c r="H77" s="10">
        <v>0</v>
      </c>
      <c r="I77" s="11">
        <v>4.8899999999999996E-4</v>
      </c>
      <c r="J77" s="11">
        <v>7.8200000000000003E-5</v>
      </c>
      <c r="K77" s="10">
        <v>0</v>
      </c>
      <c r="L77" s="10">
        <v>8.3926920000000002E-2</v>
      </c>
      <c r="M77" s="10">
        <v>8.3926920000000002E-2</v>
      </c>
      <c r="N77" s="10">
        <v>0</v>
      </c>
      <c r="O77" s="10">
        <v>17</v>
      </c>
      <c r="P77" s="10">
        <v>2</v>
      </c>
      <c r="Q77" s="10">
        <v>0</v>
      </c>
      <c r="R77" s="12">
        <v>3.5000000000000003E-2</v>
      </c>
      <c r="S77" s="12">
        <v>3.5000000000000003E-2</v>
      </c>
      <c r="T77" s="10">
        <v>0</v>
      </c>
    </row>
    <row r="78" spans="1:20" x14ac:dyDescent="0.2">
      <c r="A78" s="10" t="s">
        <v>64</v>
      </c>
      <c r="B78" s="10" t="s">
        <v>80</v>
      </c>
      <c r="C78" s="10" t="s">
        <v>93</v>
      </c>
      <c r="D78" s="10">
        <v>1</v>
      </c>
      <c r="E78" s="10" t="s">
        <v>97</v>
      </c>
      <c r="F78" s="10">
        <v>0</v>
      </c>
      <c r="G78" s="10">
        <v>2</v>
      </c>
      <c r="H78" s="10">
        <v>0</v>
      </c>
      <c r="I78" s="10">
        <v>0</v>
      </c>
      <c r="J78" s="11">
        <v>2.03E-4</v>
      </c>
      <c r="K78" s="10">
        <v>0</v>
      </c>
      <c r="L78" s="10">
        <v>0</v>
      </c>
      <c r="M78" s="10">
        <v>0.24738347999999999</v>
      </c>
      <c r="N78" s="10">
        <v>0</v>
      </c>
      <c r="O78" s="10">
        <v>0</v>
      </c>
      <c r="P78" s="10">
        <v>2</v>
      </c>
      <c r="Q78" s="10">
        <v>0</v>
      </c>
      <c r="R78" s="10">
        <v>0</v>
      </c>
      <c r="S78" s="12">
        <v>9.6000000000000002E-2</v>
      </c>
      <c r="T78" s="10">
        <v>0</v>
      </c>
    </row>
    <row r="79" spans="1:20" x14ac:dyDescent="0.2">
      <c r="A79" s="10" t="s">
        <v>221</v>
      </c>
      <c r="B79" s="10" t="s">
        <v>178</v>
      </c>
      <c r="C79" s="10" t="s">
        <v>264</v>
      </c>
      <c r="D79" s="10">
        <v>3</v>
      </c>
      <c r="E79" s="10" t="s">
        <v>283</v>
      </c>
      <c r="F79" s="10">
        <v>60</v>
      </c>
      <c r="G79" s="10">
        <v>19</v>
      </c>
      <c r="H79" s="10">
        <v>9</v>
      </c>
      <c r="I79" s="10">
        <v>2.83929E-3</v>
      </c>
      <c r="J79" s="11">
        <v>9.4399999999999996E-4</v>
      </c>
      <c r="K79" s="11">
        <v>2.5999999999999998E-4</v>
      </c>
      <c r="L79" s="10">
        <v>1.4774221999999999</v>
      </c>
      <c r="M79" s="10">
        <v>0.36144470000000001</v>
      </c>
      <c r="N79" s="10">
        <v>0.10917485</v>
      </c>
      <c r="O79" s="10">
        <v>139</v>
      </c>
      <c r="P79" s="10">
        <v>34</v>
      </c>
      <c r="Q79" s="10">
        <v>16</v>
      </c>
      <c r="R79" s="12">
        <v>0.39400000000000002</v>
      </c>
      <c r="S79" s="12">
        <v>0.13400000000000001</v>
      </c>
      <c r="T79" s="12">
        <v>4.4999999999999998E-2</v>
      </c>
    </row>
    <row r="80" spans="1:20" x14ac:dyDescent="0.2">
      <c r="A80" s="10" t="s">
        <v>222</v>
      </c>
      <c r="B80" s="10" t="s">
        <v>178</v>
      </c>
      <c r="C80" s="10" t="s">
        <v>264</v>
      </c>
      <c r="D80" s="10">
        <v>3</v>
      </c>
      <c r="E80" s="10" t="s">
        <v>283</v>
      </c>
      <c r="F80" s="10">
        <v>20</v>
      </c>
      <c r="G80" s="10">
        <v>14</v>
      </c>
      <c r="H80" s="10">
        <v>5</v>
      </c>
      <c r="I80" s="11">
        <v>7.0399999999999998E-4</v>
      </c>
      <c r="J80" s="11">
        <v>7.3800000000000005E-4</v>
      </c>
      <c r="K80" s="11">
        <v>1.2799999999999999E-4</v>
      </c>
      <c r="L80" s="10">
        <v>0.39958726999999999</v>
      </c>
      <c r="M80" s="10">
        <v>0.21618604999999999</v>
      </c>
      <c r="N80" s="10">
        <v>0.10407864999999999</v>
      </c>
      <c r="O80" s="10">
        <v>35</v>
      </c>
      <c r="P80" s="10">
        <v>27</v>
      </c>
      <c r="Q80" s="10">
        <v>8</v>
      </c>
      <c r="R80" s="12">
        <v>0.14599999999999999</v>
      </c>
      <c r="S80" s="12">
        <v>8.5000000000000006E-2</v>
      </c>
      <c r="T80" s="12">
        <v>4.2999999999999997E-2</v>
      </c>
    </row>
    <row r="81" spans="1:20" x14ac:dyDescent="0.2">
      <c r="A81" s="10" t="s">
        <v>223</v>
      </c>
      <c r="B81" s="10" t="s">
        <v>265</v>
      </c>
      <c r="C81" s="10" t="s">
        <v>264</v>
      </c>
      <c r="D81" s="10">
        <v>3</v>
      </c>
      <c r="E81" s="10" t="s">
        <v>283</v>
      </c>
      <c r="F81" s="10">
        <v>10</v>
      </c>
      <c r="G81" s="10">
        <v>2</v>
      </c>
      <c r="H81" s="10">
        <v>4</v>
      </c>
      <c r="I81" s="11">
        <v>2.3499999999999999E-4</v>
      </c>
      <c r="J81" s="11">
        <v>4.9200000000000003E-5</v>
      </c>
      <c r="K81" s="11">
        <v>7.2000000000000002E-5</v>
      </c>
      <c r="L81" s="10">
        <v>0.16949939999999999</v>
      </c>
      <c r="M81" s="10">
        <v>3.7528400000000003E-2</v>
      </c>
      <c r="N81" s="10">
        <v>7.1519260000000001E-2</v>
      </c>
      <c r="O81" s="10">
        <v>13</v>
      </c>
      <c r="P81" s="10">
        <v>2</v>
      </c>
      <c r="Q81" s="10">
        <v>5</v>
      </c>
      <c r="R81" s="12">
        <v>6.8000000000000005E-2</v>
      </c>
      <c r="S81" s="12">
        <v>1.6E-2</v>
      </c>
      <c r="T81" s="12">
        <v>0.03</v>
      </c>
    </row>
    <row r="82" spans="1:20" x14ac:dyDescent="0.2">
      <c r="A82" s="10" t="s">
        <v>229</v>
      </c>
      <c r="B82" s="10" t="s">
        <v>272</v>
      </c>
      <c r="C82" s="10" t="s">
        <v>271</v>
      </c>
      <c r="D82" s="10">
        <v>3</v>
      </c>
      <c r="E82" s="10" t="s">
        <v>283</v>
      </c>
      <c r="F82" s="10">
        <v>14</v>
      </c>
      <c r="G82" s="10">
        <v>10</v>
      </c>
      <c r="H82" s="10">
        <v>3</v>
      </c>
      <c r="I82" s="10">
        <v>2.9198000000000002E-3</v>
      </c>
      <c r="J82" s="10">
        <v>2.2478300000000001E-3</v>
      </c>
      <c r="K82" s="11">
        <v>2.32E-4</v>
      </c>
      <c r="L82" s="10">
        <v>1.7164391999999999</v>
      </c>
      <c r="M82" s="10">
        <v>1.7164391999999999</v>
      </c>
      <c r="N82" s="10">
        <v>1.0701413</v>
      </c>
      <c r="O82" s="10">
        <v>30</v>
      </c>
      <c r="P82" s="10">
        <v>17</v>
      </c>
      <c r="Q82" s="10">
        <v>3</v>
      </c>
      <c r="R82" s="12">
        <v>0.434</v>
      </c>
      <c r="S82" s="12">
        <v>0.434</v>
      </c>
      <c r="T82" s="12">
        <v>0.316</v>
      </c>
    </row>
    <row r="83" spans="1:20" x14ac:dyDescent="0.2">
      <c r="A83" s="10" t="s">
        <v>230</v>
      </c>
      <c r="B83" s="10" t="s">
        <v>273</v>
      </c>
      <c r="C83" s="10" t="s">
        <v>271</v>
      </c>
      <c r="D83" s="10">
        <v>3</v>
      </c>
      <c r="E83" s="10" t="s">
        <v>283</v>
      </c>
      <c r="F83" s="10">
        <v>13</v>
      </c>
      <c r="G83" s="10">
        <v>6</v>
      </c>
      <c r="H83" s="10">
        <v>5</v>
      </c>
      <c r="I83" s="10">
        <v>2.6663300000000002E-3</v>
      </c>
      <c r="J83" s="10">
        <v>2.7168000000000001E-3</v>
      </c>
      <c r="K83" s="11">
        <v>4.55E-4</v>
      </c>
      <c r="L83" s="10">
        <v>1.1428905</v>
      </c>
      <c r="M83" s="10">
        <v>0.30316674999999998</v>
      </c>
      <c r="N83" s="10">
        <v>0.30316674999999998</v>
      </c>
      <c r="O83" s="10">
        <v>28</v>
      </c>
      <c r="P83" s="10">
        <v>21</v>
      </c>
      <c r="Q83" s="10">
        <v>6</v>
      </c>
      <c r="R83" s="12">
        <v>0.33100000000000002</v>
      </c>
      <c r="S83" s="12">
        <v>0.115</v>
      </c>
      <c r="T83" s="12">
        <v>0.115</v>
      </c>
    </row>
    <row r="84" spans="1:20" x14ac:dyDescent="0.2">
      <c r="A84" s="10" t="s">
        <v>232</v>
      </c>
      <c r="B84" s="10" t="s">
        <v>273</v>
      </c>
      <c r="C84" s="10" t="s">
        <v>271</v>
      </c>
      <c r="D84" s="10">
        <v>3</v>
      </c>
      <c r="E84" s="10" t="s">
        <v>283</v>
      </c>
      <c r="F84" s="10">
        <v>20</v>
      </c>
      <c r="G84" s="10">
        <v>11</v>
      </c>
      <c r="H84" s="10">
        <v>6</v>
      </c>
      <c r="I84" s="10">
        <v>6.7249600000000003E-3</v>
      </c>
      <c r="J84" s="10">
        <v>3.9155800000000001E-3</v>
      </c>
      <c r="K84" s="11">
        <v>5.9500000000000004E-4</v>
      </c>
      <c r="L84" s="10">
        <v>1.3496326999999999</v>
      </c>
      <c r="M84" s="10">
        <v>1.0653801000000001</v>
      </c>
      <c r="N84" s="10">
        <v>1.0653801000000001</v>
      </c>
      <c r="O84" s="10">
        <v>63</v>
      </c>
      <c r="P84" s="10">
        <v>27</v>
      </c>
      <c r="Q84" s="10">
        <v>7</v>
      </c>
      <c r="R84" s="12">
        <v>0.371</v>
      </c>
      <c r="S84" s="12">
        <v>0.315</v>
      </c>
      <c r="T84" s="12">
        <v>0.315</v>
      </c>
    </row>
    <row r="85" spans="1:20" x14ac:dyDescent="0.2">
      <c r="A85" s="10" t="s">
        <v>231</v>
      </c>
      <c r="B85" s="10" t="s">
        <v>274</v>
      </c>
      <c r="C85" s="10" t="s">
        <v>271</v>
      </c>
      <c r="D85" s="10">
        <v>3</v>
      </c>
      <c r="E85" s="10" t="s">
        <v>283</v>
      </c>
      <c r="F85" s="10">
        <v>4</v>
      </c>
      <c r="G85" s="10">
        <v>3</v>
      </c>
      <c r="H85" s="10">
        <v>3</v>
      </c>
      <c r="I85" s="11">
        <v>8.5400000000000005E-4</v>
      </c>
      <c r="J85" s="10">
        <v>5.3657899999999996E-3</v>
      </c>
      <c r="K85" s="10">
        <v>1.444E-3</v>
      </c>
      <c r="L85" s="10">
        <v>0.59220874000000001</v>
      </c>
      <c r="M85" s="10">
        <v>0.32129562</v>
      </c>
      <c r="N85" s="10">
        <v>0.32129562</v>
      </c>
      <c r="O85" s="10">
        <v>8</v>
      </c>
      <c r="P85" s="10">
        <v>37</v>
      </c>
      <c r="Q85" s="10">
        <v>17</v>
      </c>
      <c r="R85" s="12">
        <v>0.20200000000000001</v>
      </c>
      <c r="S85" s="12">
        <v>0.121</v>
      </c>
      <c r="T85" s="12">
        <v>0.121</v>
      </c>
    </row>
    <row r="86" spans="1:20" x14ac:dyDescent="0.2">
      <c r="A86" s="10" t="s">
        <v>158</v>
      </c>
      <c r="B86" s="10" t="s">
        <v>174</v>
      </c>
      <c r="C86" s="10" t="s">
        <v>271</v>
      </c>
      <c r="D86" s="10">
        <v>2</v>
      </c>
      <c r="E86" s="10" t="s">
        <v>181</v>
      </c>
      <c r="F86" s="10">
        <v>8</v>
      </c>
      <c r="G86" s="10">
        <v>8</v>
      </c>
      <c r="H86" s="10">
        <v>0</v>
      </c>
      <c r="I86" s="10">
        <v>1.7518799999999999E-3</v>
      </c>
      <c r="J86" s="10">
        <v>1.9833799999999999E-3</v>
      </c>
      <c r="K86" s="10">
        <v>0</v>
      </c>
      <c r="L86" s="10">
        <v>0.58124803999999997</v>
      </c>
      <c r="M86" s="10">
        <v>0.58124803999999997</v>
      </c>
      <c r="N86" s="10">
        <v>0</v>
      </c>
      <c r="O86" s="10">
        <v>18</v>
      </c>
      <c r="P86" s="10">
        <v>15</v>
      </c>
      <c r="Q86" s="10">
        <v>0</v>
      </c>
      <c r="R86" s="12">
        <v>0.19900000000000001</v>
      </c>
      <c r="S86" s="12">
        <v>0.19900000000000001</v>
      </c>
      <c r="T86" s="10">
        <v>0</v>
      </c>
    </row>
    <row r="87" spans="1:20" x14ac:dyDescent="0.2">
      <c r="A87" s="10" t="s">
        <v>233</v>
      </c>
      <c r="B87" s="10" t="s">
        <v>275</v>
      </c>
      <c r="C87" s="10" t="s">
        <v>271</v>
      </c>
      <c r="D87" s="10">
        <v>3</v>
      </c>
      <c r="E87" s="10" t="s">
        <v>283</v>
      </c>
      <c r="F87" s="10">
        <v>32</v>
      </c>
      <c r="G87" s="10">
        <v>16</v>
      </c>
      <c r="H87" s="10">
        <v>16</v>
      </c>
      <c r="I87" s="10">
        <v>1.465002E-2</v>
      </c>
      <c r="J87" s="10">
        <v>6.2852000000000003E-3</v>
      </c>
      <c r="K87" s="10">
        <v>3.06777E-3</v>
      </c>
      <c r="L87" s="10">
        <v>2.4197948</v>
      </c>
      <c r="M87" s="10">
        <v>1.6730065000000001</v>
      </c>
      <c r="N87" s="10">
        <v>1.1379621</v>
      </c>
      <c r="O87" s="10">
        <v>114</v>
      </c>
      <c r="P87" s="10">
        <v>36</v>
      </c>
      <c r="Q87" s="10">
        <v>30</v>
      </c>
      <c r="R87" s="12">
        <v>0.53400000000000003</v>
      </c>
      <c r="S87" s="12">
        <v>0.42699999999999999</v>
      </c>
      <c r="T87" s="12">
        <v>0.33</v>
      </c>
    </row>
    <row r="88" spans="1:20" x14ac:dyDescent="0.2">
      <c r="A88" s="10" t="s">
        <v>138</v>
      </c>
      <c r="B88" s="10" t="s">
        <v>147</v>
      </c>
      <c r="C88" s="10" t="s">
        <v>2558</v>
      </c>
      <c r="D88" s="10">
        <v>2</v>
      </c>
      <c r="E88" s="10" t="s">
        <v>131</v>
      </c>
      <c r="F88" s="10">
        <v>372</v>
      </c>
      <c r="G88" s="10">
        <v>0</v>
      </c>
      <c r="H88" s="10">
        <v>4</v>
      </c>
      <c r="I88" s="10">
        <v>1.529807E-2</v>
      </c>
      <c r="J88" s="10">
        <v>0</v>
      </c>
      <c r="K88" s="11">
        <v>4.7599999999999998E-5</v>
      </c>
      <c r="L88" s="10">
        <v>2.8106580000000001</v>
      </c>
      <c r="M88" s="10">
        <v>0</v>
      </c>
      <c r="N88" s="10">
        <v>6.6596150000000007E-2</v>
      </c>
      <c r="O88" s="10">
        <v>1536</v>
      </c>
      <c r="P88" s="10">
        <v>0</v>
      </c>
      <c r="Q88" s="10">
        <v>6</v>
      </c>
      <c r="R88" s="12">
        <v>0.58099999999999996</v>
      </c>
      <c r="S88" s="10">
        <v>0</v>
      </c>
      <c r="T88" s="12">
        <v>2.8000000000000001E-2</v>
      </c>
    </row>
    <row r="89" spans="1:20" x14ac:dyDescent="0.2">
      <c r="A89" s="10" t="s">
        <v>236</v>
      </c>
      <c r="B89" s="10" t="s">
        <v>278</v>
      </c>
      <c r="C89" s="10" t="s">
        <v>2558</v>
      </c>
      <c r="D89" s="10">
        <v>3</v>
      </c>
      <c r="E89" s="10" t="s">
        <v>283</v>
      </c>
      <c r="F89" s="10">
        <v>24</v>
      </c>
      <c r="G89" s="10">
        <v>11</v>
      </c>
      <c r="H89" s="10">
        <v>6</v>
      </c>
      <c r="I89" s="10">
        <v>1.37521E-3</v>
      </c>
      <c r="J89" s="11">
        <v>8.1700000000000002E-4</v>
      </c>
      <c r="K89" s="11">
        <v>2.2800000000000001E-4</v>
      </c>
      <c r="L89" s="10">
        <v>1.0090927999999999</v>
      </c>
      <c r="M89" s="10">
        <v>0.26473629999999998</v>
      </c>
      <c r="N89" s="10">
        <v>0.12201846</v>
      </c>
      <c r="O89" s="10">
        <v>48</v>
      </c>
      <c r="P89" s="10">
        <v>21</v>
      </c>
      <c r="Q89" s="10">
        <v>10</v>
      </c>
      <c r="R89" s="12">
        <v>0.30299999999999999</v>
      </c>
      <c r="S89" s="12">
        <v>0.10199999999999999</v>
      </c>
      <c r="T89" s="12">
        <v>0.05</v>
      </c>
    </row>
    <row r="90" spans="1:20" x14ac:dyDescent="0.2">
      <c r="A90" s="10" t="s">
        <v>235</v>
      </c>
      <c r="B90" s="10" t="s">
        <v>277</v>
      </c>
      <c r="C90" s="10" t="s">
        <v>2558</v>
      </c>
      <c r="D90" s="10">
        <v>3</v>
      </c>
      <c r="E90" s="10" t="s">
        <v>283</v>
      </c>
      <c r="F90" s="10">
        <v>5</v>
      </c>
      <c r="G90" s="10">
        <v>3</v>
      </c>
      <c r="H90" s="10">
        <v>3</v>
      </c>
      <c r="I90" s="11">
        <v>8.7399999999999997E-5</v>
      </c>
      <c r="J90" s="11">
        <v>8.4800000000000001E-5</v>
      </c>
      <c r="K90" s="11">
        <v>4.9700000000000002E-5</v>
      </c>
      <c r="L90" s="10">
        <v>8.3926920000000002E-2</v>
      </c>
      <c r="M90" s="10">
        <v>3.9920209999999998E-2</v>
      </c>
      <c r="N90" s="10">
        <v>3.9920209999999998E-2</v>
      </c>
      <c r="O90" s="10">
        <v>7</v>
      </c>
      <c r="P90" s="10">
        <v>5</v>
      </c>
      <c r="Q90" s="10">
        <v>5</v>
      </c>
      <c r="R90" s="12">
        <v>3.5000000000000003E-2</v>
      </c>
      <c r="S90" s="12">
        <v>1.7000000000000001E-2</v>
      </c>
      <c r="T90" s="12">
        <v>1.7000000000000001E-2</v>
      </c>
    </row>
    <row r="91" spans="1:20" x14ac:dyDescent="0.2">
      <c r="A91" s="10" t="s">
        <v>11</v>
      </c>
      <c r="B91" s="10" t="s">
        <v>34</v>
      </c>
      <c r="C91" s="10" t="s">
        <v>2558</v>
      </c>
      <c r="D91" s="10">
        <v>1</v>
      </c>
      <c r="E91" s="10" t="s">
        <v>61</v>
      </c>
      <c r="F91" s="10">
        <v>0</v>
      </c>
      <c r="G91" s="10">
        <v>0</v>
      </c>
      <c r="H91" s="10">
        <v>2</v>
      </c>
      <c r="I91" s="10">
        <v>0</v>
      </c>
      <c r="J91" s="10">
        <v>0</v>
      </c>
      <c r="K91" s="11">
        <v>8.1999999999999994E-6</v>
      </c>
      <c r="L91" s="10">
        <v>0</v>
      </c>
      <c r="M91" s="10">
        <v>0</v>
      </c>
      <c r="N91" s="10">
        <v>1.3911369999999999E-2</v>
      </c>
      <c r="O91" s="10">
        <v>0</v>
      </c>
      <c r="P91" s="10">
        <v>0</v>
      </c>
      <c r="Q91" s="10">
        <v>2</v>
      </c>
      <c r="R91" s="10">
        <v>0</v>
      </c>
      <c r="S91" s="10">
        <v>0</v>
      </c>
      <c r="T91" s="12">
        <v>6.0000000000000001E-3</v>
      </c>
    </row>
    <row r="92" spans="1:20" x14ac:dyDescent="0.2">
      <c r="A92" s="10" t="s">
        <v>10</v>
      </c>
      <c r="B92" s="10" t="s">
        <v>33</v>
      </c>
      <c r="C92" s="10" t="s">
        <v>2558</v>
      </c>
      <c r="D92" s="10">
        <v>1</v>
      </c>
      <c r="E92" s="10" t="s">
        <v>61</v>
      </c>
      <c r="F92" s="10">
        <v>0</v>
      </c>
      <c r="G92" s="10">
        <v>0</v>
      </c>
      <c r="H92" s="10">
        <v>3</v>
      </c>
      <c r="I92" s="10">
        <v>0</v>
      </c>
      <c r="J92" s="10">
        <v>0</v>
      </c>
      <c r="K92" s="11">
        <v>1.37E-4</v>
      </c>
      <c r="L92" s="10">
        <v>0</v>
      </c>
      <c r="M92" s="10">
        <v>0</v>
      </c>
      <c r="N92" s="10">
        <v>0.19674051000000001</v>
      </c>
      <c r="O92" s="10">
        <v>0</v>
      </c>
      <c r="P92" s="10">
        <v>0</v>
      </c>
      <c r="Q92" s="10">
        <v>3</v>
      </c>
      <c r="R92" s="10">
        <v>0</v>
      </c>
      <c r="S92" s="10">
        <v>0</v>
      </c>
      <c r="T92" s="12">
        <v>7.8E-2</v>
      </c>
    </row>
    <row r="93" spans="1:20" x14ac:dyDescent="0.2">
      <c r="A93" s="10" t="s">
        <v>182</v>
      </c>
      <c r="B93" s="10" t="s">
        <v>240</v>
      </c>
      <c r="C93" s="10" t="s">
        <v>2565</v>
      </c>
      <c r="D93" s="10">
        <v>3</v>
      </c>
      <c r="E93" s="10" t="s">
        <v>283</v>
      </c>
      <c r="F93" s="10">
        <v>40</v>
      </c>
      <c r="G93" s="10">
        <v>7</v>
      </c>
      <c r="H93" s="10">
        <v>9</v>
      </c>
      <c r="I93" s="10">
        <v>3.074265E-2</v>
      </c>
      <c r="J93" s="10">
        <v>1.45021E-3</v>
      </c>
      <c r="K93" s="10">
        <v>1.18917E-3</v>
      </c>
      <c r="L93" s="10">
        <v>1.2233099999999999</v>
      </c>
      <c r="M93" s="10">
        <v>0.53108750000000005</v>
      </c>
      <c r="N93" s="10">
        <v>0.53108750000000005</v>
      </c>
      <c r="O93" s="10">
        <v>288</v>
      </c>
      <c r="P93" s="10">
        <v>10</v>
      </c>
      <c r="Q93" s="10">
        <v>14</v>
      </c>
      <c r="R93" s="12">
        <v>0.34699999999999998</v>
      </c>
      <c r="S93" s="12">
        <v>0.185</v>
      </c>
      <c r="T93" s="12">
        <v>0.185</v>
      </c>
    </row>
    <row r="94" spans="1:20" x14ac:dyDescent="0.2">
      <c r="A94" s="10" t="s">
        <v>183</v>
      </c>
      <c r="B94" s="10" t="s">
        <v>242</v>
      </c>
      <c r="C94" s="10" t="s">
        <v>2565</v>
      </c>
      <c r="D94" s="10">
        <v>3</v>
      </c>
      <c r="E94" s="10" t="s">
        <v>283</v>
      </c>
      <c r="F94" s="10">
        <v>40</v>
      </c>
      <c r="G94" s="10">
        <v>8</v>
      </c>
      <c r="H94" s="10">
        <v>9</v>
      </c>
      <c r="I94" s="10">
        <v>3.0102179999999999E-2</v>
      </c>
      <c r="J94" s="10">
        <v>1.59523E-3</v>
      </c>
      <c r="K94" s="10">
        <v>1.18917E-3</v>
      </c>
      <c r="L94" s="10">
        <v>1.2233099999999999</v>
      </c>
      <c r="M94" s="10">
        <v>1.1428905</v>
      </c>
      <c r="N94" s="10">
        <v>0.53108750000000005</v>
      </c>
      <c r="O94" s="10">
        <v>282</v>
      </c>
      <c r="P94" s="10">
        <v>11</v>
      </c>
      <c r="Q94" s="10">
        <v>14</v>
      </c>
      <c r="R94" s="12">
        <v>0.34699999999999998</v>
      </c>
      <c r="S94" s="12">
        <v>0.33100000000000002</v>
      </c>
      <c r="T94" s="12">
        <v>0.185</v>
      </c>
    </row>
    <row r="95" spans="1:20" x14ac:dyDescent="0.2">
      <c r="A95" s="10" t="s">
        <v>66</v>
      </c>
      <c r="B95" s="10" t="s">
        <v>82</v>
      </c>
      <c r="C95" s="10" t="s">
        <v>2562</v>
      </c>
      <c r="D95" s="10">
        <v>1</v>
      </c>
      <c r="E95" s="10" t="s">
        <v>97</v>
      </c>
      <c r="F95" s="10">
        <v>0</v>
      </c>
      <c r="G95" s="10">
        <v>5</v>
      </c>
      <c r="H95" s="10">
        <v>0</v>
      </c>
      <c r="I95" s="10">
        <v>0</v>
      </c>
      <c r="J95" s="10">
        <v>1.0489900000000001E-3</v>
      </c>
      <c r="K95" s="10">
        <v>0</v>
      </c>
      <c r="L95" s="10">
        <v>0</v>
      </c>
      <c r="M95" s="10">
        <v>0.71001530000000002</v>
      </c>
      <c r="N95" s="10">
        <v>0</v>
      </c>
      <c r="O95" s="10">
        <v>0</v>
      </c>
      <c r="P95" s="10">
        <v>7</v>
      </c>
      <c r="Q95" s="10">
        <v>0</v>
      </c>
      <c r="R95" s="10">
        <v>0</v>
      </c>
      <c r="S95" s="12">
        <v>0.23300000000000001</v>
      </c>
      <c r="T95" s="10">
        <v>0</v>
      </c>
    </row>
    <row r="96" spans="1:20" x14ac:dyDescent="0.2">
      <c r="A96" s="10" t="s">
        <v>67</v>
      </c>
      <c r="B96" s="10" t="s">
        <v>83</v>
      </c>
      <c r="C96" s="10" t="s">
        <v>2562</v>
      </c>
      <c r="D96" s="10">
        <v>1</v>
      </c>
      <c r="E96" s="10" t="s">
        <v>97</v>
      </c>
      <c r="F96" s="10">
        <v>0</v>
      </c>
      <c r="G96" s="10">
        <v>5</v>
      </c>
      <c r="H96" s="10">
        <v>0</v>
      </c>
      <c r="I96" s="10">
        <v>0</v>
      </c>
      <c r="J96" s="10">
        <v>1.0489900000000001E-3</v>
      </c>
      <c r="K96" s="10">
        <v>0</v>
      </c>
      <c r="L96" s="10">
        <v>0</v>
      </c>
      <c r="M96" s="10">
        <v>0.71001530000000002</v>
      </c>
      <c r="N96" s="10">
        <v>0</v>
      </c>
      <c r="O96" s="10">
        <v>0</v>
      </c>
      <c r="P96" s="10">
        <v>7</v>
      </c>
      <c r="Q96" s="10">
        <v>0</v>
      </c>
      <c r="R96" s="10">
        <v>0</v>
      </c>
      <c r="S96" s="12">
        <v>0.23300000000000001</v>
      </c>
      <c r="T96" s="10">
        <v>0</v>
      </c>
    </row>
    <row r="97" spans="1:20" x14ac:dyDescent="0.2">
      <c r="A97" s="10" t="s">
        <v>68</v>
      </c>
      <c r="B97" s="10" t="s">
        <v>84</v>
      </c>
      <c r="C97" s="10" t="s">
        <v>2562</v>
      </c>
      <c r="D97" s="10">
        <v>1</v>
      </c>
      <c r="E97" s="10" t="s">
        <v>97</v>
      </c>
      <c r="F97" s="10">
        <v>0</v>
      </c>
      <c r="G97" s="10">
        <v>5</v>
      </c>
      <c r="H97" s="10">
        <v>0</v>
      </c>
      <c r="I97" s="10">
        <v>0</v>
      </c>
      <c r="J97" s="10">
        <v>1.0489900000000001E-3</v>
      </c>
      <c r="K97" s="10">
        <v>0</v>
      </c>
      <c r="L97" s="10">
        <v>0</v>
      </c>
      <c r="M97" s="10">
        <v>0.71001530000000002</v>
      </c>
      <c r="N97" s="10">
        <v>0</v>
      </c>
      <c r="O97" s="10">
        <v>0</v>
      </c>
      <c r="P97" s="10">
        <v>7</v>
      </c>
      <c r="Q97" s="10">
        <v>0</v>
      </c>
      <c r="R97" s="10">
        <v>0</v>
      </c>
      <c r="S97" s="12">
        <v>0.23300000000000001</v>
      </c>
      <c r="T97" s="10">
        <v>0</v>
      </c>
    </row>
    <row r="98" spans="1:20" x14ac:dyDescent="0.2">
      <c r="A98" s="10" t="s">
        <v>9</v>
      </c>
      <c r="B98" s="10" t="s">
        <v>32</v>
      </c>
      <c r="C98" s="10" t="s">
        <v>2555</v>
      </c>
      <c r="D98" s="10">
        <v>1</v>
      </c>
      <c r="E98" s="10" t="s">
        <v>61</v>
      </c>
      <c r="F98" s="10">
        <v>0</v>
      </c>
      <c r="G98" s="10">
        <v>0</v>
      </c>
      <c r="H98" s="10">
        <v>3</v>
      </c>
      <c r="I98" s="10">
        <v>0</v>
      </c>
      <c r="J98" s="10">
        <v>0</v>
      </c>
      <c r="K98" s="11">
        <v>1.8100000000000001E-4</v>
      </c>
      <c r="L98" s="10">
        <v>0</v>
      </c>
      <c r="M98" s="10">
        <v>0</v>
      </c>
      <c r="N98" s="10">
        <v>0.21898961</v>
      </c>
      <c r="O98" s="10">
        <v>0</v>
      </c>
      <c r="P98" s="10">
        <v>0</v>
      </c>
      <c r="Q98" s="10">
        <v>5</v>
      </c>
      <c r="R98" s="10">
        <v>0</v>
      </c>
      <c r="S98" s="10">
        <v>0</v>
      </c>
      <c r="T98" s="12">
        <v>8.5999999999999993E-2</v>
      </c>
    </row>
    <row r="99" spans="1:20" x14ac:dyDescent="0.2">
      <c r="A99" s="10" t="s">
        <v>136</v>
      </c>
      <c r="B99" s="10" t="s">
        <v>145</v>
      </c>
      <c r="C99" s="10" t="s">
        <v>2555</v>
      </c>
      <c r="D99" s="10">
        <v>2</v>
      </c>
      <c r="E99" s="10" t="s">
        <v>131</v>
      </c>
      <c r="F99" s="10">
        <v>8</v>
      </c>
      <c r="G99" s="10">
        <v>0</v>
      </c>
      <c r="H99" s="10">
        <v>3</v>
      </c>
      <c r="I99" s="11">
        <v>2.6699999999999998E-4</v>
      </c>
      <c r="J99" s="10">
        <v>0</v>
      </c>
      <c r="K99" s="11">
        <v>7.08E-5</v>
      </c>
      <c r="L99" s="10">
        <v>0.30918192999999999</v>
      </c>
      <c r="M99" s="10">
        <v>0</v>
      </c>
      <c r="N99" s="10">
        <v>0.10407864999999999</v>
      </c>
      <c r="O99" s="10">
        <v>9</v>
      </c>
      <c r="P99" s="10">
        <v>0</v>
      </c>
      <c r="Q99" s="10">
        <v>3</v>
      </c>
      <c r="R99" s="12">
        <v>0.11700000000000001</v>
      </c>
      <c r="S99" s="10">
        <v>0</v>
      </c>
      <c r="T99" s="12">
        <v>4.2999999999999997E-2</v>
      </c>
    </row>
    <row r="100" spans="1:20" x14ac:dyDescent="0.2">
      <c r="A100" s="10" t="s">
        <v>159</v>
      </c>
      <c r="B100" s="10" t="s">
        <v>175</v>
      </c>
      <c r="C100" s="10" t="s">
        <v>2563</v>
      </c>
      <c r="D100" s="10">
        <v>2</v>
      </c>
      <c r="E100" s="10" t="s">
        <v>181</v>
      </c>
      <c r="F100" s="10">
        <v>2</v>
      </c>
      <c r="G100" s="10">
        <v>4</v>
      </c>
      <c r="H100" s="10">
        <v>0</v>
      </c>
      <c r="I100" s="11">
        <v>1.18E-4</v>
      </c>
      <c r="J100" s="11">
        <v>3.21E-4</v>
      </c>
      <c r="K100" s="10">
        <v>0</v>
      </c>
      <c r="L100" s="10">
        <v>0.14287830000000001</v>
      </c>
      <c r="M100" s="10">
        <v>0.32129562</v>
      </c>
      <c r="N100" s="10">
        <v>0</v>
      </c>
      <c r="O100" s="10">
        <v>2</v>
      </c>
      <c r="P100" s="10">
        <v>4</v>
      </c>
      <c r="Q100" s="10">
        <v>0</v>
      </c>
      <c r="R100" s="12">
        <v>5.8000000000000003E-2</v>
      </c>
      <c r="S100" s="12">
        <v>0.121</v>
      </c>
      <c r="T100" s="10">
        <v>0</v>
      </c>
    </row>
    <row r="101" spans="1:20" x14ac:dyDescent="0.2">
      <c r="A101" s="10" t="s">
        <v>237</v>
      </c>
      <c r="B101" s="10" t="s">
        <v>279</v>
      </c>
      <c r="C101" s="10" t="s">
        <v>2564</v>
      </c>
      <c r="D101" s="10">
        <v>3</v>
      </c>
      <c r="E101" s="10" t="s">
        <v>283</v>
      </c>
      <c r="F101" s="10">
        <v>10</v>
      </c>
      <c r="G101" s="10">
        <v>8</v>
      </c>
      <c r="H101" s="10">
        <v>6</v>
      </c>
      <c r="I101" s="11">
        <v>6.7400000000000001E-4</v>
      </c>
      <c r="J101" s="11">
        <v>7.3800000000000005E-4</v>
      </c>
      <c r="K101" s="11">
        <v>3.6299999999999999E-4</v>
      </c>
      <c r="L101" s="10">
        <v>0.19398808000000001</v>
      </c>
      <c r="M101" s="10">
        <v>0.13762724000000001</v>
      </c>
      <c r="N101" s="10">
        <v>9.9005819999999994E-2</v>
      </c>
      <c r="O101" s="10">
        <v>31</v>
      </c>
      <c r="P101" s="10">
        <v>25</v>
      </c>
      <c r="Q101" s="10">
        <v>21</v>
      </c>
      <c r="R101" s="12">
        <v>7.6999999999999999E-2</v>
      </c>
      <c r="S101" s="12">
        <v>5.6000000000000001E-2</v>
      </c>
      <c r="T101" s="12">
        <v>4.1000000000000002E-2</v>
      </c>
    </row>
    <row r="102" spans="1:20" x14ac:dyDescent="0.2">
      <c r="A102" s="10" t="s">
        <v>137</v>
      </c>
      <c r="B102" s="10" t="s">
        <v>146</v>
      </c>
      <c r="C102" s="10" t="s">
        <v>2554</v>
      </c>
      <c r="D102" s="10">
        <v>2</v>
      </c>
      <c r="E102" s="10" t="s">
        <v>131</v>
      </c>
      <c r="F102" s="10">
        <v>15</v>
      </c>
      <c r="G102" s="10">
        <v>0</v>
      </c>
      <c r="H102" s="10">
        <v>3</v>
      </c>
      <c r="I102" s="11">
        <v>4.8099999999999998E-4</v>
      </c>
      <c r="J102" s="10">
        <v>0</v>
      </c>
      <c r="K102" s="11">
        <v>1.7899999999999999E-4</v>
      </c>
      <c r="L102" s="10">
        <v>0.52756610000000004</v>
      </c>
      <c r="M102" s="10">
        <v>0</v>
      </c>
      <c r="N102" s="10">
        <v>8.6425660000000001E-2</v>
      </c>
      <c r="O102" s="10">
        <v>15</v>
      </c>
      <c r="P102" s="10">
        <v>0</v>
      </c>
      <c r="Q102" s="10">
        <v>7</v>
      </c>
      <c r="R102" s="12">
        <v>0.184</v>
      </c>
      <c r="S102" s="10">
        <v>0</v>
      </c>
      <c r="T102" s="12">
        <v>3.5999999999999997E-2</v>
      </c>
    </row>
    <row r="103" spans="1:20" x14ac:dyDescent="0.2">
      <c r="A103" s="10" t="s">
        <v>234</v>
      </c>
      <c r="B103" s="10" t="s">
        <v>276</v>
      </c>
      <c r="C103" s="10" t="s">
        <v>2552</v>
      </c>
      <c r="D103" s="10">
        <v>3</v>
      </c>
      <c r="E103" s="10" t="s">
        <v>283</v>
      </c>
      <c r="F103" s="10">
        <v>10</v>
      </c>
      <c r="G103" s="10">
        <v>8</v>
      </c>
      <c r="H103" s="10">
        <v>6</v>
      </c>
      <c r="I103" s="10">
        <v>2.4279800000000002E-3</v>
      </c>
      <c r="J103" s="10">
        <v>2.66015E-3</v>
      </c>
      <c r="K103" s="10">
        <v>1.30879E-3</v>
      </c>
      <c r="L103" s="10">
        <v>0.89670587000000002</v>
      </c>
      <c r="M103" s="10">
        <v>0.58854675000000001</v>
      </c>
      <c r="N103" s="10">
        <v>0.40604758000000002</v>
      </c>
      <c r="O103" s="10">
        <v>31</v>
      </c>
      <c r="P103" s="10">
        <v>25</v>
      </c>
      <c r="Q103" s="10">
        <v>21</v>
      </c>
      <c r="R103" s="12">
        <v>0.27800000000000002</v>
      </c>
      <c r="S103" s="12">
        <v>0.20100000000000001</v>
      </c>
      <c r="T103" s="12">
        <v>0.14799999999999999</v>
      </c>
    </row>
    <row r="104" spans="1:20" x14ac:dyDescent="0.2">
      <c r="A104" s="10" t="s">
        <v>75</v>
      </c>
      <c r="B104" s="10" t="s">
        <v>91</v>
      </c>
      <c r="C104" s="10" t="s">
        <v>2552</v>
      </c>
      <c r="D104" s="10">
        <v>1</v>
      </c>
      <c r="E104" s="10" t="s">
        <v>97</v>
      </c>
      <c r="F104" s="10">
        <v>0</v>
      </c>
      <c r="G104" s="10">
        <v>2</v>
      </c>
      <c r="H104" s="10">
        <v>0</v>
      </c>
      <c r="I104" s="10">
        <v>0</v>
      </c>
      <c r="J104" s="11">
        <v>1.8100000000000001E-4</v>
      </c>
      <c r="K104" s="10">
        <v>0</v>
      </c>
      <c r="L104" s="10">
        <v>0</v>
      </c>
      <c r="M104" s="10">
        <v>0.1614486</v>
      </c>
      <c r="N104" s="10">
        <v>0</v>
      </c>
      <c r="O104" s="10">
        <v>0</v>
      </c>
      <c r="P104" s="10">
        <v>2</v>
      </c>
      <c r="Q104" s="10">
        <v>0</v>
      </c>
      <c r="R104" s="10">
        <v>0</v>
      </c>
      <c r="S104" s="12">
        <v>6.5000000000000002E-2</v>
      </c>
      <c r="T104" s="10">
        <v>0</v>
      </c>
    </row>
    <row r="105" spans="1:20" x14ac:dyDescent="0.2">
      <c r="A105" s="10" t="s">
        <v>104</v>
      </c>
      <c r="B105" s="10" t="s">
        <v>113</v>
      </c>
      <c r="C105" s="10" t="s">
        <v>114</v>
      </c>
      <c r="D105" s="10">
        <v>2</v>
      </c>
      <c r="E105" s="10" t="s">
        <v>116</v>
      </c>
      <c r="F105" s="10">
        <v>0</v>
      </c>
      <c r="G105" s="10">
        <v>2</v>
      </c>
      <c r="H105" s="10">
        <v>3</v>
      </c>
      <c r="I105" s="10">
        <v>0</v>
      </c>
      <c r="J105" s="11">
        <v>5.2800000000000003E-5</v>
      </c>
      <c r="K105" s="11">
        <v>7.7299999999999995E-5</v>
      </c>
      <c r="L105" s="10">
        <v>0</v>
      </c>
      <c r="M105" s="10">
        <v>3.7528400000000003E-2</v>
      </c>
      <c r="N105" s="10">
        <v>3.7528400000000003E-2</v>
      </c>
      <c r="O105" s="10">
        <v>0</v>
      </c>
      <c r="P105" s="10">
        <v>2</v>
      </c>
      <c r="Q105" s="10">
        <v>5</v>
      </c>
      <c r="R105" s="10">
        <v>0</v>
      </c>
      <c r="S105" s="12">
        <v>1.6E-2</v>
      </c>
      <c r="T105" s="12">
        <v>1.6E-2</v>
      </c>
    </row>
    <row r="106" spans="1:20" x14ac:dyDescent="0.2">
      <c r="A106" s="10" t="s">
        <v>132</v>
      </c>
      <c r="B106" s="10" t="s">
        <v>141</v>
      </c>
      <c r="C106" s="10" t="s">
        <v>142</v>
      </c>
      <c r="D106" s="10">
        <v>2</v>
      </c>
      <c r="E106" s="10" t="s">
        <v>131</v>
      </c>
      <c r="F106" s="10">
        <v>3</v>
      </c>
      <c r="G106" s="10">
        <v>0</v>
      </c>
      <c r="H106" s="10">
        <v>3</v>
      </c>
      <c r="I106" s="10">
        <v>1.40386E-3</v>
      </c>
      <c r="J106" s="10">
        <v>0</v>
      </c>
      <c r="K106" s="11">
        <v>2.3900000000000001E-4</v>
      </c>
      <c r="L106" s="10">
        <v>0.27643883000000002</v>
      </c>
      <c r="M106" s="10">
        <v>0</v>
      </c>
      <c r="N106" s="10">
        <v>0.27643883000000002</v>
      </c>
      <c r="O106" s="10">
        <v>14</v>
      </c>
      <c r="P106" s="10">
        <v>0</v>
      </c>
      <c r="Q106" s="10">
        <v>3</v>
      </c>
      <c r="R106" s="12">
        <v>0.106</v>
      </c>
      <c r="S106" s="10">
        <v>0</v>
      </c>
      <c r="T106" s="12">
        <v>0.106</v>
      </c>
    </row>
    <row r="107" spans="1:20" x14ac:dyDescent="0.2">
      <c r="A107" s="10" t="s">
        <v>133</v>
      </c>
      <c r="B107" s="10" t="s">
        <v>143</v>
      </c>
      <c r="C107" s="10" t="s">
        <v>142</v>
      </c>
      <c r="D107" s="10">
        <v>2</v>
      </c>
      <c r="E107" s="10" t="s">
        <v>131</v>
      </c>
      <c r="F107" s="10">
        <v>33</v>
      </c>
      <c r="G107" s="10">
        <v>0</v>
      </c>
      <c r="H107" s="10">
        <v>12</v>
      </c>
      <c r="I107" s="10">
        <v>1.3335939999999999E-2</v>
      </c>
      <c r="J107" s="10">
        <v>0</v>
      </c>
      <c r="K107" s="10">
        <v>1.5838600000000001E-3</v>
      </c>
      <c r="L107" s="10">
        <v>2.9994475999999999</v>
      </c>
      <c r="M107" s="10">
        <v>0</v>
      </c>
      <c r="N107" s="10">
        <v>1.1777097999999999</v>
      </c>
      <c r="O107" s="10">
        <v>134</v>
      </c>
      <c r="P107" s="10">
        <v>0</v>
      </c>
      <c r="Q107" s="10">
        <v>20</v>
      </c>
      <c r="R107" s="12">
        <v>0.60199999999999998</v>
      </c>
      <c r="S107" s="10">
        <v>0</v>
      </c>
      <c r="T107" s="12">
        <v>0.33800000000000002</v>
      </c>
    </row>
    <row r="108" spans="1:20" x14ac:dyDescent="0.2">
      <c r="A108" s="10" t="s">
        <v>134</v>
      </c>
      <c r="B108" s="10" t="s">
        <v>39</v>
      </c>
      <c r="C108" s="10" t="s">
        <v>142</v>
      </c>
      <c r="D108" s="10">
        <v>2</v>
      </c>
      <c r="E108" s="10" t="s">
        <v>131</v>
      </c>
      <c r="F108" s="10">
        <v>5</v>
      </c>
      <c r="G108" s="10">
        <v>0</v>
      </c>
      <c r="H108" s="10">
        <v>3</v>
      </c>
      <c r="I108" s="11">
        <v>5.3799999999999996E-4</v>
      </c>
      <c r="J108" s="10">
        <v>0</v>
      </c>
      <c r="K108" s="11">
        <v>2.5700000000000001E-4</v>
      </c>
      <c r="L108" s="10">
        <v>1.1134888999999999</v>
      </c>
      <c r="M108" s="10">
        <v>0</v>
      </c>
      <c r="N108" s="10">
        <v>0.39958726999999999</v>
      </c>
      <c r="O108" s="10">
        <v>5</v>
      </c>
      <c r="P108" s="10">
        <v>0</v>
      </c>
      <c r="Q108" s="10">
        <v>3</v>
      </c>
      <c r="R108" s="12">
        <v>0.32500000000000001</v>
      </c>
      <c r="S108" s="10">
        <v>0</v>
      </c>
      <c r="T108" s="12">
        <v>0.14599999999999999</v>
      </c>
    </row>
    <row r="109" spans="1:20" x14ac:dyDescent="0.2">
      <c r="A109" s="10" t="s">
        <v>72</v>
      </c>
      <c r="B109" s="10" t="s">
        <v>88</v>
      </c>
      <c r="C109" s="10" t="s">
        <v>94</v>
      </c>
      <c r="D109" s="10">
        <v>1</v>
      </c>
      <c r="E109" s="10" t="s">
        <v>97</v>
      </c>
      <c r="F109" s="10">
        <v>0</v>
      </c>
      <c r="G109" s="10">
        <v>3</v>
      </c>
      <c r="H109" s="10">
        <v>0</v>
      </c>
      <c r="I109" s="10">
        <v>0</v>
      </c>
      <c r="J109" s="11">
        <v>6.5799999999999995E-4</v>
      </c>
      <c r="K109" s="10">
        <v>0</v>
      </c>
      <c r="L109" s="10">
        <v>0</v>
      </c>
      <c r="M109" s="10">
        <v>0.52405274000000002</v>
      </c>
      <c r="N109" s="10">
        <v>0</v>
      </c>
      <c r="O109" s="10">
        <v>0</v>
      </c>
      <c r="P109" s="10">
        <v>3</v>
      </c>
      <c r="Q109" s="10">
        <v>0</v>
      </c>
      <c r="R109" s="10">
        <v>0</v>
      </c>
      <c r="S109" s="12">
        <v>0.183</v>
      </c>
      <c r="T109" s="10">
        <v>0</v>
      </c>
    </row>
    <row r="110" spans="1:20" x14ac:dyDescent="0.2">
      <c r="A110" s="10" t="s">
        <v>73</v>
      </c>
      <c r="B110" s="10" t="s">
        <v>89</v>
      </c>
      <c r="C110" s="10" t="s">
        <v>95</v>
      </c>
      <c r="D110" s="10">
        <v>1</v>
      </c>
      <c r="E110" s="10" t="s">
        <v>97</v>
      </c>
      <c r="F110" s="10">
        <v>0</v>
      </c>
      <c r="G110" s="10">
        <v>2</v>
      </c>
      <c r="H110" s="10">
        <v>0</v>
      </c>
      <c r="I110" s="10">
        <v>0</v>
      </c>
      <c r="J110" s="11">
        <v>2.63E-4</v>
      </c>
      <c r="K110" s="10">
        <v>0</v>
      </c>
      <c r="L110" s="10">
        <v>0</v>
      </c>
      <c r="M110" s="10">
        <v>0.33045447</v>
      </c>
      <c r="N110" s="10">
        <v>0</v>
      </c>
      <c r="O110" s="10">
        <v>0</v>
      </c>
      <c r="P110" s="10">
        <v>2</v>
      </c>
      <c r="Q110" s="10">
        <v>0</v>
      </c>
      <c r="R110" s="10">
        <v>0</v>
      </c>
      <c r="S110" s="12">
        <v>0.124</v>
      </c>
      <c r="T110" s="10">
        <v>0</v>
      </c>
    </row>
    <row r="111" spans="1:20" x14ac:dyDescent="0.2">
      <c r="A111" s="10" t="s">
        <v>65</v>
      </c>
      <c r="B111" s="10" t="s">
        <v>81</v>
      </c>
      <c r="C111" s="10" t="s">
        <v>2557</v>
      </c>
      <c r="D111" s="10">
        <v>1</v>
      </c>
      <c r="E111" s="10" t="s">
        <v>97</v>
      </c>
      <c r="F111" s="10">
        <v>0</v>
      </c>
      <c r="G111" s="10">
        <v>2</v>
      </c>
      <c r="H111" s="10">
        <v>0</v>
      </c>
      <c r="I111" s="10">
        <v>0</v>
      </c>
      <c r="J111" s="11">
        <v>5.0000000000000002E-5</v>
      </c>
      <c r="K111" s="10">
        <v>0</v>
      </c>
      <c r="L111" s="10">
        <v>0</v>
      </c>
      <c r="M111" s="10">
        <v>6.6596150000000007E-2</v>
      </c>
      <c r="N111" s="10">
        <v>0</v>
      </c>
      <c r="O111" s="10">
        <v>0</v>
      </c>
      <c r="P111" s="10">
        <v>2</v>
      </c>
      <c r="Q111" s="10">
        <v>0</v>
      </c>
      <c r="R111" s="10">
        <v>0</v>
      </c>
      <c r="S111" s="12">
        <v>2.8000000000000001E-2</v>
      </c>
      <c r="T111" s="10">
        <v>0</v>
      </c>
    </row>
    <row r="112" spans="1:20" x14ac:dyDescent="0.2">
      <c r="A112" s="10" t="s">
        <v>228</v>
      </c>
      <c r="B112" s="10" t="s">
        <v>270</v>
      </c>
      <c r="C112" s="10" t="s">
        <v>2557</v>
      </c>
      <c r="D112" s="10">
        <v>3</v>
      </c>
      <c r="E112" s="10" t="s">
        <v>283</v>
      </c>
      <c r="F112" s="10">
        <v>3</v>
      </c>
      <c r="G112" s="10">
        <v>4</v>
      </c>
      <c r="H112" s="10">
        <v>2</v>
      </c>
      <c r="I112" s="11">
        <v>2.05E-4</v>
      </c>
      <c r="J112" s="11">
        <v>4.1800000000000002E-4</v>
      </c>
      <c r="K112" s="11">
        <v>8.1600000000000005E-5</v>
      </c>
      <c r="L112" s="10">
        <v>0.11429453000000001</v>
      </c>
      <c r="M112" s="10">
        <v>0.17489755000000001</v>
      </c>
      <c r="N112" s="10">
        <v>7.3989390000000002E-2</v>
      </c>
      <c r="O112" s="10">
        <v>4</v>
      </c>
      <c r="P112" s="10">
        <v>6</v>
      </c>
      <c r="Q112" s="10">
        <v>2</v>
      </c>
      <c r="R112" s="12">
        <v>4.7E-2</v>
      </c>
      <c r="S112" s="12">
        <v>7.0000000000000007E-2</v>
      </c>
      <c r="T112" s="12">
        <v>3.1E-2</v>
      </c>
    </row>
    <row r="113" spans="1:20" x14ac:dyDescent="0.2">
      <c r="A113" s="10" t="s">
        <v>69</v>
      </c>
      <c r="B113" s="10" t="s">
        <v>85</v>
      </c>
      <c r="C113" s="10" t="s">
        <v>2557</v>
      </c>
      <c r="D113" s="10">
        <v>1</v>
      </c>
      <c r="E113" s="10" t="s">
        <v>97</v>
      </c>
      <c r="F113" s="10">
        <v>0</v>
      </c>
      <c r="G113" s="10">
        <v>2</v>
      </c>
      <c r="H113" s="10">
        <v>0</v>
      </c>
      <c r="I113" s="10">
        <v>0</v>
      </c>
      <c r="J113" s="11">
        <v>8.2700000000000004E-5</v>
      </c>
      <c r="K113" s="10">
        <v>0</v>
      </c>
      <c r="L113" s="10">
        <v>0</v>
      </c>
      <c r="M113" s="10">
        <v>0.19124198000000001</v>
      </c>
      <c r="N113" s="10">
        <v>0</v>
      </c>
      <c r="O113" s="10">
        <v>0</v>
      </c>
      <c r="P113" s="10">
        <v>2</v>
      </c>
      <c r="Q113" s="10">
        <v>0</v>
      </c>
      <c r="R113" s="10">
        <v>0</v>
      </c>
      <c r="S113" s="12">
        <v>7.5999999999999998E-2</v>
      </c>
      <c r="T113" s="10">
        <v>0</v>
      </c>
    </row>
    <row r="114" spans="1:20" x14ac:dyDescent="0.2">
      <c r="A114" s="10" t="s">
        <v>12</v>
      </c>
      <c r="B114" s="10" t="s">
        <v>35</v>
      </c>
      <c r="C114" s="10" t="s">
        <v>2557</v>
      </c>
      <c r="D114" s="10">
        <v>1</v>
      </c>
      <c r="E114" s="10" t="s">
        <v>61</v>
      </c>
      <c r="F114" s="10">
        <v>0</v>
      </c>
      <c r="G114" s="10">
        <v>0</v>
      </c>
      <c r="H114" s="10">
        <v>3</v>
      </c>
      <c r="I114" s="10">
        <v>0</v>
      </c>
      <c r="J114" s="10">
        <v>0</v>
      </c>
      <c r="K114" s="11">
        <v>1.3100000000000001E-4</v>
      </c>
      <c r="L114" s="10">
        <v>0</v>
      </c>
      <c r="M114" s="10">
        <v>0</v>
      </c>
      <c r="N114" s="10">
        <v>5.1961899999999998E-2</v>
      </c>
      <c r="O114" s="10">
        <v>0</v>
      </c>
      <c r="P114" s="10">
        <v>0</v>
      </c>
      <c r="Q114" s="10">
        <v>5</v>
      </c>
      <c r="R114" s="10">
        <v>0</v>
      </c>
      <c r="S114" s="10">
        <v>0</v>
      </c>
      <c r="T114" s="12">
        <v>2.1999999999999999E-2</v>
      </c>
    </row>
    <row r="115" spans="1:20" x14ac:dyDescent="0.2">
      <c r="A115" s="10" t="s">
        <v>74</v>
      </c>
      <c r="B115" s="10" t="s">
        <v>90</v>
      </c>
      <c r="C115" s="10" t="s">
        <v>2557</v>
      </c>
      <c r="D115" s="10">
        <v>1</v>
      </c>
      <c r="E115" s="10" t="s">
        <v>97</v>
      </c>
      <c r="F115" s="10">
        <v>0</v>
      </c>
      <c r="G115" s="10">
        <v>2</v>
      </c>
      <c r="H115" s="10">
        <v>0</v>
      </c>
      <c r="I115" s="10">
        <v>0</v>
      </c>
      <c r="J115" s="11">
        <v>9.3700000000000001E-5</v>
      </c>
      <c r="K115" s="10">
        <v>0</v>
      </c>
      <c r="L115" s="10">
        <v>0</v>
      </c>
      <c r="M115" s="10">
        <v>0.1614486</v>
      </c>
      <c r="N115" s="10">
        <v>0</v>
      </c>
      <c r="O115" s="10">
        <v>0</v>
      </c>
      <c r="P115" s="10">
        <v>2</v>
      </c>
      <c r="Q115" s="10">
        <v>0</v>
      </c>
      <c r="R115" s="10">
        <v>0</v>
      </c>
      <c r="S115" s="12">
        <v>6.5000000000000002E-2</v>
      </c>
      <c r="T115" s="10">
        <v>0</v>
      </c>
    </row>
    <row r="116" spans="1:20" x14ac:dyDescent="0.2">
      <c r="A116" s="10" t="s">
        <v>135</v>
      </c>
      <c r="B116" s="10" t="s">
        <v>39</v>
      </c>
      <c r="C116" s="10" t="s">
        <v>2557</v>
      </c>
      <c r="D116" s="10">
        <v>2</v>
      </c>
      <c r="E116" s="10" t="s">
        <v>131</v>
      </c>
      <c r="F116" s="10">
        <v>28</v>
      </c>
      <c r="G116" s="10">
        <v>0</v>
      </c>
      <c r="H116" s="10">
        <v>5</v>
      </c>
      <c r="I116" s="10">
        <v>2.96817E-3</v>
      </c>
      <c r="J116" s="10">
        <v>0</v>
      </c>
      <c r="K116" s="11">
        <v>1.92E-4</v>
      </c>
      <c r="L116" s="10">
        <v>0.86208713000000003</v>
      </c>
      <c r="M116" s="10">
        <v>0</v>
      </c>
      <c r="N116" s="10">
        <v>0.30316674999999998</v>
      </c>
      <c r="O116" s="10">
        <v>74</v>
      </c>
      <c r="P116" s="10">
        <v>0</v>
      </c>
      <c r="Q116" s="10">
        <v>6</v>
      </c>
      <c r="R116" s="12">
        <v>0.27</v>
      </c>
      <c r="S116" s="10">
        <v>0</v>
      </c>
      <c r="T116" s="12">
        <v>0.115</v>
      </c>
    </row>
    <row r="117" spans="1:20" x14ac:dyDescent="0.2">
      <c r="A117" s="10" t="s">
        <v>77</v>
      </c>
      <c r="B117" s="10" t="s">
        <v>92</v>
      </c>
      <c r="C117" s="10" t="s">
        <v>2557</v>
      </c>
      <c r="D117" s="10">
        <v>1</v>
      </c>
      <c r="E117" s="10" t="s">
        <v>97</v>
      </c>
      <c r="F117" s="10">
        <v>0</v>
      </c>
      <c r="G117" s="10">
        <v>3</v>
      </c>
      <c r="H117" s="10">
        <v>0</v>
      </c>
      <c r="I117" s="10">
        <v>0</v>
      </c>
      <c r="J117" s="11">
        <v>1.17E-4</v>
      </c>
      <c r="K117" s="10">
        <v>0</v>
      </c>
      <c r="L117" s="10">
        <v>0</v>
      </c>
      <c r="M117" s="10">
        <v>4.9542429999999998E-2</v>
      </c>
      <c r="N117" s="10">
        <v>0</v>
      </c>
      <c r="O117" s="10">
        <v>0</v>
      </c>
      <c r="P117" s="10">
        <v>4</v>
      </c>
      <c r="Q117" s="10">
        <v>0</v>
      </c>
      <c r="R117" s="10">
        <v>0</v>
      </c>
      <c r="S117" s="12">
        <v>2.1000000000000001E-2</v>
      </c>
      <c r="T117" s="10">
        <v>0</v>
      </c>
    </row>
    <row r="118" spans="1:20" x14ac:dyDescent="0.2">
      <c r="A118" s="10" t="s">
        <v>4</v>
      </c>
      <c r="B118" s="10" t="s">
        <v>28</v>
      </c>
      <c r="C118" s="10" t="s">
        <v>2560</v>
      </c>
      <c r="D118" s="10">
        <v>1</v>
      </c>
      <c r="E118" s="10" t="s">
        <v>61</v>
      </c>
      <c r="F118" s="10">
        <v>0</v>
      </c>
      <c r="G118" s="10">
        <v>0</v>
      </c>
      <c r="H118" s="10">
        <v>2</v>
      </c>
      <c r="I118" s="10">
        <v>0</v>
      </c>
      <c r="J118" s="10">
        <v>0</v>
      </c>
      <c r="K118" s="11">
        <v>5.9599999999999999E-5</v>
      </c>
      <c r="L118" s="10">
        <v>0</v>
      </c>
      <c r="M118" s="10">
        <v>0</v>
      </c>
      <c r="N118" s="10">
        <v>9.1440320000000005E-2</v>
      </c>
      <c r="O118" s="10">
        <v>0</v>
      </c>
      <c r="P118" s="10">
        <v>0</v>
      </c>
      <c r="Q118" s="10">
        <v>3</v>
      </c>
      <c r="R118" s="10">
        <v>0</v>
      </c>
      <c r="S118" s="10">
        <v>0</v>
      </c>
      <c r="T118" s="12">
        <v>3.7999999999999999E-2</v>
      </c>
    </row>
    <row r="119" spans="1:20" x14ac:dyDescent="0.2">
      <c r="A119" s="10" t="s">
        <v>14</v>
      </c>
      <c r="B119" s="10" t="s">
        <v>37</v>
      </c>
      <c r="C119" s="10" t="s">
        <v>53</v>
      </c>
      <c r="D119" s="10">
        <v>1</v>
      </c>
      <c r="E119" s="10" t="s">
        <v>61</v>
      </c>
      <c r="F119" s="10">
        <v>0</v>
      </c>
      <c r="G119" s="10">
        <v>0</v>
      </c>
      <c r="H119" s="10">
        <v>3</v>
      </c>
      <c r="I119" s="10">
        <v>0</v>
      </c>
      <c r="J119" s="10">
        <v>0</v>
      </c>
      <c r="K119" s="11">
        <v>3.5100000000000002E-4</v>
      </c>
      <c r="L119" s="10">
        <v>0</v>
      </c>
      <c r="M119" s="10">
        <v>0</v>
      </c>
      <c r="N119" s="10">
        <v>0.16680967999999999</v>
      </c>
      <c r="O119" s="10">
        <v>0</v>
      </c>
      <c r="P119" s="10">
        <v>0</v>
      </c>
      <c r="Q119" s="10">
        <v>7</v>
      </c>
      <c r="R119" s="10">
        <v>0</v>
      </c>
      <c r="S119" s="10">
        <v>0</v>
      </c>
      <c r="T119" s="12">
        <v>6.7000000000000004E-2</v>
      </c>
    </row>
    <row r="120" spans="1:20" x14ac:dyDescent="0.2">
      <c r="A120" s="10" t="s">
        <v>15</v>
      </c>
      <c r="B120" s="10" t="s">
        <v>38</v>
      </c>
      <c r="C120" s="10" t="s">
        <v>53</v>
      </c>
      <c r="D120" s="10">
        <v>1</v>
      </c>
      <c r="E120" s="10" t="s">
        <v>61</v>
      </c>
      <c r="F120" s="10">
        <v>0</v>
      </c>
      <c r="G120" s="10">
        <v>0</v>
      </c>
      <c r="H120" s="10">
        <v>13</v>
      </c>
      <c r="I120" s="10">
        <v>0</v>
      </c>
      <c r="J120" s="10">
        <v>0</v>
      </c>
      <c r="K120" s="10">
        <v>1.1969000000000001E-3</v>
      </c>
      <c r="L120" s="10">
        <v>0</v>
      </c>
      <c r="M120" s="10">
        <v>0</v>
      </c>
      <c r="N120" s="10">
        <v>1.1379621</v>
      </c>
      <c r="O120" s="10">
        <v>0</v>
      </c>
      <c r="P120" s="10">
        <v>0</v>
      </c>
      <c r="Q120" s="10">
        <v>20</v>
      </c>
      <c r="R120" s="10">
        <v>0</v>
      </c>
      <c r="S120" s="10">
        <v>0</v>
      </c>
      <c r="T120" s="12">
        <v>0.33</v>
      </c>
    </row>
    <row r="121" spans="1:20" x14ac:dyDescent="0.2">
      <c r="A121" s="10" t="s">
        <v>16</v>
      </c>
      <c r="B121" s="10" t="s">
        <v>39</v>
      </c>
      <c r="C121" s="10" t="s">
        <v>53</v>
      </c>
      <c r="D121" s="10">
        <v>1</v>
      </c>
      <c r="E121" s="10" t="s">
        <v>61</v>
      </c>
      <c r="F121" s="10">
        <v>0</v>
      </c>
      <c r="G121" s="10">
        <v>0</v>
      </c>
      <c r="H121" s="10">
        <v>4</v>
      </c>
      <c r="I121" s="10">
        <v>0</v>
      </c>
      <c r="J121" s="10">
        <v>0</v>
      </c>
      <c r="K121" s="11">
        <v>3.4499999999999998E-4</v>
      </c>
      <c r="L121" s="10">
        <v>0</v>
      </c>
      <c r="M121" s="10">
        <v>0</v>
      </c>
      <c r="N121" s="10">
        <v>0.41253757000000002</v>
      </c>
      <c r="O121" s="10">
        <v>0</v>
      </c>
      <c r="P121" s="10">
        <v>0</v>
      </c>
      <c r="Q121" s="10">
        <v>7</v>
      </c>
      <c r="R121" s="10">
        <v>0</v>
      </c>
      <c r="S121" s="10">
        <v>0</v>
      </c>
      <c r="T121" s="12">
        <v>0.15</v>
      </c>
    </row>
    <row r="122" spans="1:20" x14ac:dyDescent="0.2">
      <c r="A122" s="10" t="s">
        <v>17</v>
      </c>
      <c r="B122" s="10" t="s">
        <v>40</v>
      </c>
      <c r="C122" s="10" t="s">
        <v>53</v>
      </c>
      <c r="D122" s="10">
        <v>1</v>
      </c>
      <c r="E122" s="10" t="s">
        <v>61</v>
      </c>
      <c r="F122" s="10">
        <v>0</v>
      </c>
      <c r="G122" s="10">
        <v>0</v>
      </c>
      <c r="H122" s="10">
        <v>3</v>
      </c>
      <c r="I122" s="10">
        <v>0</v>
      </c>
      <c r="J122" s="10">
        <v>0</v>
      </c>
      <c r="K122" s="11">
        <v>4.1100000000000002E-4</v>
      </c>
      <c r="L122" s="10">
        <v>0</v>
      </c>
      <c r="M122" s="10">
        <v>0</v>
      </c>
      <c r="N122" s="10">
        <v>0.10662377000000001</v>
      </c>
      <c r="O122" s="10">
        <v>0</v>
      </c>
      <c r="P122" s="10">
        <v>0</v>
      </c>
      <c r="Q122" s="10">
        <v>8</v>
      </c>
      <c r="R122" s="10">
        <v>0</v>
      </c>
      <c r="S122" s="10">
        <v>0</v>
      </c>
      <c r="T122" s="12">
        <v>4.3999999999999997E-2</v>
      </c>
    </row>
    <row r="123" spans="1:20" x14ac:dyDescent="0.2">
      <c r="A123" s="10" t="s">
        <v>166</v>
      </c>
      <c r="B123" s="10" t="s">
        <v>180</v>
      </c>
      <c r="C123" s="10" t="s">
        <v>54</v>
      </c>
      <c r="D123" s="10">
        <v>2</v>
      </c>
      <c r="E123" s="10" t="s">
        <v>181</v>
      </c>
      <c r="F123" s="10">
        <v>2</v>
      </c>
      <c r="G123" s="10">
        <v>2</v>
      </c>
      <c r="H123" s="10">
        <v>0</v>
      </c>
      <c r="I123" s="11">
        <v>1.45E-5</v>
      </c>
      <c r="J123" s="11">
        <v>2.9499999999999999E-5</v>
      </c>
      <c r="K123" s="10">
        <v>0</v>
      </c>
      <c r="L123" s="10">
        <v>2.3293020000000001E-2</v>
      </c>
      <c r="M123" s="10">
        <v>1.3911369999999999E-2</v>
      </c>
      <c r="N123" s="10">
        <v>0</v>
      </c>
      <c r="O123" s="10">
        <v>2</v>
      </c>
      <c r="P123" s="10">
        <v>3</v>
      </c>
      <c r="Q123" s="10">
        <v>0</v>
      </c>
      <c r="R123" s="12">
        <v>0.01</v>
      </c>
      <c r="S123" s="12">
        <v>6.0000000000000001E-3</v>
      </c>
      <c r="T123" s="10">
        <v>0</v>
      </c>
    </row>
    <row r="124" spans="1:20" x14ac:dyDescent="0.2">
      <c r="A124" s="10" t="s">
        <v>98</v>
      </c>
      <c r="B124" s="10" t="s">
        <v>38</v>
      </c>
      <c r="C124" s="10" t="s">
        <v>54</v>
      </c>
      <c r="D124" s="10">
        <v>2</v>
      </c>
      <c r="E124" s="10" t="s">
        <v>116</v>
      </c>
      <c r="F124" s="10">
        <v>0</v>
      </c>
      <c r="G124" s="10">
        <v>3</v>
      </c>
      <c r="H124" s="10">
        <v>2</v>
      </c>
      <c r="I124" s="10">
        <v>0</v>
      </c>
      <c r="J124" s="11">
        <v>3.7500000000000001E-4</v>
      </c>
      <c r="K124" s="11">
        <v>1.65E-4</v>
      </c>
      <c r="L124" s="10">
        <v>0</v>
      </c>
      <c r="M124" s="10">
        <v>0.11429453000000001</v>
      </c>
      <c r="N124" s="10">
        <v>0.11429453000000001</v>
      </c>
      <c r="O124" s="10">
        <v>0</v>
      </c>
      <c r="P124" s="10">
        <v>4</v>
      </c>
      <c r="Q124" s="10">
        <v>3</v>
      </c>
      <c r="R124" s="10">
        <v>0</v>
      </c>
      <c r="S124" s="12">
        <v>4.7E-2</v>
      </c>
      <c r="T124" s="12">
        <v>4.7E-2</v>
      </c>
    </row>
    <row r="125" spans="1:20" x14ac:dyDescent="0.2">
      <c r="A125" s="10" t="s">
        <v>76</v>
      </c>
      <c r="B125" s="10" t="s">
        <v>83</v>
      </c>
      <c r="C125" s="10" t="s">
        <v>54</v>
      </c>
      <c r="D125" s="10">
        <v>1</v>
      </c>
      <c r="E125" s="10" t="s">
        <v>97</v>
      </c>
      <c r="F125" s="10">
        <v>0</v>
      </c>
      <c r="G125" s="10">
        <v>6</v>
      </c>
      <c r="H125" s="10">
        <v>0</v>
      </c>
      <c r="I125" s="10">
        <v>0</v>
      </c>
      <c r="J125" s="11">
        <v>9.0899999999999998E-4</v>
      </c>
      <c r="K125" s="10">
        <v>0</v>
      </c>
      <c r="L125" s="10">
        <v>0</v>
      </c>
      <c r="M125" s="10">
        <v>0.33045447</v>
      </c>
      <c r="N125" s="10">
        <v>0</v>
      </c>
      <c r="O125" s="10">
        <v>0</v>
      </c>
      <c r="P125" s="10">
        <v>9</v>
      </c>
      <c r="Q125" s="10">
        <v>0</v>
      </c>
      <c r="R125" s="10">
        <v>0</v>
      </c>
      <c r="S125" s="12">
        <v>0.124</v>
      </c>
      <c r="T125" s="10">
        <v>0</v>
      </c>
    </row>
    <row r="126" spans="1:20" x14ac:dyDescent="0.2">
      <c r="A126" s="10" t="s">
        <v>18</v>
      </c>
      <c r="B126" s="10" t="s">
        <v>39</v>
      </c>
      <c r="C126" s="10" t="s">
        <v>54</v>
      </c>
      <c r="D126" s="10">
        <v>1</v>
      </c>
      <c r="E126" s="10" t="s">
        <v>61</v>
      </c>
      <c r="F126" s="10">
        <v>0</v>
      </c>
      <c r="G126" s="10">
        <v>0</v>
      </c>
      <c r="H126" s="10">
        <v>3</v>
      </c>
      <c r="I126" s="10">
        <v>0</v>
      </c>
      <c r="J126" s="10">
        <v>0</v>
      </c>
      <c r="K126" s="11">
        <v>6.5900000000000003E-5</v>
      </c>
      <c r="L126" s="10">
        <v>0</v>
      </c>
      <c r="M126" s="10">
        <v>0</v>
      </c>
      <c r="N126" s="10">
        <v>7.3989390000000002E-2</v>
      </c>
      <c r="O126" s="10">
        <v>0</v>
      </c>
      <c r="P126" s="10">
        <v>0</v>
      </c>
      <c r="Q126" s="10">
        <v>4</v>
      </c>
      <c r="R126" s="10">
        <v>0</v>
      </c>
      <c r="S126" s="10">
        <v>0</v>
      </c>
      <c r="T126" s="12">
        <v>3.1E-2</v>
      </c>
    </row>
    <row r="127" spans="1:20" x14ac:dyDescent="0.2">
      <c r="A127" s="10" t="s">
        <v>102</v>
      </c>
      <c r="B127" s="10" t="s">
        <v>40</v>
      </c>
      <c r="C127" s="10" t="s">
        <v>54</v>
      </c>
      <c r="D127" s="10">
        <v>2</v>
      </c>
      <c r="E127" s="10" t="s">
        <v>116</v>
      </c>
      <c r="F127" s="10">
        <v>0</v>
      </c>
      <c r="G127" s="10">
        <v>6</v>
      </c>
      <c r="H127" s="10">
        <v>9</v>
      </c>
      <c r="I127" s="10">
        <v>0</v>
      </c>
      <c r="J127" s="10">
        <v>2.5387299999999999E-3</v>
      </c>
      <c r="K127" s="10">
        <v>1.6108800000000001E-3</v>
      </c>
      <c r="L127" s="10">
        <v>0</v>
      </c>
      <c r="M127" s="10">
        <v>0.44211529999999999</v>
      </c>
      <c r="N127" s="10">
        <v>0.44211529999999999</v>
      </c>
      <c r="O127" s="10">
        <v>0</v>
      </c>
      <c r="P127" s="10">
        <v>24</v>
      </c>
      <c r="Q127" s="10">
        <v>26</v>
      </c>
      <c r="R127" s="10">
        <v>0</v>
      </c>
      <c r="S127" s="12">
        <v>0.159</v>
      </c>
      <c r="T127" s="12">
        <v>0.159</v>
      </c>
    </row>
    <row r="128" spans="1:20" x14ac:dyDescent="0.2">
      <c r="A128" s="10" t="s">
        <v>139</v>
      </c>
      <c r="B128" s="10" t="s">
        <v>84</v>
      </c>
      <c r="C128" s="10" t="s">
        <v>54</v>
      </c>
      <c r="D128" s="10">
        <v>2</v>
      </c>
      <c r="E128" s="10" t="s">
        <v>131</v>
      </c>
      <c r="F128" s="10">
        <v>12</v>
      </c>
      <c r="G128" s="10">
        <v>0</v>
      </c>
      <c r="H128" s="10">
        <v>3</v>
      </c>
      <c r="I128" s="10">
        <v>2.7740999999999998E-3</v>
      </c>
      <c r="J128" s="10">
        <v>0</v>
      </c>
      <c r="K128" s="11">
        <v>3.1500000000000001E-4</v>
      </c>
      <c r="L128" s="10">
        <v>0.55596566000000003</v>
      </c>
      <c r="M128" s="10">
        <v>0</v>
      </c>
      <c r="N128" s="10">
        <v>0.21338879999999999</v>
      </c>
      <c r="O128" s="10">
        <v>35</v>
      </c>
      <c r="P128" s="10">
        <v>0</v>
      </c>
      <c r="Q128" s="10">
        <v>5</v>
      </c>
      <c r="R128" s="12">
        <v>0.192</v>
      </c>
      <c r="S128" s="10">
        <v>0</v>
      </c>
      <c r="T128" s="12">
        <v>8.4000000000000005E-2</v>
      </c>
    </row>
    <row r="129" spans="1:20" x14ac:dyDescent="0.2">
      <c r="A129" s="10" t="s">
        <v>19</v>
      </c>
      <c r="B129" s="10" t="s">
        <v>41</v>
      </c>
      <c r="C129" s="10" t="s">
        <v>55</v>
      </c>
      <c r="D129" s="10">
        <v>1</v>
      </c>
      <c r="E129" s="10" t="s">
        <v>61</v>
      </c>
      <c r="F129" s="10">
        <v>0</v>
      </c>
      <c r="G129" s="10">
        <v>0</v>
      </c>
      <c r="H129" s="10">
        <v>6</v>
      </c>
      <c r="I129" s="10">
        <v>0</v>
      </c>
      <c r="J129" s="10">
        <v>0</v>
      </c>
      <c r="K129" s="11">
        <v>6.5399999999999996E-4</v>
      </c>
      <c r="L129" s="10">
        <v>0</v>
      </c>
      <c r="M129" s="10">
        <v>0</v>
      </c>
      <c r="N129" s="10">
        <v>0.25025903999999999</v>
      </c>
      <c r="O129" s="10">
        <v>0</v>
      </c>
      <c r="P129" s="10">
        <v>0</v>
      </c>
      <c r="Q129" s="10">
        <v>9</v>
      </c>
      <c r="R129" s="10">
        <v>0</v>
      </c>
      <c r="S129" s="10">
        <v>0</v>
      </c>
      <c r="T129" s="12">
        <v>9.7000000000000003E-2</v>
      </c>
    </row>
    <row r="130" spans="1:20" x14ac:dyDescent="0.2">
      <c r="A130" s="10" t="s">
        <v>189</v>
      </c>
      <c r="B130" s="10" t="s">
        <v>247</v>
      </c>
      <c r="C130" s="10" t="s">
        <v>2561</v>
      </c>
      <c r="D130" s="10">
        <v>3</v>
      </c>
      <c r="E130" s="10" t="s">
        <v>283</v>
      </c>
      <c r="F130" s="10">
        <v>41</v>
      </c>
      <c r="G130" s="10">
        <v>3</v>
      </c>
      <c r="H130" s="10">
        <v>9</v>
      </c>
      <c r="I130" s="10">
        <v>1.173359E-2</v>
      </c>
      <c r="J130" s="11">
        <v>2.3599999999999999E-4</v>
      </c>
      <c r="K130" s="11">
        <v>5.9800000000000001E-4</v>
      </c>
      <c r="L130" s="10">
        <v>3.9431071000000002</v>
      </c>
      <c r="M130" s="10">
        <v>0.31219995</v>
      </c>
      <c r="N130" s="10">
        <v>0.51008010000000004</v>
      </c>
      <c r="O130" s="10">
        <v>203</v>
      </c>
      <c r="P130" s="10">
        <v>3</v>
      </c>
      <c r="Q130" s="10">
        <v>13</v>
      </c>
      <c r="R130" s="12">
        <v>0.69399999999999995</v>
      </c>
      <c r="S130" s="12">
        <v>0.11799999999999999</v>
      </c>
      <c r="T130" s="12">
        <v>0.17899999999999999</v>
      </c>
    </row>
    <row r="131" spans="1:20" x14ac:dyDescent="0.2">
      <c r="A131" s="10" t="s">
        <v>20</v>
      </c>
      <c r="B131" s="10" t="s">
        <v>42</v>
      </c>
      <c r="C131" s="10" t="s">
        <v>56</v>
      </c>
      <c r="D131" s="10">
        <v>1</v>
      </c>
      <c r="E131" s="10" t="s">
        <v>61</v>
      </c>
      <c r="F131" s="10">
        <v>0</v>
      </c>
      <c r="G131" s="10">
        <v>0</v>
      </c>
      <c r="H131" s="10">
        <v>9</v>
      </c>
      <c r="I131" s="10">
        <v>0</v>
      </c>
      <c r="J131" s="10">
        <v>0</v>
      </c>
      <c r="K131" s="11">
        <v>8.3299999999999997E-4</v>
      </c>
      <c r="L131" s="10">
        <v>0</v>
      </c>
      <c r="M131" s="10">
        <v>0</v>
      </c>
      <c r="N131" s="10">
        <v>0.4962356</v>
      </c>
      <c r="O131" s="10">
        <v>0</v>
      </c>
      <c r="P131" s="10">
        <v>0</v>
      </c>
      <c r="Q131" s="10">
        <v>14</v>
      </c>
      <c r="R131" s="10">
        <v>0</v>
      </c>
      <c r="S131" s="10">
        <v>0</v>
      </c>
      <c r="T131" s="12">
        <v>0.17499999999999999</v>
      </c>
    </row>
    <row r="132" spans="1:20" x14ac:dyDescent="0.2">
      <c r="A132" s="10" t="s">
        <v>103</v>
      </c>
      <c r="B132" s="10" t="s">
        <v>111</v>
      </c>
      <c r="C132" s="10" t="s">
        <v>112</v>
      </c>
      <c r="D132" s="10">
        <v>2</v>
      </c>
      <c r="E132" s="10" t="s">
        <v>116</v>
      </c>
      <c r="F132" s="10">
        <v>0</v>
      </c>
      <c r="G132" s="10">
        <v>3</v>
      </c>
      <c r="H132" s="10">
        <v>3</v>
      </c>
      <c r="I132" s="10">
        <v>0</v>
      </c>
      <c r="J132" s="11">
        <v>5.1900000000000004E-4</v>
      </c>
      <c r="K132" s="11">
        <v>3.5399999999999999E-4</v>
      </c>
      <c r="L132" s="10">
        <v>0</v>
      </c>
      <c r="M132" s="10">
        <v>0.30316674999999998</v>
      </c>
      <c r="N132" s="10">
        <v>0.30316674999999998</v>
      </c>
      <c r="O132" s="10">
        <v>0</v>
      </c>
      <c r="P132" s="10">
        <v>6</v>
      </c>
      <c r="Q132" s="10">
        <v>7</v>
      </c>
      <c r="R132" s="10">
        <v>0</v>
      </c>
      <c r="S132" s="12">
        <v>0.115</v>
      </c>
      <c r="T132" s="12">
        <v>0.115</v>
      </c>
    </row>
    <row r="133" spans="1:20" x14ac:dyDescent="0.2">
      <c r="A133" s="10" t="s">
        <v>21</v>
      </c>
      <c r="B133" s="10" t="s">
        <v>43</v>
      </c>
      <c r="C133" s="10" t="s">
        <v>57</v>
      </c>
      <c r="D133" s="10">
        <v>1</v>
      </c>
      <c r="E133" s="10" t="s">
        <v>61</v>
      </c>
      <c r="F133" s="10">
        <v>0</v>
      </c>
      <c r="G133" s="10">
        <v>0</v>
      </c>
      <c r="H133" s="10">
        <v>9</v>
      </c>
      <c r="I133" s="10">
        <v>0</v>
      </c>
      <c r="J133" s="10">
        <v>0</v>
      </c>
      <c r="K133" s="11">
        <v>9.4700000000000003E-4</v>
      </c>
      <c r="L133" s="10">
        <v>0</v>
      </c>
      <c r="M133" s="10">
        <v>0</v>
      </c>
      <c r="N133" s="10">
        <v>0.65576994</v>
      </c>
      <c r="O133" s="10">
        <v>0</v>
      </c>
      <c r="P133" s="10">
        <v>0</v>
      </c>
      <c r="Q133" s="10">
        <v>16</v>
      </c>
      <c r="R133" s="10">
        <v>0</v>
      </c>
      <c r="S133" s="10">
        <v>0</v>
      </c>
      <c r="T133" s="12">
        <v>0.219</v>
      </c>
    </row>
    <row r="134" spans="1:20" x14ac:dyDescent="0.2">
      <c r="A134" s="10" t="s">
        <v>101</v>
      </c>
      <c r="B134" s="10" t="s">
        <v>40</v>
      </c>
      <c r="C134" s="10" t="s">
        <v>110</v>
      </c>
      <c r="D134" s="10">
        <v>2</v>
      </c>
      <c r="E134" s="10" t="s">
        <v>116</v>
      </c>
      <c r="F134" s="10">
        <v>0</v>
      </c>
      <c r="G134" s="10">
        <v>8</v>
      </c>
      <c r="H134" s="10">
        <v>10</v>
      </c>
      <c r="I134" s="10">
        <v>0</v>
      </c>
      <c r="J134" s="10">
        <v>3.1105099999999999E-3</v>
      </c>
      <c r="K134" s="10">
        <v>2.1634699999999998E-3</v>
      </c>
      <c r="L134" s="10">
        <v>0</v>
      </c>
      <c r="M134" s="10">
        <v>0.26765191999999999</v>
      </c>
      <c r="N134" s="10">
        <v>0.26765191999999999</v>
      </c>
      <c r="O134" s="10">
        <v>0</v>
      </c>
      <c r="P134" s="10">
        <v>32</v>
      </c>
      <c r="Q134" s="10">
        <v>38</v>
      </c>
      <c r="R134" s="10">
        <v>0</v>
      </c>
      <c r="S134" s="12">
        <v>0.10299999999999999</v>
      </c>
      <c r="T134" s="12">
        <v>0.10299999999999999</v>
      </c>
    </row>
    <row r="135" spans="1:20" x14ac:dyDescent="0.2">
      <c r="A135" s="10" t="s">
        <v>99</v>
      </c>
      <c r="B135" s="10" t="s">
        <v>106</v>
      </c>
      <c r="C135" s="10" t="s">
        <v>107</v>
      </c>
      <c r="D135" s="10">
        <v>2</v>
      </c>
      <c r="E135" s="10" t="s">
        <v>116</v>
      </c>
      <c r="F135" s="10">
        <v>0</v>
      </c>
      <c r="G135" s="10">
        <v>8</v>
      </c>
      <c r="H135" s="10">
        <v>10</v>
      </c>
      <c r="I135" s="10">
        <v>0</v>
      </c>
      <c r="J135" s="10">
        <v>3.1105099999999999E-3</v>
      </c>
      <c r="K135" s="10">
        <v>2.1634699999999998E-3</v>
      </c>
      <c r="L135" s="10">
        <v>0</v>
      </c>
      <c r="M135" s="10">
        <v>0.26765191999999999</v>
      </c>
      <c r="N135" s="10">
        <v>0.26765191999999999</v>
      </c>
      <c r="O135" s="10">
        <v>0</v>
      </c>
      <c r="P135" s="10">
        <v>32</v>
      </c>
      <c r="Q135" s="10">
        <v>38</v>
      </c>
      <c r="R135" s="10">
        <v>0</v>
      </c>
      <c r="S135" s="12">
        <v>0.10299999999999999</v>
      </c>
      <c r="T135" s="12">
        <v>0.10299999999999999</v>
      </c>
    </row>
    <row r="136" spans="1:20" x14ac:dyDescent="0.2">
      <c r="A136" s="10" t="s">
        <v>23</v>
      </c>
      <c r="B136" s="10" t="s">
        <v>45</v>
      </c>
      <c r="C136" s="10" t="s">
        <v>58</v>
      </c>
      <c r="D136" s="10">
        <v>1</v>
      </c>
      <c r="E136" s="10" t="s">
        <v>61</v>
      </c>
      <c r="F136" s="10">
        <v>0</v>
      </c>
      <c r="G136" s="10">
        <v>0</v>
      </c>
      <c r="H136" s="10">
        <v>2</v>
      </c>
      <c r="I136" s="10">
        <v>0</v>
      </c>
      <c r="J136" s="10">
        <v>0</v>
      </c>
      <c r="K136" s="11">
        <v>4.0200000000000001E-5</v>
      </c>
      <c r="L136" s="10">
        <v>0</v>
      </c>
      <c r="M136" s="10">
        <v>0</v>
      </c>
      <c r="N136" s="10">
        <v>0.10153925</v>
      </c>
      <c r="O136" s="10">
        <v>0</v>
      </c>
      <c r="P136" s="10">
        <v>0</v>
      </c>
      <c r="Q136" s="10">
        <v>2</v>
      </c>
      <c r="R136" s="10">
        <v>0</v>
      </c>
      <c r="S136" s="10">
        <v>0</v>
      </c>
      <c r="T136" s="12">
        <v>4.2000000000000003E-2</v>
      </c>
    </row>
    <row r="137" spans="1:20" x14ac:dyDescent="0.2">
      <c r="A137" s="10" t="s">
        <v>22</v>
      </c>
      <c r="B137" s="10" t="s">
        <v>44</v>
      </c>
      <c r="C137" s="10" t="s">
        <v>58</v>
      </c>
      <c r="D137" s="10">
        <v>1</v>
      </c>
      <c r="E137" s="10" t="s">
        <v>61</v>
      </c>
      <c r="F137" s="10">
        <v>0</v>
      </c>
      <c r="G137" s="10">
        <v>0</v>
      </c>
      <c r="H137" s="10">
        <v>2</v>
      </c>
      <c r="I137" s="10">
        <v>0</v>
      </c>
      <c r="J137" s="10">
        <v>0</v>
      </c>
      <c r="K137" s="11">
        <v>3.2899999999999997E-4</v>
      </c>
      <c r="L137" s="10">
        <v>0</v>
      </c>
      <c r="M137" s="10">
        <v>0</v>
      </c>
      <c r="N137" s="10">
        <v>0.43218790000000001</v>
      </c>
      <c r="O137" s="10">
        <v>0</v>
      </c>
      <c r="P137" s="10">
        <v>0</v>
      </c>
      <c r="Q137" s="10">
        <v>3</v>
      </c>
      <c r="R137" s="10">
        <v>0</v>
      </c>
      <c r="S137" s="10">
        <v>0</v>
      </c>
      <c r="T137" s="12">
        <v>0.156</v>
      </c>
    </row>
    <row r="138" spans="1:20" x14ac:dyDescent="0.2">
      <c r="A138" s="10" t="s">
        <v>238</v>
      </c>
      <c r="B138" s="10" t="s">
        <v>280</v>
      </c>
      <c r="C138" s="10" t="s">
        <v>281</v>
      </c>
      <c r="D138" s="10">
        <v>3</v>
      </c>
      <c r="E138" s="10" t="s">
        <v>283</v>
      </c>
      <c r="F138" s="10">
        <v>6</v>
      </c>
      <c r="G138" s="10">
        <v>3</v>
      </c>
      <c r="H138" s="10">
        <v>3</v>
      </c>
      <c r="I138" s="10">
        <v>9.0876900000000007E-3</v>
      </c>
      <c r="J138" s="11">
        <v>8.0500000000000005E-4</v>
      </c>
      <c r="K138" s="11">
        <v>6.29E-4</v>
      </c>
      <c r="L138" s="10">
        <v>0.67494284999999998</v>
      </c>
      <c r="M138" s="10">
        <v>0.67494284999999998</v>
      </c>
      <c r="N138" s="10">
        <v>0.67494284999999998</v>
      </c>
      <c r="O138" s="10">
        <v>46</v>
      </c>
      <c r="P138" s="10">
        <v>3</v>
      </c>
      <c r="Q138" s="10">
        <v>4</v>
      </c>
      <c r="R138" s="12">
        <v>0.224</v>
      </c>
      <c r="S138" s="12">
        <v>0.224</v>
      </c>
      <c r="T138" s="12">
        <v>0.224</v>
      </c>
    </row>
    <row r="139" spans="1:20" x14ac:dyDescent="0.2">
      <c r="A139" s="10" t="s">
        <v>239</v>
      </c>
      <c r="B139" s="10" t="s">
        <v>41</v>
      </c>
      <c r="C139" s="10" t="s">
        <v>281</v>
      </c>
      <c r="D139" s="10">
        <v>3</v>
      </c>
      <c r="E139" s="10" t="s">
        <v>283</v>
      </c>
      <c r="F139" s="10">
        <v>18</v>
      </c>
      <c r="G139" s="10">
        <v>3</v>
      </c>
      <c r="H139" s="10">
        <v>3</v>
      </c>
      <c r="I139" s="10">
        <v>8.0521599999999992E-3</v>
      </c>
      <c r="J139" s="11">
        <v>4.4999999999999999E-4</v>
      </c>
      <c r="K139" s="11">
        <v>3.5100000000000002E-4</v>
      </c>
      <c r="L139" s="10">
        <v>0.64816236000000005</v>
      </c>
      <c r="M139" s="10">
        <v>0.33352150000000003</v>
      </c>
      <c r="N139" s="10">
        <v>0.33352150000000003</v>
      </c>
      <c r="O139" s="10">
        <v>73</v>
      </c>
      <c r="P139" s="10">
        <v>3</v>
      </c>
      <c r="Q139" s="10">
        <v>4</v>
      </c>
      <c r="R139" s="12">
        <v>0.217</v>
      </c>
      <c r="S139" s="12">
        <v>0.125</v>
      </c>
      <c r="T139" s="12">
        <v>0.125</v>
      </c>
    </row>
  </sheetData>
  <sortState xmlns:xlrd2="http://schemas.microsoft.com/office/spreadsheetml/2017/richdata2" ref="A2:T142">
    <sortCondition ref="C2:C14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8F807-AECC-DA46-BDB4-35553600D5BF}">
  <dimension ref="A1:K141"/>
  <sheetViews>
    <sheetView tabSelected="1" zoomScale="120" zoomScaleNormal="120" workbookViewId="0">
      <selection activeCell="N33" sqref="N33"/>
    </sheetView>
  </sheetViews>
  <sheetFormatPr baseColWidth="10" defaultRowHeight="16" x14ac:dyDescent="0.2"/>
  <cols>
    <col min="3" max="3" width="18.1640625" customWidth="1"/>
    <col min="5" max="5" width="17.1640625" customWidth="1"/>
  </cols>
  <sheetData>
    <row r="1" spans="1:11" x14ac:dyDescent="0.2">
      <c r="B1" t="s">
        <v>2566</v>
      </c>
      <c r="C1" t="s">
        <v>3704</v>
      </c>
      <c r="D1" t="s">
        <v>3705</v>
      </c>
      <c r="E1" t="s">
        <v>3706</v>
      </c>
      <c r="F1" t="s">
        <v>3707</v>
      </c>
      <c r="G1" t="s">
        <v>3708</v>
      </c>
      <c r="H1" t="s">
        <v>3709</v>
      </c>
      <c r="I1" t="s">
        <v>3710</v>
      </c>
      <c r="J1" t="s">
        <v>3711</v>
      </c>
      <c r="K1" t="s">
        <v>3712</v>
      </c>
    </row>
    <row r="2" spans="1:11" x14ac:dyDescent="0.2">
      <c r="A2" t="s">
        <v>3713</v>
      </c>
      <c r="B2" t="s">
        <v>2574</v>
      </c>
      <c r="C2">
        <v>-0.34487743799999998</v>
      </c>
      <c r="D2">
        <v>-0.34487743799999998</v>
      </c>
      <c r="E2">
        <v>-0.34487743799999998</v>
      </c>
      <c r="F2">
        <v>-0.34487743799999998</v>
      </c>
      <c r="G2">
        <v>-0.34487743799999998</v>
      </c>
      <c r="H2">
        <v>-0.34487743799999998</v>
      </c>
      <c r="I2">
        <v>0.68975487599999996</v>
      </c>
      <c r="J2">
        <v>0.68975487599999996</v>
      </c>
      <c r="K2">
        <v>0.68975487599999996</v>
      </c>
    </row>
    <row r="3" spans="1:11" x14ac:dyDescent="0.2">
      <c r="A3" t="s">
        <v>3714</v>
      </c>
      <c r="B3" t="s">
        <v>2574</v>
      </c>
      <c r="C3">
        <v>-0.48606651099999998</v>
      </c>
      <c r="D3">
        <v>-0.48606651099999998</v>
      </c>
      <c r="E3">
        <v>-0.48606651099999998</v>
      </c>
      <c r="F3">
        <v>-0.48606651099999998</v>
      </c>
      <c r="G3">
        <v>-0.48606651099999998</v>
      </c>
      <c r="H3">
        <v>-0.48606651099999998</v>
      </c>
      <c r="I3">
        <v>0.97213302300000004</v>
      </c>
      <c r="J3">
        <v>0.97213302300000004</v>
      </c>
      <c r="K3">
        <v>0.97213302300000004</v>
      </c>
    </row>
    <row r="4" spans="1:11" x14ac:dyDescent="0.2">
      <c r="A4" t="s">
        <v>3715</v>
      </c>
      <c r="B4" t="s">
        <v>2574</v>
      </c>
      <c r="C4">
        <v>-0.54365220199999997</v>
      </c>
      <c r="D4">
        <v>-0.54365220199999997</v>
      </c>
      <c r="E4">
        <v>-0.54365220199999997</v>
      </c>
      <c r="F4">
        <v>-0.54365220199999997</v>
      </c>
      <c r="G4">
        <v>-0.54365220199999997</v>
      </c>
      <c r="H4">
        <v>-0.54365220199999997</v>
      </c>
      <c r="I4">
        <v>1.0873044039999999</v>
      </c>
      <c r="J4">
        <v>1.0873044039999999</v>
      </c>
      <c r="K4">
        <v>1.0873044039999999</v>
      </c>
    </row>
    <row r="5" spans="1:11" x14ac:dyDescent="0.2">
      <c r="A5" t="s">
        <v>3716</v>
      </c>
      <c r="B5" t="s">
        <v>2574</v>
      </c>
      <c r="C5">
        <v>-0.48606651099999998</v>
      </c>
      <c r="D5">
        <v>-0.48606651099999998</v>
      </c>
      <c r="E5">
        <v>-0.48606651099999998</v>
      </c>
      <c r="F5">
        <v>-0.48606651099999998</v>
      </c>
      <c r="G5">
        <v>-0.48606651099999998</v>
      </c>
      <c r="H5">
        <v>-0.48606651099999998</v>
      </c>
      <c r="I5">
        <v>0.97213302300000004</v>
      </c>
      <c r="J5">
        <v>0.97213302300000004</v>
      </c>
      <c r="K5">
        <v>0.97213302300000004</v>
      </c>
    </row>
    <row r="6" spans="1:11" x14ac:dyDescent="0.2">
      <c r="A6" t="s">
        <v>3717</v>
      </c>
      <c r="B6" t="s">
        <v>2574</v>
      </c>
      <c r="C6">
        <v>-0.25491254499999999</v>
      </c>
      <c r="D6">
        <v>-0.25491254499999999</v>
      </c>
      <c r="E6">
        <v>-0.25491254499999999</v>
      </c>
      <c r="F6">
        <v>-0.25491254499999999</v>
      </c>
      <c r="G6">
        <v>-0.25491254499999999</v>
      </c>
      <c r="H6">
        <v>-0.25491254499999999</v>
      </c>
      <c r="I6">
        <v>0.50982508999999998</v>
      </c>
      <c r="J6">
        <v>0.50982508999999998</v>
      </c>
      <c r="K6">
        <v>0.50982508999999998</v>
      </c>
    </row>
    <row r="7" spans="1:11" x14ac:dyDescent="0.2">
      <c r="A7" t="s">
        <v>3718</v>
      </c>
      <c r="B7" t="s">
        <v>2574</v>
      </c>
      <c r="C7">
        <v>-4.4357360999999998E-2</v>
      </c>
      <c r="D7">
        <v>-4.4357360999999998E-2</v>
      </c>
      <c r="E7">
        <v>-4.4357360999999998E-2</v>
      </c>
      <c r="F7">
        <v>-0.36019013700000002</v>
      </c>
      <c r="G7">
        <v>-0.36019013700000002</v>
      </c>
      <c r="H7">
        <v>-0.36019013700000002</v>
      </c>
      <c r="I7">
        <v>0.40454749800000001</v>
      </c>
      <c r="J7">
        <v>0.40454749800000001</v>
      </c>
      <c r="K7">
        <v>0.40454749800000001</v>
      </c>
    </row>
    <row r="8" spans="1:11" x14ac:dyDescent="0.2">
      <c r="A8" t="s">
        <v>3719</v>
      </c>
      <c r="B8" t="s">
        <v>2574</v>
      </c>
      <c r="C8">
        <v>-0.117061859</v>
      </c>
      <c r="D8">
        <v>-0.117061859</v>
      </c>
      <c r="E8">
        <v>-0.117061859</v>
      </c>
      <c r="F8">
        <v>-0.49434790699999998</v>
      </c>
      <c r="G8">
        <v>-0.49434790699999998</v>
      </c>
      <c r="H8">
        <v>-0.49434790699999998</v>
      </c>
      <c r="I8">
        <v>0.61140976499999999</v>
      </c>
      <c r="J8">
        <v>0.61140976499999999</v>
      </c>
      <c r="K8">
        <v>0.61140976499999999</v>
      </c>
    </row>
    <row r="9" spans="1:11" x14ac:dyDescent="0.2">
      <c r="A9" t="s">
        <v>3720</v>
      </c>
      <c r="B9" t="s">
        <v>2574</v>
      </c>
      <c r="C9">
        <v>1.4951196999999999E-2</v>
      </c>
      <c r="D9">
        <v>1.4951196999999999E-2</v>
      </c>
      <c r="E9">
        <v>1.4951196999999999E-2</v>
      </c>
      <c r="F9">
        <v>-0.96976194699999996</v>
      </c>
      <c r="G9">
        <v>-0.96976194699999996</v>
      </c>
      <c r="H9">
        <v>-0.96976194699999996</v>
      </c>
      <c r="I9">
        <v>0.95481075100000001</v>
      </c>
      <c r="J9">
        <v>0.95481075100000001</v>
      </c>
      <c r="K9">
        <v>0.95481075100000001</v>
      </c>
    </row>
    <row r="10" spans="1:11" x14ac:dyDescent="0.2">
      <c r="A10" t="s">
        <v>3721</v>
      </c>
      <c r="B10" t="s">
        <v>2574</v>
      </c>
      <c r="C10">
        <v>-9.1907898000000002E-2</v>
      </c>
      <c r="D10">
        <v>-9.1907898000000002E-2</v>
      </c>
      <c r="E10">
        <v>-9.1907898000000002E-2</v>
      </c>
      <c r="F10">
        <v>-0.37586911499999998</v>
      </c>
      <c r="G10">
        <v>-0.37586911499999998</v>
      </c>
      <c r="H10">
        <v>-0.37586911499999998</v>
      </c>
      <c r="I10">
        <v>0.46777701300000002</v>
      </c>
      <c r="J10">
        <v>0.46777701300000002</v>
      </c>
      <c r="K10">
        <v>0.46777701300000002</v>
      </c>
    </row>
    <row r="11" spans="1:11" x14ac:dyDescent="0.2">
      <c r="A11" t="s">
        <v>3722</v>
      </c>
      <c r="B11" t="s">
        <v>2574</v>
      </c>
      <c r="C11">
        <v>-0.25491254499999999</v>
      </c>
      <c r="D11">
        <v>-0.25491254499999999</v>
      </c>
      <c r="E11">
        <v>-0.25491254499999999</v>
      </c>
      <c r="F11">
        <v>-0.25491254499999999</v>
      </c>
      <c r="G11">
        <v>-0.25491254499999999</v>
      </c>
      <c r="H11">
        <v>-0.25491254499999999</v>
      </c>
      <c r="I11">
        <v>0.50982508999999998</v>
      </c>
      <c r="J11">
        <v>0.50982508999999998</v>
      </c>
      <c r="K11">
        <v>0.50982508999999998</v>
      </c>
    </row>
    <row r="12" spans="1:11" x14ac:dyDescent="0.2">
      <c r="A12" t="s">
        <v>3723</v>
      </c>
      <c r="B12" t="s">
        <v>2574</v>
      </c>
      <c r="C12">
        <v>-4.4135158000000001E-2</v>
      </c>
      <c r="D12">
        <v>-4.4135158000000001E-2</v>
      </c>
      <c r="E12">
        <v>-4.4135158000000001E-2</v>
      </c>
      <c r="F12">
        <v>-0.49524857799999999</v>
      </c>
      <c r="G12">
        <v>-0.49524857799999999</v>
      </c>
      <c r="H12">
        <v>-0.49524857799999999</v>
      </c>
      <c r="I12">
        <v>0.539383736</v>
      </c>
      <c r="J12">
        <v>0.539383736</v>
      </c>
      <c r="K12">
        <v>0.539383736</v>
      </c>
    </row>
    <row r="13" spans="1:11" x14ac:dyDescent="0.2">
      <c r="A13" t="s">
        <v>3724</v>
      </c>
      <c r="B13" t="s">
        <v>2574</v>
      </c>
      <c r="C13">
        <v>-0.25491254499999999</v>
      </c>
      <c r="D13">
        <v>-0.25491254499999999</v>
      </c>
      <c r="E13">
        <v>-0.25491254499999999</v>
      </c>
      <c r="F13">
        <v>-0.25491254499999999</v>
      </c>
      <c r="G13">
        <v>-0.25491254499999999</v>
      </c>
      <c r="H13">
        <v>-0.25491254499999999</v>
      </c>
      <c r="I13">
        <v>0.50982508999999998</v>
      </c>
      <c r="J13">
        <v>0.50982508999999998</v>
      </c>
      <c r="K13">
        <v>0.50982508999999998</v>
      </c>
    </row>
    <row r="14" spans="1:11" x14ac:dyDescent="0.2">
      <c r="A14" t="s">
        <v>3725</v>
      </c>
      <c r="B14" t="s">
        <v>2574</v>
      </c>
      <c r="C14">
        <v>-0.23746049799999999</v>
      </c>
      <c r="D14">
        <v>-0.23746049799999999</v>
      </c>
      <c r="E14">
        <v>-0.23746049799999999</v>
      </c>
      <c r="F14">
        <v>-7.3130379999999995E-2</v>
      </c>
      <c r="G14">
        <v>-7.3130379999999995E-2</v>
      </c>
      <c r="H14">
        <v>-7.3130379999999995E-2</v>
      </c>
      <c r="I14">
        <v>0.31059087899999999</v>
      </c>
      <c r="J14">
        <v>0.31059087899999999</v>
      </c>
      <c r="K14">
        <v>0.31059087899999999</v>
      </c>
    </row>
    <row r="15" spans="1:11" x14ac:dyDescent="0.2">
      <c r="A15" t="s">
        <v>3726</v>
      </c>
      <c r="B15" t="s">
        <v>2574</v>
      </c>
      <c r="C15">
        <v>-0.25491254499999999</v>
      </c>
      <c r="D15">
        <v>-0.25491254499999999</v>
      </c>
      <c r="E15">
        <v>-0.25491254499999999</v>
      </c>
      <c r="F15">
        <v>-0.25491254499999999</v>
      </c>
      <c r="G15">
        <v>-0.25491254499999999</v>
      </c>
      <c r="H15">
        <v>-0.25491254499999999</v>
      </c>
      <c r="I15">
        <v>0.50982508999999998</v>
      </c>
      <c r="J15">
        <v>0.50982508999999998</v>
      </c>
      <c r="K15">
        <v>0.50982508999999998</v>
      </c>
    </row>
    <row r="16" spans="1:11" x14ac:dyDescent="0.2">
      <c r="A16" t="s">
        <v>3727</v>
      </c>
      <c r="B16" t="s">
        <v>2574</v>
      </c>
      <c r="C16">
        <v>-0.34487743799999998</v>
      </c>
      <c r="D16">
        <v>-0.34487743799999998</v>
      </c>
      <c r="E16">
        <v>-0.34487743799999998</v>
      </c>
      <c r="F16">
        <v>-0.34487743799999998</v>
      </c>
      <c r="G16">
        <v>-0.34487743799999998</v>
      </c>
      <c r="H16">
        <v>-0.34487743799999998</v>
      </c>
      <c r="I16">
        <v>0.68975487599999996</v>
      </c>
      <c r="J16">
        <v>0.68975487599999996</v>
      </c>
      <c r="K16">
        <v>0.68975487599999996</v>
      </c>
    </row>
    <row r="17" spans="1:11" x14ac:dyDescent="0.2">
      <c r="A17" t="s">
        <v>3728</v>
      </c>
      <c r="B17" t="s">
        <v>2574</v>
      </c>
      <c r="C17">
        <v>-0.38232955699999999</v>
      </c>
      <c r="D17">
        <v>-0.38232955699999999</v>
      </c>
      <c r="E17">
        <v>-0.38232955699999999</v>
      </c>
      <c r="F17">
        <v>-4.6132500999999999E-2</v>
      </c>
      <c r="G17">
        <v>-4.6132500999999999E-2</v>
      </c>
      <c r="H17">
        <v>-4.6132500999999999E-2</v>
      </c>
      <c r="I17">
        <v>0.42846205799999998</v>
      </c>
      <c r="J17">
        <v>0.42846205799999998</v>
      </c>
      <c r="K17">
        <v>0.42846205799999998</v>
      </c>
    </row>
    <row r="18" spans="1:11" x14ac:dyDescent="0.2">
      <c r="A18" t="s">
        <v>3729</v>
      </c>
      <c r="B18" t="s">
        <v>2574</v>
      </c>
      <c r="C18">
        <v>-0.210079828</v>
      </c>
      <c r="D18">
        <v>-0.210079828</v>
      </c>
      <c r="E18">
        <v>-0.210079828</v>
      </c>
      <c r="F18">
        <v>-0.52591260399999995</v>
      </c>
      <c r="G18">
        <v>-0.52591260399999995</v>
      </c>
      <c r="H18">
        <v>-0.52591260399999995</v>
      </c>
      <c r="I18">
        <v>0.735992431</v>
      </c>
      <c r="J18">
        <v>0.735992431</v>
      </c>
      <c r="K18">
        <v>0.735992431</v>
      </c>
    </row>
    <row r="19" spans="1:11" x14ac:dyDescent="0.2">
      <c r="A19" t="s">
        <v>3730</v>
      </c>
      <c r="B19" t="s">
        <v>2574</v>
      </c>
      <c r="C19">
        <v>-4.4135158000000001E-2</v>
      </c>
      <c r="D19">
        <v>-4.4135158000000001E-2</v>
      </c>
      <c r="E19">
        <v>-4.4135158000000001E-2</v>
      </c>
      <c r="F19">
        <v>-0.49524857799999999</v>
      </c>
      <c r="G19">
        <v>-0.49524857799999999</v>
      </c>
      <c r="H19">
        <v>-0.49524857799999999</v>
      </c>
      <c r="I19">
        <v>0.539383736</v>
      </c>
      <c r="J19">
        <v>0.539383736</v>
      </c>
      <c r="K19">
        <v>0.539383736</v>
      </c>
    </row>
    <row r="20" spans="1:11" x14ac:dyDescent="0.2">
      <c r="A20" t="s">
        <v>3731</v>
      </c>
      <c r="B20" t="s">
        <v>2574</v>
      </c>
      <c r="C20">
        <v>-0.25491254499999999</v>
      </c>
      <c r="D20">
        <v>-0.25491254499999999</v>
      </c>
      <c r="E20">
        <v>-0.25491254499999999</v>
      </c>
      <c r="F20">
        <v>-0.25491254499999999</v>
      </c>
      <c r="G20">
        <v>-0.25491254499999999</v>
      </c>
      <c r="H20">
        <v>-0.25491254499999999</v>
      </c>
      <c r="I20">
        <v>0.50982508999999998</v>
      </c>
      <c r="J20">
        <v>0.50982508999999998</v>
      </c>
      <c r="K20">
        <v>0.50982508999999998</v>
      </c>
    </row>
    <row r="21" spans="1:11" x14ac:dyDescent="0.2">
      <c r="A21" t="s">
        <v>3732</v>
      </c>
      <c r="B21" t="s">
        <v>2574</v>
      </c>
      <c r="C21">
        <v>0.114252563</v>
      </c>
      <c r="D21">
        <v>0.114252563</v>
      </c>
      <c r="E21">
        <v>0.114252563</v>
      </c>
      <c r="F21">
        <v>-0.57444243900000003</v>
      </c>
      <c r="G21">
        <v>-0.57444243900000003</v>
      </c>
      <c r="H21">
        <v>-0.57444243900000003</v>
      </c>
      <c r="I21">
        <v>0.460189876</v>
      </c>
      <c r="J21">
        <v>0.460189876</v>
      </c>
      <c r="K21">
        <v>0.460189876</v>
      </c>
    </row>
    <row r="22" spans="1:11" x14ac:dyDescent="0.2">
      <c r="A22" t="s">
        <v>3733</v>
      </c>
      <c r="B22" t="s">
        <v>2574</v>
      </c>
      <c r="C22">
        <v>-0.34487743799999998</v>
      </c>
      <c r="D22">
        <v>-0.34487743799999998</v>
      </c>
      <c r="E22">
        <v>-0.34487743799999998</v>
      </c>
      <c r="F22">
        <v>-0.34487743799999998</v>
      </c>
      <c r="G22">
        <v>-0.34487743799999998</v>
      </c>
      <c r="H22">
        <v>-0.34487743799999998</v>
      </c>
      <c r="I22">
        <v>0.68975487599999996</v>
      </c>
      <c r="J22">
        <v>0.68975487599999996</v>
      </c>
      <c r="K22">
        <v>0.68975487599999996</v>
      </c>
    </row>
    <row r="23" spans="1:11" x14ac:dyDescent="0.2">
      <c r="A23" t="s">
        <v>3734</v>
      </c>
      <c r="B23" t="s">
        <v>2574</v>
      </c>
      <c r="C23">
        <v>-0.26073348499999999</v>
      </c>
      <c r="D23">
        <v>-0.26073348499999999</v>
      </c>
      <c r="E23">
        <v>-0.26073348499999999</v>
      </c>
      <c r="F23">
        <v>-3.8217940999999998E-2</v>
      </c>
      <c r="G23">
        <v>-3.8217940999999998E-2</v>
      </c>
      <c r="H23">
        <v>-3.8217940999999998E-2</v>
      </c>
      <c r="I23">
        <v>0.29895142600000002</v>
      </c>
      <c r="J23">
        <v>0.29895142600000002</v>
      </c>
      <c r="K23">
        <v>0.29895142600000002</v>
      </c>
    </row>
    <row r="24" spans="1:11" x14ac:dyDescent="0.2">
      <c r="A24" t="s">
        <v>3735</v>
      </c>
      <c r="B24" t="s">
        <v>2574</v>
      </c>
      <c r="C24">
        <v>-0.16037380400000001</v>
      </c>
      <c r="D24">
        <v>-0.16037380400000001</v>
      </c>
      <c r="E24">
        <v>-0.16037380400000001</v>
      </c>
      <c r="F24">
        <v>-0.45289251899999999</v>
      </c>
      <c r="G24">
        <v>-0.45289251899999999</v>
      </c>
      <c r="H24">
        <v>-0.45289251899999999</v>
      </c>
      <c r="I24">
        <v>0.61326632299999995</v>
      </c>
      <c r="J24">
        <v>0.61326632299999995</v>
      </c>
      <c r="K24">
        <v>0.61326632299999995</v>
      </c>
    </row>
    <row r="25" spans="1:11" x14ac:dyDescent="0.2">
      <c r="A25" t="s">
        <v>3736</v>
      </c>
      <c r="B25" t="s">
        <v>2574</v>
      </c>
      <c r="C25">
        <v>-0.124478243</v>
      </c>
      <c r="D25">
        <v>-0.124478243</v>
      </c>
      <c r="E25">
        <v>-0.124478243</v>
      </c>
      <c r="F25">
        <v>-0.24202452499999999</v>
      </c>
      <c r="G25">
        <v>-0.24202452499999999</v>
      </c>
      <c r="H25">
        <v>-0.24202452499999999</v>
      </c>
      <c r="I25">
        <v>0.36650276799999998</v>
      </c>
      <c r="J25">
        <v>0.36650276799999998</v>
      </c>
      <c r="K25">
        <v>0.36650276799999998</v>
      </c>
    </row>
    <row r="26" spans="1:11" x14ac:dyDescent="0.2">
      <c r="A26" t="s">
        <v>3737</v>
      </c>
      <c r="B26" t="s">
        <v>2574</v>
      </c>
      <c r="C26">
        <v>3.2163550000000002E-3</v>
      </c>
      <c r="D26">
        <v>3.2163550000000002E-3</v>
      </c>
      <c r="E26">
        <v>3.2163550000000002E-3</v>
      </c>
      <c r="F26">
        <v>-0.30587182400000001</v>
      </c>
      <c r="G26">
        <v>-0.30587182400000001</v>
      </c>
      <c r="H26">
        <v>-0.30587182400000001</v>
      </c>
      <c r="I26">
        <v>0.30265546900000001</v>
      </c>
      <c r="J26">
        <v>0.30265546900000001</v>
      </c>
      <c r="K26">
        <v>0.30265546900000001</v>
      </c>
    </row>
    <row r="27" spans="1:11" x14ac:dyDescent="0.2">
      <c r="A27" t="s">
        <v>3738</v>
      </c>
      <c r="B27" t="s">
        <v>2574</v>
      </c>
      <c r="C27">
        <v>-0.25491254499999999</v>
      </c>
      <c r="D27">
        <v>-0.25491254499999999</v>
      </c>
      <c r="E27">
        <v>-0.25491254499999999</v>
      </c>
      <c r="F27">
        <v>-0.25491254499999999</v>
      </c>
      <c r="G27">
        <v>-0.25491254499999999</v>
      </c>
      <c r="H27">
        <v>-0.25491254499999999</v>
      </c>
      <c r="I27">
        <v>0.50982508999999998</v>
      </c>
      <c r="J27">
        <v>0.50982508999999998</v>
      </c>
      <c r="K27">
        <v>0.50982508999999998</v>
      </c>
    </row>
    <row r="28" spans="1:11" x14ac:dyDescent="0.2">
      <c r="A28" t="s">
        <v>3739</v>
      </c>
      <c r="B28" t="s">
        <v>2574</v>
      </c>
      <c r="C28">
        <v>-0.25491254499999999</v>
      </c>
      <c r="D28">
        <v>-0.25491254499999999</v>
      </c>
      <c r="E28">
        <v>-0.25491254499999999</v>
      </c>
      <c r="F28">
        <v>-0.25491254499999999</v>
      </c>
      <c r="G28">
        <v>-0.25491254499999999</v>
      </c>
      <c r="H28">
        <v>-0.25491254499999999</v>
      </c>
      <c r="I28">
        <v>0.50982508999999998</v>
      </c>
      <c r="J28">
        <v>0.50982508999999998</v>
      </c>
      <c r="K28">
        <v>0.50982508999999998</v>
      </c>
    </row>
    <row r="29" spans="1:11" x14ac:dyDescent="0.2">
      <c r="A29" t="s">
        <v>3740</v>
      </c>
      <c r="B29" t="s">
        <v>2574</v>
      </c>
      <c r="C29">
        <v>-0.48606651099999998</v>
      </c>
      <c r="D29">
        <v>-0.48606651099999998</v>
      </c>
      <c r="E29">
        <v>-0.48606651099999998</v>
      </c>
      <c r="F29">
        <v>-0.48606651099999998</v>
      </c>
      <c r="G29">
        <v>-0.48606651099999998</v>
      </c>
      <c r="H29">
        <v>-0.48606651099999998</v>
      </c>
      <c r="I29">
        <v>0.97213302300000004</v>
      </c>
      <c r="J29">
        <v>0.97213302300000004</v>
      </c>
      <c r="K29">
        <v>0.97213302300000004</v>
      </c>
    </row>
    <row r="30" spans="1:11" x14ac:dyDescent="0.2">
      <c r="A30" t="s">
        <v>3741</v>
      </c>
      <c r="B30" t="s">
        <v>2574</v>
      </c>
      <c r="C30">
        <v>-0.134322254</v>
      </c>
      <c r="D30">
        <v>-0.134322254</v>
      </c>
      <c r="E30">
        <v>-0.134322254</v>
      </c>
      <c r="F30">
        <v>-0.45015503000000001</v>
      </c>
      <c r="G30">
        <v>-0.45015503000000001</v>
      </c>
      <c r="H30">
        <v>-0.45015503000000001</v>
      </c>
      <c r="I30">
        <v>0.58447728399999999</v>
      </c>
      <c r="J30">
        <v>0.58447728399999999</v>
      </c>
      <c r="K30">
        <v>0.58447728399999999</v>
      </c>
    </row>
    <row r="31" spans="1:11" x14ac:dyDescent="0.2">
      <c r="A31" t="s">
        <v>3742</v>
      </c>
      <c r="B31" t="s">
        <v>2574</v>
      </c>
      <c r="C31">
        <v>-0.25491254499999999</v>
      </c>
      <c r="D31">
        <v>-0.25491254499999999</v>
      </c>
      <c r="E31">
        <v>-0.25491254499999999</v>
      </c>
      <c r="F31">
        <v>-0.25491254499999999</v>
      </c>
      <c r="G31">
        <v>-0.25491254499999999</v>
      </c>
      <c r="H31">
        <v>-0.25491254499999999</v>
      </c>
      <c r="I31">
        <v>0.50982508999999998</v>
      </c>
      <c r="J31">
        <v>0.50982508999999998</v>
      </c>
      <c r="K31">
        <v>0.50982508999999998</v>
      </c>
    </row>
    <row r="32" spans="1:11" x14ac:dyDescent="0.2">
      <c r="A32" t="s">
        <v>3743</v>
      </c>
      <c r="B32" t="s">
        <v>2574</v>
      </c>
      <c r="C32">
        <v>-0.25491254499999999</v>
      </c>
      <c r="D32">
        <v>-0.25491254499999999</v>
      </c>
      <c r="E32">
        <v>-0.25491254499999999</v>
      </c>
      <c r="F32">
        <v>-0.25491254499999999</v>
      </c>
      <c r="G32">
        <v>-0.25491254499999999</v>
      </c>
      <c r="H32">
        <v>-0.25491254499999999</v>
      </c>
      <c r="I32">
        <v>0.50982508999999998</v>
      </c>
      <c r="J32">
        <v>0.50982508999999998</v>
      </c>
      <c r="K32">
        <v>0.50982508999999998</v>
      </c>
    </row>
    <row r="33" spans="1:11" x14ac:dyDescent="0.2">
      <c r="A33" t="s">
        <v>3744</v>
      </c>
      <c r="B33" t="s">
        <v>2579</v>
      </c>
      <c r="C33">
        <v>0.27459535099999999</v>
      </c>
      <c r="D33">
        <v>0.27459535099999999</v>
      </c>
      <c r="E33">
        <v>0.27459535099999999</v>
      </c>
      <c r="F33">
        <v>-0.51966649300000001</v>
      </c>
      <c r="G33">
        <v>-0.51966649300000001</v>
      </c>
      <c r="H33">
        <v>-0.51966649300000001</v>
      </c>
      <c r="I33">
        <v>0.24507114199999999</v>
      </c>
      <c r="J33">
        <v>0.24507114199999999</v>
      </c>
      <c r="K33">
        <v>0.24507114199999999</v>
      </c>
    </row>
    <row r="34" spans="1:11" x14ac:dyDescent="0.2">
      <c r="A34" t="s">
        <v>3745</v>
      </c>
      <c r="B34" t="s">
        <v>2579</v>
      </c>
      <c r="C34">
        <v>0.184630458</v>
      </c>
      <c r="D34">
        <v>0.184630458</v>
      </c>
      <c r="E34">
        <v>0.184630458</v>
      </c>
      <c r="F34">
        <v>-0.609631386</v>
      </c>
      <c r="G34">
        <v>-0.609631386</v>
      </c>
      <c r="H34">
        <v>-0.609631386</v>
      </c>
      <c r="I34">
        <v>0.425000928</v>
      </c>
      <c r="J34">
        <v>0.425000928</v>
      </c>
      <c r="K34">
        <v>0.425000928</v>
      </c>
    </row>
    <row r="35" spans="1:11" x14ac:dyDescent="0.2">
      <c r="A35" t="s">
        <v>3746</v>
      </c>
      <c r="B35" t="s">
        <v>2579</v>
      </c>
      <c r="C35">
        <v>0.184630458</v>
      </c>
      <c r="D35">
        <v>0.184630458</v>
      </c>
      <c r="E35">
        <v>0.184630458</v>
      </c>
      <c r="F35">
        <v>-0.609631386</v>
      </c>
      <c r="G35">
        <v>-0.609631386</v>
      </c>
      <c r="H35">
        <v>-0.609631386</v>
      </c>
      <c r="I35">
        <v>0.425000928</v>
      </c>
      <c r="J35">
        <v>0.425000928</v>
      </c>
      <c r="K35">
        <v>0.425000928</v>
      </c>
    </row>
    <row r="36" spans="1:11" x14ac:dyDescent="0.2">
      <c r="A36" t="s">
        <v>3747</v>
      </c>
      <c r="B36" t="s">
        <v>2579</v>
      </c>
      <c r="C36">
        <v>0.47526394</v>
      </c>
      <c r="D36">
        <v>0.47526394</v>
      </c>
      <c r="E36">
        <v>0.47526394</v>
      </c>
      <c r="F36">
        <v>-0.75494812700000002</v>
      </c>
      <c r="G36">
        <v>-0.75494812700000002</v>
      </c>
      <c r="H36">
        <v>-0.75494812700000002</v>
      </c>
      <c r="I36">
        <v>0.27968418699999997</v>
      </c>
      <c r="J36">
        <v>0.27968418699999997</v>
      </c>
      <c r="K36">
        <v>0.27968418699999997</v>
      </c>
    </row>
    <row r="37" spans="1:11" x14ac:dyDescent="0.2">
      <c r="A37" t="s">
        <v>3748</v>
      </c>
      <c r="B37" t="s">
        <v>2579</v>
      </c>
      <c r="C37">
        <v>1.1109588319999999</v>
      </c>
      <c r="D37">
        <v>1.1109588319999999</v>
      </c>
      <c r="E37">
        <v>1.1109588319999999</v>
      </c>
      <c r="F37">
        <v>-1.186431934</v>
      </c>
      <c r="G37">
        <v>-1.186431934</v>
      </c>
      <c r="H37">
        <v>-1.186431934</v>
      </c>
      <c r="I37">
        <v>7.5473102E-2</v>
      </c>
      <c r="J37">
        <v>7.5473102E-2</v>
      </c>
      <c r="K37">
        <v>7.5473102E-2</v>
      </c>
    </row>
    <row r="38" spans="1:11" x14ac:dyDescent="0.2">
      <c r="A38" t="s">
        <v>3749</v>
      </c>
      <c r="B38" t="s">
        <v>2579</v>
      </c>
      <c r="C38">
        <v>0.27459535099999999</v>
      </c>
      <c r="D38">
        <v>0.27459535099999999</v>
      </c>
      <c r="E38">
        <v>0.27459535099999999</v>
      </c>
      <c r="F38">
        <v>-0.51966649300000001</v>
      </c>
      <c r="G38">
        <v>-0.51966649300000001</v>
      </c>
      <c r="H38">
        <v>-0.51966649300000001</v>
      </c>
      <c r="I38">
        <v>0.24507114199999999</v>
      </c>
      <c r="J38">
        <v>0.24507114199999999</v>
      </c>
      <c r="K38">
        <v>0.24507114199999999</v>
      </c>
    </row>
    <row r="39" spans="1:11" x14ac:dyDescent="0.2">
      <c r="A39" t="s">
        <v>3750</v>
      </c>
      <c r="B39" t="s">
        <v>2579</v>
      </c>
      <c r="C39">
        <v>0.25020784099999999</v>
      </c>
      <c r="D39">
        <v>0.25020784099999999</v>
      </c>
      <c r="E39">
        <v>0.25020784099999999</v>
      </c>
      <c r="F39">
        <v>-0.64242007800000001</v>
      </c>
      <c r="G39">
        <v>-0.64242007800000001</v>
      </c>
      <c r="H39">
        <v>-0.64242007800000001</v>
      </c>
      <c r="I39">
        <v>0.39221223700000002</v>
      </c>
      <c r="J39">
        <v>0.39221223700000002</v>
      </c>
      <c r="K39">
        <v>0.39221223700000002</v>
      </c>
    </row>
    <row r="40" spans="1:11" x14ac:dyDescent="0.2">
      <c r="A40" t="s">
        <v>3751</v>
      </c>
      <c r="B40" t="s">
        <v>2579</v>
      </c>
      <c r="C40">
        <v>0.84275281700000004</v>
      </c>
      <c r="D40">
        <v>0.84275281700000004</v>
      </c>
      <c r="E40">
        <v>0.84275281700000004</v>
      </c>
      <c r="F40">
        <v>-0.54970257700000003</v>
      </c>
      <c r="G40">
        <v>-0.54970257700000003</v>
      </c>
      <c r="H40">
        <v>-0.54970257700000003</v>
      </c>
      <c r="I40">
        <v>-0.29305024099999999</v>
      </c>
      <c r="J40">
        <v>-0.29305024099999999</v>
      </c>
      <c r="K40">
        <v>-0.29305024099999999</v>
      </c>
    </row>
    <row r="41" spans="1:11" x14ac:dyDescent="0.2">
      <c r="A41" t="s">
        <v>3752</v>
      </c>
      <c r="B41" t="s">
        <v>2579</v>
      </c>
      <c r="C41">
        <v>0.184630458</v>
      </c>
      <c r="D41">
        <v>0.184630458</v>
      </c>
      <c r="E41">
        <v>0.184630458</v>
      </c>
      <c r="F41">
        <v>-0.609631386</v>
      </c>
      <c r="G41">
        <v>-0.609631386</v>
      </c>
      <c r="H41">
        <v>-0.609631386</v>
      </c>
      <c r="I41">
        <v>0.425000928</v>
      </c>
      <c r="J41">
        <v>0.425000928</v>
      </c>
      <c r="K41">
        <v>0.425000928</v>
      </c>
    </row>
    <row r="42" spans="1:11" x14ac:dyDescent="0.2">
      <c r="A42" t="s">
        <v>3753</v>
      </c>
      <c r="B42" t="s">
        <v>2579</v>
      </c>
      <c r="C42">
        <v>0.184630458</v>
      </c>
      <c r="D42">
        <v>0.184630458</v>
      </c>
      <c r="E42">
        <v>0.184630458</v>
      </c>
      <c r="F42">
        <v>-0.609631386</v>
      </c>
      <c r="G42">
        <v>-0.609631386</v>
      </c>
      <c r="H42">
        <v>-0.609631386</v>
      </c>
      <c r="I42">
        <v>0.425000928</v>
      </c>
      <c r="J42">
        <v>0.425000928</v>
      </c>
      <c r="K42">
        <v>0.425000928</v>
      </c>
    </row>
    <row r="43" spans="1:11" x14ac:dyDescent="0.2">
      <c r="A43" t="s">
        <v>3754</v>
      </c>
      <c r="B43" t="s">
        <v>2579</v>
      </c>
      <c r="C43">
        <v>1.866749131</v>
      </c>
      <c r="D43">
        <v>1.866749131</v>
      </c>
      <c r="E43">
        <v>1.866749131</v>
      </c>
      <c r="F43">
        <v>-1.7488528679999999</v>
      </c>
      <c r="G43">
        <v>-1.7488528679999999</v>
      </c>
      <c r="H43">
        <v>-1.7488528679999999</v>
      </c>
      <c r="I43">
        <v>-0.117896263</v>
      </c>
      <c r="J43">
        <v>-0.117896263</v>
      </c>
      <c r="K43">
        <v>-0.117896263</v>
      </c>
    </row>
    <row r="44" spans="1:11" x14ac:dyDescent="0.2">
      <c r="A44" t="s">
        <v>3755</v>
      </c>
      <c r="B44" t="s">
        <v>2579</v>
      </c>
      <c r="C44">
        <v>0.41884407899999998</v>
      </c>
      <c r="D44">
        <v>0.41884407899999998</v>
      </c>
      <c r="E44">
        <v>0.41884407899999998</v>
      </c>
      <c r="F44">
        <v>-0.70391219699999996</v>
      </c>
      <c r="G44">
        <v>-0.70391219699999996</v>
      </c>
      <c r="H44">
        <v>-0.70391219699999996</v>
      </c>
      <c r="I44">
        <v>0.28506811799999998</v>
      </c>
      <c r="J44">
        <v>0.28506811799999998</v>
      </c>
      <c r="K44">
        <v>0.28506811799999998</v>
      </c>
    </row>
    <row r="45" spans="1:11" x14ac:dyDescent="0.2">
      <c r="A45" t="s">
        <v>3756</v>
      </c>
      <c r="B45" t="s">
        <v>2579</v>
      </c>
      <c r="C45">
        <v>0.51191666700000005</v>
      </c>
      <c r="D45">
        <v>0.51191666700000005</v>
      </c>
      <c r="E45">
        <v>0.51191666700000005</v>
      </c>
      <c r="F45">
        <v>-0.67778139800000003</v>
      </c>
      <c r="G45">
        <v>-0.67778139800000003</v>
      </c>
      <c r="H45">
        <v>-0.67778139800000003</v>
      </c>
      <c r="I45">
        <v>0.16586473099999999</v>
      </c>
      <c r="J45">
        <v>0.16586473099999999</v>
      </c>
      <c r="K45">
        <v>0.16586473099999999</v>
      </c>
    </row>
    <row r="46" spans="1:11" x14ac:dyDescent="0.2">
      <c r="A46" t="s">
        <v>3757</v>
      </c>
      <c r="B46" t="s">
        <v>2579</v>
      </c>
      <c r="C46">
        <v>0.364658339</v>
      </c>
      <c r="D46">
        <v>0.364658339</v>
      </c>
      <c r="E46">
        <v>0.364658339</v>
      </c>
      <c r="F46">
        <v>-0.60271736200000003</v>
      </c>
      <c r="G46">
        <v>-0.60271736200000003</v>
      </c>
      <c r="H46">
        <v>-0.60271736200000003</v>
      </c>
      <c r="I46">
        <v>0.23805902400000001</v>
      </c>
      <c r="J46">
        <v>0.23805902400000001</v>
      </c>
      <c r="K46">
        <v>0.23805902400000001</v>
      </c>
    </row>
    <row r="47" spans="1:11" x14ac:dyDescent="0.2">
      <c r="A47" t="s">
        <v>3758</v>
      </c>
      <c r="B47" t="s">
        <v>2579</v>
      </c>
      <c r="C47">
        <v>0.20421745599999999</v>
      </c>
      <c r="D47">
        <v>0.20421745599999999</v>
      </c>
      <c r="E47">
        <v>0.20421745599999999</v>
      </c>
      <c r="F47">
        <v>-0.48447754599999998</v>
      </c>
      <c r="G47">
        <v>-0.48447754599999998</v>
      </c>
      <c r="H47">
        <v>-0.48447754599999998</v>
      </c>
      <c r="I47">
        <v>0.28026008899999999</v>
      </c>
      <c r="J47">
        <v>0.28026008899999999</v>
      </c>
      <c r="K47">
        <v>0.28026008899999999</v>
      </c>
    </row>
    <row r="48" spans="1:11" x14ac:dyDescent="0.2">
      <c r="A48" t="s">
        <v>3759</v>
      </c>
      <c r="B48" t="s">
        <v>2579</v>
      </c>
      <c r="C48">
        <v>0.429511382</v>
      </c>
      <c r="D48">
        <v>0.429511382</v>
      </c>
      <c r="E48">
        <v>0.429511382</v>
      </c>
      <c r="F48">
        <v>-0.94385545800000004</v>
      </c>
      <c r="G48">
        <v>-0.94385545800000004</v>
      </c>
      <c r="H48">
        <v>-0.94385545800000004</v>
      </c>
      <c r="I48">
        <v>0.51434407599999998</v>
      </c>
      <c r="J48">
        <v>0.51434407599999998</v>
      </c>
      <c r="K48">
        <v>0.51434407599999998</v>
      </c>
    </row>
    <row r="49" spans="1:11" x14ac:dyDescent="0.2">
      <c r="A49" t="s">
        <v>3760</v>
      </c>
      <c r="B49" t="s">
        <v>2598</v>
      </c>
      <c r="C49">
        <v>0.64817306100000005</v>
      </c>
      <c r="D49">
        <v>0.64817306100000005</v>
      </c>
      <c r="E49">
        <v>0.64817306100000005</v>
      </c>
      <c r="F49">
        <v>0.207244122</v>
      </c>
      <c r="G49">
        <v>0.207244122</v>
      </c>
      <c r="H49">
        <v>0.207244122</v>
      </c>
      <c r="I49">
        <v>-0.85541718300000003</v>
      </c>
      <c r="J49">
        <v>-0.85541718300000003</v>
      </c>
      <c r="K49">
        <v>-0.85541718300000003</v>
      </c>
    </row>
    <row r="50" spans="1:11" x14ac:dyDescent="0.2">
      <c r="A50" t="s">
        <v>3761</v>
      </c>
      <c r="B50" t="s">
        <v>2598</v>
      </c>
      <c r="C50">
        <v>0.64817306100000005</v>
      </c>
      <c r="D50">
        <v>0.64817306100000005</v>
      </c>
      <c r="E50">
        <v>0.64817306100000005</v>
      </c>
      <c r="F50">
        <v>0.207244122</v>
      </c>
      <c r="G50">
        <v>0.207244122</v>
      </c>
      <c r="H50">
        <v>0.207244122</v>
      </c>
      <c r="I50">
        <v>-0.85541718300000003</v>
      </c>
      <c r="J50">
        <v>-0.85541718300000003</v>
      </c>
      <c r="K50">
        <v>-0.85541718300000003</v>
      </c>
    </row>
    <row r="51" spans="1:11" x14ac:dyDescent="0.2">
      <c r="A51" t="s">
        <v>3762</v>
      </c>
      <c r="B51" t="s">
        <v>2598</v>
      </c>
      <c r="C51">
        <v>0.68347968800000003</v>
      </c>
      <c r="D51">
        <v>0.68347968800000003</v>
      </c>
      <c r="E51">
        <v>0.68347968800000003</v>
      </c>
      <c r="F51">
        <v>0.18744402600000001</v>
      </c>
      <c r="G51">
        <v>0.18744402600000001</v>
      </c>
      <c r="H51">
        <v>0.18744402600000001</v>
      </c>
      <c r="I51">
        <v>-0.87092371400000002</v>
      </c>
      <c r="J51">
        <v>-0.87092371400000002</v>
      </c>
      <c r="K51">
        <v>-0.87092371400000002</v>
      </c>
    </row>
    <row r="52" spans="1:11" x14ac:dyDescent="0.2">
      <c r="A52" t="s">
        <v>3763</v>
      </c>
      <c r="B52" t="s">
        <v>2598</v>
      </c>
      <c r="C52">
        <v>0.51482245400000004</v>
      </c>
      <c r="D52">
        <v>0.51482245400000004</v>
      </c>
      <c r="E52">
        <v>0.51482245400000004</v>
      </c>
      <c r="F52">
        <v>0.27391942600000002</v>
      </c>
      <c r="G52">
        <v>0.27391942600000002</v>
      </c>
      <c r="H52">
        <v>0.27391942600000002</v>
      </c>
      <c r="I52">
        <v>-0.78874188000000001</v>
      </c>
      <c r="J52">
        <v>-0.78874188000000001</v>
      </c>
      <c r="K52">
        <v>-0.78874188000000001</v>
      </c>
    </row>
    <row r="53" spans="1:11" x14ac:dyDescent="0.2">
      <c r="A53" t="s">
        <v>3764</v>
      </c>
      <c r="B53" t="s">
        <v>2598</v>
      </c>
      <c r="C53">
        <v>0.64817306100000005</v>
      </c>
      <c r="D53">
        <v>0.64817306100000005</v>
      </c>
      <c r="E53">
        <v>0.64817306100000005</v>
      </c>
      <c r="F53">
        <v>0.207244122</v>
      </c>
      <c r="G53">
        <v>0.207244122</v>
      </c>
      <c r="H53">
        <v>0.207244122</v>
      </c>
      <c r="I53">
        <v>-0.85541718300000003</v>
      </c>
      <c r="J53">
        <v>-0.85541718300000003</v>
      </c>
      <c r="K53">
        <v>-0.85541718300000003</v>
      </c>
    </row>
    <row r="54" spans="1:11" x14ac:dyDescent="0.2">
      <c r="A54" t="s">
        <v>3765</v>
      </c>
      <c r="B54" t="s">
        <v>2598</v>
      </c>
      <c r="C54">
        <v>0.82614359800000003</v>
      </c>
      <c r="D54">
        <v>0.82614359800000003</v>
      </c>
      <c r="E54">
        <v>0.82614359800000003</v>
      </c>
      <c r="F54">
        <v>-0.23019720399999999</v>
      </c>
      <c r="G54">
        <v>-0.23019720399999999</v>
      </c>
      <c r="H54">
        <v>-0.23019720399999999</v>
      </c>
      <c r="I54">
        <v>-0.59594639400000005</v>
      </c>
      <c r="J54">
        <v>-0.59594639400000005</v>
      </c>
      <c r="K54">
        <v>-0.59594639400000005</v>
      </c>
    </row>
    <row r="55" spans="1:11" x14ac:dyDescent="0.2">
      <c r="A55" t="s">
        <v>3766</v>
      </c>
      <c r="B55" t="s">
        <v>2598</v>
      </c>
      <c r="C55">
        <v>0.74826915199999999</v>
      </c>
      <c r="D55">
        <v>0.74826915199999999</v>
      </c>
      <c r="E55">
        <v>0.74826915199999999</v>
      </c>
      <c r="F55">
        <v>0.83632546600000002</v>
      </c>
      <c r="G55">
        <v>0.83632546600000002</v>
      </c>
      <c r="H55">
        <v>0.83632546600000002</v>
      </c>
      <c r="I55">
        <v>-1.5845946179999999</v>
      </c>
      <c r="J55">
        <v>-1.5845946179999999</v>
      </c>
      <c r="K55">
        <v>-1.5845946179999999</v>
      </c>
    </row>
    <row r="56" spans="1:11" x14ac:dyDescent="0.2">
      <c r="A56" t="s">
        <v>3767</v>
      </c>
      <c r="B56" t="s">
        <v>2598</v>
      </c>
      <c r="C56">
        <v>0.64606696200000002</v>
      </c>
      <c r="D56">
        <v>0.64606696200000002</v>
      </c>
      <c r="E56">
        <v>0.64606696200000002</v>
      </c>
      <c r="F56">
        <v>9.2514028999999998E-2</v>
      </c>
      <c r="G56">
        <v>9.2514028999999998E-2</v>
      </c>
      <c r="H56">
        <v>9.2514028999999998E-2</v>
      </c>
      <c r="I56">
        <v>-0.73858099099999996</v>
      </c>
      <c r="J56">
        <v>-0.73858099099999996</v>
      </c>
      <c r="K56">
        <v>-0.73858099099999996</v>
      </c>
    </row>
    <row r="57" spans="1:11" x14ac:dyDescent="0.2">
      <c r="A57" t="s">
        <v>3768</v>
      </c>
      <c r="B57" t="s">
        <v>2598</v>
      </c>
      <c r="C57">
        <v>0.93306731099999995</v>
      </c>
      <c r="D57">
        <v>0.93306731099999995</v>
      </c>
      <c r="E57">
        <v>0.93306731099999995</v>
      </c>
      <c r="F57">
        <v>0.279940309</v>
      </c>
      <c r="G57">
        <v>0.279940309</v>
      </c>
      <c r="H57">
        <v>0.279940309</v>
      </c>
      <c r="I57">
        <v>-1.2130076190000001</v>
      </c>
      <c r="J57">
        <v>-1.2130076190000001</v>
      </c>
      <c r="K57">
        <v>-1.2130076190000001</v>
      </c>
    </row>
    <row r="58" spans="1:11" x14ac:dyDescent="0.2">
      <c r="A58" t="s">
        <v>3769</v>
      </c>
      <c r="B58" t="s">
        <v>2598</v>
      </c>
      <c r="C58">
        <v>0.75478715699999999</v>
      </c>
      <c r="D58">
        <v>0.75478715699999999</v>
      </c>
      <c r="E58">
        <v>0.75478715699999999</v>
      </c>
      <c r="F58">
        <v>-1.3288431999999999E-2</v>
      </c>
      <c r="G58">
        <v>-1.3288431999999999E-2</v>
      </c>
      <c r="H58">
        <v>-1.3288431999999999E-2</v>
      </c>
      <c r="I58">
        <v>-0.74149872500000003</v>
      </c>
      <c r="J58">
        <v>-0.74149872500000003</v>
      </c>
      <c r="K58">
        <v>-0.74149872500000003</v>
      </c>
    </row>
    <row r="59" spans="1:11" x14ac:dyDescent="0.2">
      <c r="A59" t="s">
        <v>3770</v>
      </c>
      <c r="B59" t="s">
        <v>2598</v>
      </c>
      <c r="C59">
        <v>0.37139358</v>
      </c>
      <c r="D59">
        <v>0.37139358</v>
      </c>
      <c r="E59">
        <v>0.37139358</v>
      </c>
      <c r="F59">
        <v>0.56077717400000004</v>
      </c>
      <c r="G59">
        <v>0.56077717400000004</v>
      </c>
      <c r="H59">
        <v>0.56077717400000004</v>
      </c>
      <c r="I59">
        <v>-0.93217075400000005</v>
      </c>
      <c r="J59">
        <v>-0.93217075400000005</v>
      </c>
      <c r="K59">
        <v>-0.93217075400000005</v>
      </c>
    </row>
    <row r="60" spans="1:11" x14ac:dyDescent="0.2">
      <c r="A60" t="s">
        <v>3771</v>
      </c>
      <c r="B60" t="s">
        <v>2598</v>
      </c>
      <c r="C60">
        <v>3.2619189730000002</v>
      </c>
      <c r="D60">
        <v>3.2619189730000002</v>
      </c>
      <c r="E60">
        <v>3.2619189730000002</v>
      </c>
      <c r="F60">
        <v>-0.98406586699999998</v>
      </c>
      <c r="G60">
        <v>-0.98406586699999998</v>
      </c>
      <c r="H60">
        <v>-0.98406586699999998</v>
      </c>
      <c r="I60">
        <v>-2.2778531050000002</v>
      </c>
      <c r="J60">
        <v>-2.2778531050000002</v>
      </c>
      <c r="K60">
        <v>-2.2778531050000002</v>
      </c>
    </row>
    <row r="61" spans="1:11" x14ac:dyDescent="0.2">
      <c r="A61" t="s">
        <v>3772</v>
      </c>
      <c r="B61" t="s">
        <v>2600</v>
      </c>
      <c r="C61">
        <v>0.196831759</v>
      </c>
      <c r="D61">
        <v>0.196831759</v>
      </c>
      <c r="E61">
        <v>0.196831759</v>
      </c>
      <c r="F61">
        <v>-8.7129459000000006E-2</v>
      </c>
      <c r="G61">
        <v>-8.7129459000000006E-2</v>
      </c>
      <c r="H61">
        <v>-8.7129459000000006E-2</v>
      </c>
      <c r="I61">
        <v>-0.1097023</v>
      </c>
      <c r="J61">
        <v>-0.1097023</v>
      </c>
      <c r="K61">
        <v>-0.1097023</v>
      </c>
    </row>
    <row r="62" spans="1:11" x14ac:dyDescent="0.2">
      <c r="A62" t="s">
        <v>3773</v>
      </c>
      <c r="B62" t="s">
        <v>2600</v>
      </c>
      <c r="C62">
        <v>-0.169589977</v>
      </c>
      <c r="D62">
        <v>-0.169589977</v>
      </c>
      <c r="E62">
        <v>-0.169589977</v>
      </c>
      <c r="F62">
        <v>9.8809484000000003E-2</v>
      </c>
      <c r="G62">
        <v>9.8809484000000003E-2</v>
      </c>
      <c r="H62">
        <v>9.8809484000000003E-2</v>
      </c>
      <c r="I62">
        <v>7.0780493E-2</v>
      </c>
      <c r="J62">
        <v>7.0780493E-2</v>
      </c>
      <c r="K62">
        <v>7.0780493E-2</v>
      </c>
    </row>
    <row r="63" spans="1:11" x14ac:dyDescent="0.2">
      <c r="A63" t="s">
        <v>3774</v>
      </c>
      <c r="B63" t="s">
        <v>2600</v>
      </c>
      <c r="C63">
        <v>0.41352197600000001</v>
      </c>
      <c r="D63">
        <v>0.41352197600000001</v>
      </c>
      <c r="E63">
        <v>0.41352197600000001</v>
      </c>
      <c r="F63">
        <v>-5.2871639999999998E-2</v>
      </c>
      <c r="G63">
        <v>-5.2871639999999998E-2</v>
      </c>
      <c r="H63">
        <v>-5.2871639999999998E-2</v>
      </c>
      <c r="I63">
        <v>-0.36065033600000002</v>
      </c>
      <c r="J63">
        <v>-0.36065033600000002</v>
      </c>
      <c r="K63">
        <v>-0.36065033600000002</v>
      </c>
    </row>
    <row r="64" spans="1:11" x14ac:dyDescent="0.2">
      <c r="A64" t="s">
        <v>3775</v>
      </c>
      <c r="B64" t="s">
        <v>2600</v>
      </c>
      <c r="C64">
        <v>-0.169589977</v>
      </c>
      <c r="D64">
        <v>-0.169589977</v>
      </c>
      <c r="E64">
        <v>-0.169589977</v>
      </c>
      <c r="F64">
        <v>9.8809484000000003E-2</v>
      </c>
      <c r="G64">
        <v>9.8809484000000003E-2</v>
      </c>
      <c r="H64">
        <v>9.8809484000000003E-2</v>
      </c>
      <c r="I64">
        <v>7.0780493E-2</v>
      </c>
      <c r="J64">
        <v>7.0780493E-2</v>
      </c>
      <c r="K64">
        <v>7.0780493E-2</v>
      </c>
    </row>
    <row r="65" spans="1:11" x14ac:dyDescent="0.2">
      <c r="A65" t="s">
        <v>3776</v>
      </c>
      <c r="B65" t="s">
        <v>2600</v>
      </c>
      <c r="C65">
        <v>0.34334674900000001</v>
      </c>
      <c r="D65">
        <v>0.34334674900000001</v>
      </c>
      <c r="E65">
        <v>0.34334674900000001</v>
      </c>
      <c r="F65">
        <v>-4.2095912999999999E-2</v>
      </c>
      <c r="G65">
        <v>-4.2095912999999999E-2</v>
      </c>
      <c r="H65">
        <v>-4.2095912999999999E-2</v>
      </c>
      <c r="I65">
        <v>-0.30125083600000002</v>
      </c>
      <c r="J65">
        <v>-0.30125083600000002</v>
      </c>
      <c r="K65">
        <v>-0.30125083600000002</v>
      </c>
    </row>
    <row r="66" spans="1:11" x14ac:dyDescent="0.2">
      <c r="A66" t="s">
        <v>3777</v>
      </c>
      <c r="B66" t="s">
        <v>2600</v>
      </c>
      <c r="C66">
        <v>-0.22594012499999999</v>
      </c>
      <c r="D66">
        <v>-0.22594012499999999</v>
      </c>
      <c r="E66">
        <v>-0.22594012499999999</v>
      </c>
      <c r="F66">
        <v>0.261931898</v>
      </c>
      <c r="G66">
        <v>0.261931898</v>
      </c>
      <c r="H66">
        <v>0.261931898</v>
      </c>
      <c r="I66">
        <v>-3.5991771999999998E-2</v>
      </c>
      <c r="J66">
        <v>-3.5991771999999998E-2</v>
      </c>
      <c r="K66">
        <v>-3.5991771999999998E-2</v>
      </c>
    </row>
    <row r="67" spans="1:11" x14ac:dyDescent="0.2">
      <c r="A67" t="s">
        <v>3778</v>
      </c>
      <c r="B67" t="s">
        <v>2600</v>
      </c>
      <c r="C67">
        <v>0.124233328</v>
      </c>
      <c r="D67">
        <v>0.124233328</v>
      </c>
      <c r="E67">
        <v>0.124233328</v>
      </c>
      <c r="F67">
        <v>-4.3634786000000002E-2</v>
      </c>
      <c r="G67">
        <v>-4.3634786000000002E-2</v>
      </c>
      <c r="H67">
        <v>-4.3634786000000002E-2</v>
      </c>
      <c r="I67">
        <v>-8.0598541999999995E-2</v>
      </c>
      <c r="J67">
        <v>-8.0598541999999995E-2</v>
      </c>
      <c r="K67">
        <v>-8.0598541999999995E-2</v>
      </c>
    </row>
    <row r="68" spans="1:11" x14ac:dyDescent="0.2">
      <c r="A68" t="s">
        <v>3779</v>
      </c>
      <c r="B68" t="s">
        <v>2600</v>
      </c>
      <c r="C68">
        <v>0.70465495700000003</v>
      </c>
      <c r="D68">
        <v>0.70465495700000003</v>
      </c>
      <c r="E68">
        <v>0.70465495700000003</v>
      </c>
      <c r="F68">
        <v>-0.33831298300000001</v>
      </c>
      <c r="G68">
        <v>-0.33831298300000001</v>
      </c>
      <c r="H68">
        <v>-0.33831298300000001</v>
      </c>
      <c r="I68">
        <v>-0.36634197400000001</v>
      </c>
      <c r="J68">
        <v>-0.36634197400000001</v>
      </c>
      <c r="K68">
        <v>-0.36634197400000001</v>
      </c>
    </row>
    <row r="69" spans="1:11" x14ac:dyDescent="0.2">
      <c r="A69" t="s">
        <v>3780</v>
      </c>
      <c r="B69" t="s">
        <v>2600</v>
      </c>
      <c r="C69">
        <v>0.44659480400000001</v>
      </c>
      <c r="D69">
        <v>0.44659480400000001</v>
      </c>
      <c r="E69">
        <v>0.44659480400000001</v>
      </c>
      <c r="F69">
        <v>9.3346622000000004E-2</v>
      </c>
      <c r="G69">
        <v>9.3346622000000004E-2</v>
      </c>
      <c r="H69">
        <v>9.3346622000000004E-2</v>
      </c>
      <c r="I69">
        <v>-0.53994142599999995</v>
      </c>
      <c r="J69">
        <v>-0.53994142599999995</v>
      </c>
      <c r="K69">
        <v>-0.53994142599999995</v>
      </c>
    </row>
    <row r="70" spans="1:11" x14ac:dyDescent="0.2">
      <c r="A70" t="s">
        <v>3781</v>
      </c>
      <c r="B70" t="s">
        <v>2600</v>
      </c>
      <c r="C70">
        <v>-0.169589977</v>
      </c>
      <c r="D70">
        <v>-0.169589977</v>
      </c>
      <c r="E70">
        <v>-0.169589977</v>
      </c>
      <c r="F70">
        <v>9.8809484000000003E-2</v>
      </c>
      <c r="G70">
        <v>9.8809484000000003E-2</v>
      </c>
      <c r="H70">
        <v>9.8809484000000003E-2</v>
      </c>
      <c r="I70">
        <v>7.0780493E-2</v>
      </c>
      <c r="J70">
        <v>7.0780493E-2</v>
      </c>
      <c r="K70">
        <v>7.0780493E-2</v>
      </c>
    </row>
    <row r="71" spans="1:11" x14ac:dyDescent="0.2">
      <c r="A71" t="s">
        <v>3782</v>
      </c>
      <c r="B71" t="s">
        <v>2600</v>
      </c>
      <c r="C71">
        <v>-0.12572361800000001</v>
      </c>
      <c r="D71">
        <v>-0.12572361800000001</v>
      </c>
      <c r="E71">
        <v>-0.12572361800000001</v>
      </c>
      <c r="F71">
        <v>-6.1425300000000002E-3</v>
      </c>
      <c r="G71">
        <v>-6.1425300000000002E-3</v>
      </c>
      <c r="H71">
        <v>-6.1425300000000002E-3</v>
      </c>
      <c r="I71">
        <v>0.13186614799999999</v>
      </c>
      <c r="J71">
        <v>0.13186614799999999</v>
      </c>
      <c r="K71">
        <v>0.13186614799999999</v>
      </c>
    </row>
    <row r="72" spans="1:11" x14ac:dyDescent="0.2">
      <c r="A72" t="s">
        <v>3783</v>
      </c>
      <c r="B72" t="s">
        <v>2600</v>
      </c>
      <c r="C72">
        <v>0.58853814699999996</v>
      </c>
      <c r="D72">
        <v>0.58853814699999996</v>
      </c>
      <c r="E72">
        <v>0.58853814699999996</v>
      </c>
      <c r="F72">
        <v>-0.28025457799999998</v>
      </c>
      <c r="G72">
        <v>-0.28025457799999998</v>
      </c>
      <c r="H72">
        <v>-0.28025457799999998</v>
      </c>
      <c r="I72">
        <v>-0.30828356899999998</v>
      </c>
      <c r="J72">
        <v>-0.30828356899999998</v>
      </c>
      <c r="K72">
        <v>-0.30828356899999998</v>
      </c>
    </row>
    <row r="73" spans="1:11" x14ac:dyDescent="0.2">
      <c r="A73" t="s">
        <v>3784</v>
      </c>
      <c r="B73" t="s">
        <v>2600</v>
      </c>
      <c r="C73">
        <v>0.52476111000000003</v>
      </c>
      <c r="D73">
        <v>0.52476111000000003</v>
      </c>
      <c r="E73">
        <v>0.52476111000000003</v>
      </c>
      <c r="F73">
        <v>-0.248366059</v>
      </c>
      <c r="G73">
        <v>-0.248366059</v>
      </c>
      <c r="H73">
        <v>-0.248366059</v>
      </c>
      <c r="I73">
        <v>-0.27639504999999998</v>
      </c>
      <c r="J73">
        <v>-0.27639504999999998</v>
      </c>
      <c r="K73">
        <v>-0.27639504999999998</v>
      </c>
    </row>
    <row r="74" spans="1:11" x14ac:dyDescent="0.2">
      <c r="A74" t="s">
        <v>3785</v>
      </c>
      <c r="B74" t="s">
        <v>2600</v>
      </c>
      <c r="C74">
        <v>-0.239967872</v>
      </c>
      <c r="D74">
        <v>-0.239967872</v>
      </c>
      <c r="E74">
        <v>-0.239967872</v>
      </c>
      <c r="F74">
        <v>0.133998431</v>
      </c>
      <c r="G74">
        <v>0.133998431</v>
      </c>
      <c r="H74">
        <v>0.133998431</v>
      </c>
      <c r="I74">
        <v>0.10596944</v>
      </c>
      <c r="J74">
        <v>0.10596944</v>
      </c>
      <c r="K74">
        <v>0.10596944</v>
      </c>
    </row>
    <row r="75" spans="1:11" x14ac:dyDescent="0.2">
      <c r="A75" t="s">
        <v>3786</v>
      </c>
      <c r="B75" t="s">
        <v>2600</v>
      </c>
      <c r="C75">
        <v>0.106866866</v>
      </c>
      <c r="D75">
        <v>0.106866866</v>
      </c>
      <c r="E75">
        <v>0.106866866</v>
      </c>
      <c r="F75">
        <v>-0.17709435200000001</v>
      </c>
      <c r="G75">
        <v>-0.17709435200000001</v>
      </c>
      <c r="H75">
        <v>-0.17709435200000001</v>
      </c>
      <c r="I75">
        <v>7.0227486000000006E-2</v>
      </c>
      <c r="J75">
        <v>7.0227486000000006E-2</v>
      </c>
      <c r="K75">
        <v>7.0227486000000006E-2</v>
      </c>
    </row>
    <row r="76" spans="1:11" x14ac:dyDescent="0.2">
      <c r="A76" t="s">
        <v>3787</v>
      </c>
      <c r="B76" t="s">
        <v>2600</v>
      </c>
      <c r="C76">
        <v>-0.216607091</v>
      </c>
      <c r="D76">
        <v>-0.216607091</v>
      </c>
      <c r="E76">
        <v>-0.216607091</v>
      </c>
      <c r="F76">
        <v>0.11958996600000001</v>
      </c>
      <c r="G76">
        <v>0.11958996600000001</v>
      </c>
      <c r="H76">
        <v>0.11958996600000001</v>
      </c>
      <c r="I76">
        <v>9.7017124999999996E-2</v>
      </c>
      <c r="J76">
        <v>9.7017124999999996E-2</v>
      </c>
      <c r="K76">
        <v>9.7017124999999996E-2</v>
      </c>
    </row>
    <row r="77" spans="1:11" x14ac:dyDescent="0.2">
      <c r="A77" t="s">
        <v>3788</v>
      </c>
      <c r="B77" t="s">
        <v>2600</v>
      </c>
      <c r="C77">
        <v>-5.8219369E-2</v>
      </c>
      <c r="D77">
        <v>-5.8219369E-2</v>
      </c>
      <c r="E77">
        <v>-5.8219369E-2</v>
      </c>
      <c r="F77">
        <v>4.0396105000000002E-2</v>
      </c>
      <c r="G77">
        <v>4.0396105000000002E-2</v>
      </c>
      <c r="H77">
        <v>4.0396105000000002E-2</v>
      </c>
      <c r="I77">
        <v>1.7823263999999998E-2</v>
      </c>
      <c r="J77">
        <v>1.7823263999999998E-2</v>
      </c>
      <c r="K77">
        <v>1.7823263999999998E-2</v>
      </c>
    </row>
    <row r="78" spans="1:11" x14ac:dyDescent="0.2">
      <c r="A78" t="s">
        <v>3789</v>
      </c>
      <c r="B78" t="s">
        <v>2600</v>
      </c>
      <c r="C78">
        <v>8.2444750999999997E-2</v>
      </c>
      <c r="D78">
        <v>8.2444750999999997E-2</v>
      </c>
      <c r="E78">
        <v>8.2444750999999997E-2</v>
      </c>
      <c r="F78">
        <v>0.223302426</v>
      </c>
      <c r="G78">
        <v>0.223302426</v>
      </c>
      <c r="H78">
        <v>0.223302426</v>
      </c>
      <c r="I78">
        <v>-0.30574717699999998</v>
      </c>
      <c r="J78">
        <v>-0.30574717699999998</v>
      </c>
      <c r="K78">
        <v>-0.30574717699999998</v>
      </c>
    </row>
    <row r="79" spans="1:11" x14ac:dyDescent="0.2">
      <c r="A79" t="s">
        <v>3790</v>
      </c>
      <c r="B79" t="s">
        <v>2600</v>
      </c>
      <c r="C79">
        <v>0.34393133799999998</v>
      </c>
      <c r="D79">
        <v>0.34393133799999998</v>
      </c>
      <c r="E79">
        <v>0.34393133799999998</v>
      </c>
      <c r="F79">
        <v>-0.157951174</v>
      </c>
      <c r="G79">
        <v>-0.157951174</v>
      </c>
      <c r="H79">
        <v>-0.157951174</v>
      </c>
      <c r="I79">
        <v>-0.185980165</v>
      </c>
      <c r="J79">
        <v>-0.185980165</v>
      </c>
      <c r="K79">
        <v>-0.185980165</v>
      </c>
    </row>
    <row r="80" spans="1:11" x14ac:dyDescent="0.2">
      <c r="A80" t="s">
        <v>3791</v>
      </c>
      <c r="B80" t="s">
        <v>2600</v>
      </c>
      <c r="C80">
        <v>0.124233328</v>
      </c>
      <c r="D80">
        <v>0.124233328</v>
      </c>
      <c r="E80">
        <v>0.124233328</v>
      </c>
      <c r="F80">
        <v>-4.3634786000000002E-2</v>
      </c>
      <c r="G80">
        <v>-4.3634786000000002E-2</v>
      </c>
      <c r="H80">
        <v>-4.3634786000000002E-2</v>
      </c>
      <c r="I80">
        <v>-8.0598541999999995E-2</v>
      </c>
      <c r="J80">
        <v>-8.0598541999999995E-2</v>
      </c>
      <c r="K80">
        <v>-8.0598541999999995E-2</v>
      </c>
    </row>
    <row r="81" spans="1:11" x14ac:dyDescent="0.2">
      <c r="A81" t="s">
        <v>3792</v>
      </c>
      <c r="B81" t="s">
        <v>2600</v>
      </c>
      <c r="C81">
        <v>-0.169589977</v>
      </c>
      <c r="D81">
        <v>-0.169589977</v>
      </c>
      <c r="E81">
        <v>-0.169589977</v>
      </c>
      <c r="F81">
        <v>9.8809484000000003E-2</v>
      </c>
      <c r="G81">
        <v>9.8809484000000003E-2</v>
      </c>
      <c r="H81">
        <v>9.8809484000000003E-2</v>
      </c>
      <c r="I81">
        <v>7.0780493E-2</v>
      </c>
      <c r="J81">
        <v>7.0780493E-2</v>
      </c>
      <c r="K81">
        <v>7.0780493E-2</v>
      </c>
    </row>
    <row r="82" spans="1:11" x14ac:dyDescent="0.2">
      <c r="A82" t="s">
        <v>3793</v>
      </c>
      <c r="B82" t="s">
        <v>2600</v>
      </c>
      <c r="C82">
        <v>-6.2357380000000002E-3</v>
      </c>
      <c r="D82">
        <v>-6.2357380000000002E-3</v>
      </c>
      <c r="E82">
        <v>-6.2357380000000002E-3</v>
      </c>
      <c r="F82">
        <v>-9.6503995999999995E-2</v>
      </c>
      <c r="G82">
        <v>-9.6503995999999995E-2</v>
      </c>
      <c r="H82">
        <v>-9.6503995999999995E-2</v>
      </c>
      <c r="I82">
        <v>0.102739734</v>
      </c>
      <c r="J82">
        <v>0.102739734</v>
      </c>
      <c r="K82">
        <v>0.102739734</v>
      </c>
    </row>
    <row r="83" spans="1:11" x14ac:dyDescent="0.2">
      <c r="A83" t="s">
        <v>3794</v>
      </c>
      <c r="B83" t="s">
        <v>2600</v>
      </c>
      <c r="C83">
        <v>0.37941076899999998</v>
      </c>
      <c r="D83">
        <v>0.37941076899999998</v>
      </c>
      <c r="E83">
        <v>0.37941076899999998</v>
      </c>
      <c r="F83">
        <v>-6.0127923E-2</v>
      </c>
      <c r="G83">
        <v>-6.0127923E-2</v>
      </c>
      <c r="H83">
        <v>-6.0127923E-2</v>
      </c>
      <c r="I83">
        <v>-0.31928284600000001</v>
      </c>
      <c r="J83">
        <v>-0.31928284600000001</v>
      </c>
      <c r="K83">
        <v>-0.31928284600000001</v>
      </c>
    </row>
    <row r="84" spans="1:11" x14ac:dyDescent="0.2">
      <c r="A84" t="s">
        <v>3795</v>
      </c>
      <c r="B84" t="s">
        <v>2600</v>
      </c>
      <c r="C84">
        <v>-0.20082949</v>
      </c>
      <c r="D84">
        <v>-0.20082949</v>
      </c>
      <c r="E84">
        <v>-0.20082949</v>
      </c>
      <c r="F84">
        <v>0.234431418</v>
      </c>
      <c r="G84">
        <v>0.234431418</v>
      </c>
      <c r="H84">
        <v>0.234431418</v>
      </c>
      <c r="I84">
        <v>-3.3601928000000003E-2</v>
      </c>
      <c r="J84">
        <v>-3.3601928000000003E-2</v>
      </c>
      <c r="K84">
        <v>-3.3601928000000003E-2</v>
      </c>
    </row>
    <row r="85" spans="1:11" x14ac:dyDescent="0.2">
      <c r="A85" t="s">
        <v>3796</v>
      </c>
      <c r="B85" t="s">
        <v>2600</v>
      </c>
      <c r="C85">
        <v>-0.169589977</v>
      </c>
      <c r="D85">
        <v>-0.169589977</v>
      </c>
      <c r="E85">
        <v>-0.169589977</v>
      </c>
      <c r="F85">
        <v>9.8809484000000003E-2</v>
      </c>
      <c r="G85">
        <v>9.8809484000000003E-2</v>
      </c>
      <c r="H85">
        <v>9.8809484000000003E-2</v>
      </c>
      <c r="I85">
        <v>7.0780493E-2</v>
      </c>
      <c r="J85">
        <v>7.0780493E-2</v>
      </c>
      <c r="K85">
        <v>7.0780493E-2</v>
      </c>
    </row>
    <row r="86" spans="1:11" x14ac:dyDescent="0.2">
      <c r="A86" t="s">
        <v>3797</v>
      </c>
      <c r="B86" t="s">
        <v>2600</v>
      </c>
      <c r="C86">
        <v>0.39402175499999997</v>
      </c>
      <c r="D86">
        <v>0.39402175499999997</v>
      </c>
      <c r="E86">
        <v>0.39402175499999997</v>
      </c>
      <c r="F86">
        <v>1.5770847000000001E-2</v>
      </c>
      <c r="G86">
        <v>1.5770847000000001E-2</v>
      </c>
      <c r="H86">
        <v>1.5770847000000001E-2</v>
      </c>
      <c r="I86">
        <v>-0.40979260299999998</v>
      </c>
      <c r="J86">
        <v>-0.40979260299999998</v>
      </c>
      <c r="K86">
        <v>-0.40979260299999998</v>
      </c>
    </row>
    <row r="87" spans="1:11" x14ac:dyDescent="0.2">
      <c r="A87" t="s">
        <v>3798</v>
      </c>
      <c r="B87" t="s">
        <v>2600</v>
      </c>
      <c r="C87">
        <v>0.10154260399999999</v>
      </c>
      <c r="D87">
        <v>0.10154260399999999</v>
      </c>
      <c r="E87">
        <v>0.10154260399999999</v>
      </c>
      <c r="F87">
        <v>0.26587272200000001</v>
      </c>
      <c r="G87">
        <v>0.26587272200000001</v>
      </c>
      <c r="H87">
        <v>0.26587272200000001</v>
      </c>
      <c r="I87">
        <v>-0.36741532500000001</v>
      </c>
      <c r="J87">
        <v>-0.36741532500000001</v>
      </c>
      <c r="K87">
        <v>-0.36741532500000001</v>
      </c>
    </row>
    <row r="88" spans="1:11" x14ac:dyDescent="0.2">
      <c r="A88" t="s">
        <v>3799</v>
      </c>
      <c r="B88" t="s">
        <v>2600</v>
      </c>
      <c r="C88">
        <v>0.302254994</v>
      </c>
      <c r="D88">
        <v>0.302254994</v>
      </c>
      <c r="E88">
        <v>0.302254994</v>
      </c>
      <c r="F88">
        <v>0.38020315599999999</v>
      </c>
      <c r="G88">
        <v>0.38020315599999999</v>
      </c>
      <c r="H88">
        <v>0.38020315599999999</v>
      </c>
      <c r="I88">
        <v>-0.68245814999999999</v>
      </c>
      <c r="J88">
        <v>-0.68245814999999999</v>
      </c>
      <c r="K88">
        <v>-0.68245814999999999</v>
      </c>
    </row>
    <row r="89" spans="1:11" x14ac:dyDescent="0.2">
      <c r="A89" t="s">
        <v>3800</v>
      </c>
      <c r="B89" t="s">
        <v>2600</v>
      </c>
      <c r="C89">
        <v>0.70465495700000003</v>
      </c>
      <c r="D89">
        <v>0.70465495700000003</v>
      </c>
      <c r="E89">
        <v>0.70465495700000003</v>
      </c>
      <c r="F89">
        <v>-0.33831298300000001</v>
      </c>
      <c r="G89">
        <v>-0.33831298300000001</v>
      </c>
      <c r="H89">
        <v>-0.33831298300000001</v>
      </c>
      <c r="I89">
        <v>-0.36634197400000001</v>
      </c>
      <c r="J89">
        <v>-0.36634197400000001</v>
      </c>
      <c r="K89">
        <v>-0.36634197400000001</v>
      </c>
    </row>
    <row r="90" spans="1:11" x14ac:dyDescent="0.2">
      <c r="A90" t="s">
        <v>3801</v>
      </c>
      <c r="B90" t="s">
        <v>2600</v>
      </c>
      <c r="C90">
        <v>0.36707152900000001</v>
      </c>
      <c r="D90">
        <v>0.36707152900000001</v>
      </c>
      <c r="E90">
        <v>0.36707152900000001</v>
      </c>
      <c r="F90">
        <v>-9.9322086000000004E-2</v>
      </c>
      <c r="G90">
        <v>-9.9322086000000004E-2</v>
      </c>
      <c r="H90">
        <v>-9.9322086000000004E-2</v>
      </c>
      <c r="I90">
        <v>-0.26774944299999998</v>
      </c>
      <c r="J90">
        <v>-0.26774944299999998</v>
      </c>
      <c r="K90">
        <v>-0.26774944299999998</v>
      </c>
    </row>
    <row r="91" spans="1:11" x14ac:dyDescent="0.2">
      <c r="A91" t="s">
        <v>3802</v>
      </c>
      <c r="B91" t="s">
        <v>2600</v>
      </c>
      <c r="C91">
        <v>-7.9625083999999999E-2</v>
      </c>
      <c r="D91">
        <v>-7.9625083999999999E-2</v>
      </c>
      <c r="E91">
        <v>-7.9625083999999999E-2</v>
      </c>
      <c r="F91">
        <v>0.18877437699999999</v>
      </c>
      <c r="G91">
        <v>0.18877437699999999</v>
      </c>
      <c r="H91">
        <v>0.18877437699999999</v>
      </c>
      <c r="I91">
        <v>-0.10914929299999999</v>
      </c>
      <c r="J91">
        <v>-0.10914929299999999</v>
      </c>
      <c r="K91">
        <v>-0.10914929299999999</v>
      </c>
    </row>
    <row r="92" spans="1:11" x14ac:dyDescent="0.2">
      <c r="A92" t="s">
        <v>3803</v>
      </c>
      <c r="B92" t="s">
        <v>2600</v>
      </c>
      <c r="C92">
        <v>-0.160896287</v>
      </c>
      <c r="D92">
        <v>-0.160896287</v>
      </c>
      <c r="E92">
        <v>-0.160896287</v>
      </c>
      <c r="F92">
        <v>0.28708962100000002</v>
      </c>
      <c r="G92">
        <v>0.28708962100000002</v>
      </c>
      <c r="H92">
        <v>0.28708962100000002</v>
      </c>
      <c r="I92">
        <v>-0.12619333399999999</v>
      </c>
      <c r="J92">
        <v>-0.12619333399999999</v>
      </c>
      <c r="K92">
        <v>-0.12619333399999999</v>
      </c>
    </row>
    <row r="93" spans="1:11" x14ac:dyDescent="0.2">
      <c r="A93" t="s">
        <v>3804</v>
      </c>
      <c r="B93" t="s">
        <v>2600</v>
      </c>
      <c r="C93">
        <v>0.100929954</v>
      </c>
      <c r="D93">
        <v>0.100929954</v>
      </c>
      <c r="E93">
        <v>0.100929954</v>
      </c>
      <c r="F93">
        <v>-2.9785760000000001E-2</v>
      </c>
      <c r="G93">
        <v>-2.9785760000000001E-2</v>
      </c>
      <c r="H93">
        <v>-2.9785760000000001E-2</v>
      </c>
      <c r="I93">
        <v>-7.1144193999999994E-2</v>
      </c>
      <c r="J93">
        <v>-7.1144193999999994E-2</v>
      </c>
      <c r="K93">
        <v>-7.1144193999999994E-2</v>
      </c>
    </row>
    <row r="94" spans="1:11" x14ac:dyDescent="0.2">
      <c r="A94" t="s">
        <v>3805</v>
      </c>
      <c r="B94" t="s">
        <v>2600</v>
      </c>
      <c r="C94">
        <v>0.25901809999999997</v>
      </c>
      <c r="D94">
        <v>0.25901809999999997</v>
      </c>
      <c r="E94">
        <v>0.25901809999999997</v>
      </c>
      <c r="F94">
        <v>0.15151279500000001</v>
      </c>
      <c r="G94">
        <v>0.15151279500000001</v>
      </c>
      <c r="H94">
        <v>0.15151279500000001</v>
      </c>
      <c r="I94">
        <v>-0.41053089500000001</v>
      </c>
      <c r="J94">
        <v>-0.41053089500000001</v>
      </c>
      <c r="K94">
        <v>-0.41053089500000001</v>
      </c>
    </row>
    <row r="95" spans="1:11" x14ac:dyDescent="0.2">
      <c r="A95" t="s">
        <v>3806</v>
      </c>
      <c r="B95" t="s">
        <v>2600</v>
      </c>
      <c r="C95">
        <v>0.42038872700000002</v>
      </c>
      <c r="D95">
        <v>0.42038872700000002</v>
      </c>
      <c r="E95">
        <v>0.42038872700000002</v>
      </c>
      <c r="F95">
        <v>-0.19617986800000001</v>
      </c>
      <c r="G95">
        <v>-0.19617986800000001</v>
      </c>
      <c r="H95">
        <v>-0.19617986800000001</v>
      </c>
      <c r="I95">
        <v>-0.22420885900000001</v>
      </c>
      <c r="J95">
        <v>-0.22420885900000001</v>
      </c>
      <c r="K95">
        <v>-0.22420885900000001</v>
      </c>
    </row>
    <row r="96" spans="1:11" x14ac:dyDescent="0.2">
      <c r="A96" t="s">
        <v>3807</v>
      </c>
      <c r="B96" t="s">
        <v>2626</v>
      </c>
      <c r="C96">
        <v>-0.354220435</v>
      </c>
      <c r="D96">
        <v>-0.354220435</v>
      </c>
      <c r="E96">
        <v>-0.354220435</v>
      </c>
      <c r="F96">
        <v>0.70844087</v>
      </c>
      <c r="G96">
        <v>0.70844087</v>
      </c>
      <c r="H96">
        <v>0.70844087</v>
      </c>
      <c r="I96">
        <v>-0.354220435</v>
      </c>
      <c r="J96">
        <v>-0.354220435</v>
      </c>
      <c r="K96">
        <v>-0.354220435</v>
      </c>
    </row>
    <row r="97" spans="1:11" x14ac:dyDescent="0.2">
      <c r="A97" t="s">
        <v>3808</v>
      </c>
      <c r="B97" t="s">
        <v>2626</v>
      </c>
      <c r="C97">
        <v>-0.69766668499999995</v>
      </c>
      <c r="D97">
        <v>-0.69766668499999995</v>
      </c>
      <c r="E97">
        <v>-0.69766668499999995</v>
      </c>
      <c r="F97">
        <v>1.3953333699999999</v>
      </c>
      <c r="G97">
        <v>1.3953333699999999</v>
      </c>
      <c r="H97">
        <v>1.3953333699999999</v>
      </c>
      <c r="I97">
        <v>-0.69766668499999995</v>
      </c>
      <c r="J97">
        <v>-0.69766668499999995</v>
      </c>
      <c r="K97">
        <v>-0.69766668499999995</v>
      </c>
    </row>
    <row r="98" spans="1:11" x14ac:dyDescent="0.2">
      <c r="A98" t="s">
        <v>3809</v>
      </c>
      <c r="B98" t="s">
        <v>2626</v>
      </c>
      <c r="C98">
        <v>0.104909566</v>
      </c>
      <c r="D98">
        <v>0.104909566</v>
      </c>
      <c r="E98">
        <v>0.104909566</v>
      </c>
      <c r="F98">
        <v>0.47887586999999998</v>
      </c>
      <c r="G98">
        <v>0.47887586999999998</v>
      </c>
      <c r="H98">
        <v>0.47887586999999998</v>
      </c>
      <c r="I98">
        <v>-0.58378543599999999</v>
      </c>
      <c r="J98">
        <v>-0.58378543599999999</v>
      </c>
      <c r="K98">
        <v>-0.58378543599999999</v>
      </c>
    </row>
    <row r="99" spans="1:11" x14ac:dyDescent="0.2">
      <c r="A99" t="s">
        <v>3810</v>
      </c>
      <c r="B99" t="s">
        <v>2626</v>
      </c>
      <c r="C99">
        <v>-5.3478154999999999E-2</v>
      </c>
      <c r="D99">
        <v>-5.3478154999999999E-2</v>
      </c>
      <c r="E99">
        <v>-5.3478154999999999E-2</v>
      </c>
      <c r="F99">
        <v>0.55806973000000004</v>
      </c>
      <c r="G99">
        <v>0.55806973000000004</v>
      </c>
      <c r="H99">
        <v>0.55806973000000004</v>
      </c>
      <c r="I99">
        <v>-0.50459157499999996</v>
      </c>
      <c r="J99">
        <v>-0.50459157499999996</v>
      </c>
      <c r="K99">
        <v>-0.50459157499999996</v>
      </c>
    </row>
    <row r="100" spans="1:11" x14ac:dyDescent="0.2">
      <c r="A100" t="s">
        <v>3811</v>
      </c>
      <c r="B100" t="s">
        <v>2626</v>
      </c>
      <c r="C100">
        <v>-0.69766668499999995</v>
      </c>
      <c r="D100">
        <v>-0.69766668499999995</v>
      </c>
      <c r="E100">
        <v>-0.69766668499999995</v>
      </c>
      <c r="F100">
        <v>1.3953333699999999</v>
      </c>
      <c r="G100">
        <v>1.3953333699999999</v>
      </c>
      <c r="H100">
        <v>1.3953333699999999</v>
      </c>
      <c r="I100">
        <v>-0.69766668499999995</v>
      </c>
      <c r="J100">
        <v>-0.69766668499999995</v>
      </c>
      <c r="K100">
        <v>-0.69766668499999995</v>
      </c>
    </row>
    <row r="101" spans="1:11" x14ac:dyDescent="0.2">
      <c r="A101" t="s">
        <v>3812</v>
      </c>
      <c r="B101" t="s">
        <v>2626</v>
      </c>
      <c r="C101">
        <v>-0.83850786399999999</v>
      </c>
      <c r="D101">
        <v>-0.83850786399999999</v>
      </c>
      <c r="E101">
        <v>-0.83850786399999999</v>
      </c>
      <c r="F101">
        <v>1.677015728</v>
      </c>
      <c r="G101">
        <v>1.677015728</v>
      </c>
      <c r="H101">
        <v>1.677015728</v>
      </c>
      <c r="I101">
        <v>-0.83850786399999999</v>
      </c>
      <c r="J101">
        <v>-0.83850786399999999</v>
      </c>
      <c r="K101">
        <v>-0.83850786399999999</v>
      </c>
    </row>
    <row r="102" spans="1:11" x14ac:dyDescent="0.2">
      <c r="A102" t="s">
        <v>3813</v>
      </c>
      <c r="B102" t="s">
        <v>2626</v>
      </c>
      <c r="C102">
        <v>0.104909566</v>
      </c>
      <c r="D102">
        <v>0.104909566</v>
      </c>
      <c r="E102">
        <v>0.104909566</v>
      </c>
      <c r="F102">
        <v>0.47887586999999998</v>
      </c>
      <c r="G102">
        <v>0.47887586999999998</v>
      </c>
      <c r="H102">
        <v>0.47887586999999998</v>
      </c>
      <c r="I102">
        <v>-0.58378543599999999</v>
      </c>
      <c r="J102">
        <v>-0.58378543599999999</v>
      </c>
      <c r="K102">
        <v>-0.58378543599999999</v>
      </c>
    </row>
    <row r="103" spans="1:11" x14ac:dyDescent="0.2">
      <c r="A103" t="s">
        <v>3814</v>
      </c>
      <c r="B103" t="s">
        <v>2626</v>
      </c>
      <c r="C103">
        <v>-0.43126241300000001</v>
      </c>
      <c r="D103">
        <v>-0.43126241300000001</v>
      </c>
      <c r="E103">
        <v>-0.43126241300000001</v>
      </c>
      <c r="F103">
        <v>0.86252482500000005</v>
      </c>
      <c r="G103">
        <v>0.86252482500000005</v>
      </c>
      <c r="H103">
        <v>0.86252482500000005</v>
      </c>
      <c r="I103">
        <v>-0.43126241300000001</v>
      </c>
      <c r="J103">
        <v>-0.43126241300000001</v>
      </c>
      <c r="K103">
        <v>-0.43126241300000001</v>
      </c>
    </row>
    <row r="104" spans="1:11" x14ac:dyDescent="0.2">
      <c r="A104" t="s">
        <v>3815</v>
      </c>
      <c r="B104" t="s">
        <v>2626</v>
      </c>
      <c r="C104">
        <v>-0.55597345399999998</v>
      </c>
      <c r="D104">
        <v>-0.55597345399999998</v>
      </c>
      <c r="E104">
        <v>-0.55597345399999998</v>
      </c>
      <c r="F104">
        <v>1.111946908</v>
      </c>
      <c r="G104">
        <v>1.111946908</v>
      </c>
      <c r="H104">
        <v>1.111946908</v>
      </c>
      <c r="I104">
        <v>-0.55597345399999998</v>
      </c>
      <c r="J104">
        <v>-0.55597345399999998</v>
      </c>
      <c r="K104">
        <v>-0.55597345399999998</v>
      </c>
    </row>
    <row r="105" spans="1:11" x14ac:dyDescent="0.2">
      <c r="A105" t="s">
        <v>3816</v>
      </c>
      <c r="B105" t="s">
        <v>2626</v>
      </c>
      <c r="C105">
        <v>-0.26243682600000001</v>
      </c>
      <c r="D105">
        <v>-0.26243682600000001</v>
      </c>
      <c r="E105">
        <v>-0.26243682600000001</v>
      </c>
      <c r="F105">
        <v>0.52487365100000005</v>
      </c>
      <c r="G105">
        <v>0.52487365100000005</v>
      </c>
      <c r="H105">
        <v>0.52487365100000005</v>
      </c>
      <c r="I105">
        <v>-0.26243682600000001</v>
      </c>
      <c r="J105">
        <v>-0.26243682600000001</v>
      </c>
      <c r="K105">
        <v>-0.26243682600000001</v>
      </c>
    </row>
    <row r="106" spans="1:11" x14ac:dyDescent="0.2">
      <c r="A106" t="s">
        <v>3817</v>
      </c>
      <c r="B106" t="s">
        <v>2626</v>
      </c>
      <c r="C106">
        <v>-0.26243682600000001</v>
      </c>
      <c r="D106">
        <v>-0.26243682600000001</v>
      </c>
      <c r="E106">
        <v>-0.26243682600000001</v>
      </c>
      <c r="F106">
        <v>0.52487365100000005</v>
      </c>
      <c r="G106">
        <v>0.52487365100000005</v>
      </c>
      <c r="H106">
        <v>0.52487365100000005</v>
      </c>
      <c r="I106">
        <v>-0.26243682600000001</v>
      </c>
      <c r="J106">
        <v>-0.26243682600000001</v>
      </c>
      <c r="K106">
        <v>-0.26243682600000001</v>
      </c>
    </row>
    <row r="107" spans="1:11" x14ac:dyDescent="0.2">
      <c r="A107" t="s">
        <v>3818</v>
      </c>
      <c r="B107" t="s">
        <v>2626</v>
      </c>
      <c r="C107">
        <v>-0.354220435</v>
      </c>
      <c r="D107">
        <v>-0.354220435</v>
      </c>
      <c r="E107">
        <v>-0.354220435</v>
      </c>
      <c r="F107">
        <v>0.70844087</v>
      </c>
      <c r="G107">
        <v>0.70844087</v>
      </c>
      <c r="H107">
        <v>0.70844087</v>
      </c>
      <c r="I107">
        <v>-0.354220435</v>
      </c>
      <c r="J107">
        <v>-0.354220435</v>
      </c>
      <c r="K107">
        <v>-0.354220435</v>
      </c>
    </row>
    <row r="108" spans="1:11" x14ac:dyDescent="0.2">
      <c r="A108" t="s">
        <v>3819</v>
      </c>
      <c r="B108" t="s">
        <v>2626</v>
      </c>
      <c r="C108">
        <v>-0.25523117400000001</v>
      </c>
      <c r="D108">
        <v>-0.25523117400000001</v>
      </c>
      <c r="E108">
        <v>-0.25523117400000001</v>
      </c>
      <c r="F108">
        <v>0.961575768</v>
      </c>
      <c r="G108">
        <v>0.961575768</v>
      </c>
      <c r="H108">
        <v>0.961575768</v>
      </c>
      <c r="I108">
        <v>-0.70634459400000005</v>
      </c>
      <c r="J108">
        <v>-0.70634459400000005</v>
      </c>
      <c r="K108">
        <v>-0.70634459400000005</v>
      </c>
    </row>
    <row r="109" spans="1:11" x14ac:dyDescent="0.2">
      <c r="A109" t="s">
        <v>3820</v>
      </c>
      <c r="B109" t="s">
        <v>2626</v>
      </c>
      <c r="C109">
        <v>-0.354220435</v>
      </c>
      <c r="D109">
        <v>-0.354220435</v>
      </c>
      <c r="E109">
        <v>-0.354220435</v>
      </c>
      <c r="F109">
        <v>0.70844087</v>
      </c>
      <c r="G109">
        <v>0.70844087</v>
      </c>
      <c r="H109">
        <v>0.70844087</v>
      </c>
      <c r="I109">
        <v>-0.354220435</v>
      </c>
      <c r="J109">
        <v>-0.354220435</v>
      </c>
      <c r="K109">
        <v>-0.354220435</v>
      </c>
    </row>
    <row r="110" spans="1:11" x14ac:dyDescent="0.2">
      <c r="A110" t="s">
        <v>3821</v>
      </c>
      <c r="B110" t="s">
        <v>2626</v>
      </c>
      <c r="C110">
        <v>-0.354220435</v>
      </c>
      <c r="D110">
        <v>-0.354220435</v>
      </c>
      <c r="E110">
        <v>-0.354220435</v>
      </c>
      <c r="F110">
        <v>0.70844087</v>
      </c>
      <c r="G110">
        <v>0.70844087</v>
      </c>
      <c r="H110">
        <v>0.70844087</v>
      </c>
      <c r="I110">
        <v>-0.354220435</v>
      </c>
      <c r="J110">
        <v>-0.354220435</v>
      </c>
      <c r="K110">
        <v>-0.354220435</v>
      </c>
    </row>
    <row r="111" spans="1:11" x14ac:dyDescent="0.2">
      <c r="A111" t="s">
        <v>3822</v>
      </c>
      <c r="B111" t="s">
        <v>2626</v>
      </c>
      <c r="C111">
        <v>-0.354220435</v>
      </c>
      <c r="D111">
        <v>-0.354220435</v>
      </c>
      <c r="E111">
        <v>-0.354220435</v>
      </c>
      <c r="F111">
        <v>0.70844087</v>
      </c>
      <c r="G111">
        <v>0.70844087</v>
      </c>
      <c r="H111">
        <v>0.70844087</v>
      </c>
      <c r="I111">
        <v>-0.354220435</v>
      </c>
      <c r="J111">
        <v>-0.354220435</v>
      </c>
      <c r="K111">
        <v>-0.354220435</v>
      </c>
    </row>
    <row r="112" spans="1:11" x14ac:dyDescent="0.2">
      <c r="A112" t="s">
        <v>3823</v>
      </c>
      <c r="B112" t="s">
        <v>2626</v>
      </c>
      <c r="C112">
        <v>-0.60798290799999999</v>
      </c>
      <c r="D112">
        <v>-0.60798290799999999</v>
      </c>
      <c r="E112">
        <v>-0.60798290799999999</v>
      </c>
      <c r="F112">
        <v>1.215965816</v>
      </c>
      <c r="G112">
        <v>1.215965816</v>
      </c>
      <c r="H112">
        <v>1.215965816</v>
      </c>
      <c r="I112">
        <v>-0.60798290799999999</v>
      </c>
      <c r="J112">
        <v>-0.60798290799999999</v>
      </c>
      <c r="K112">
        <v>-0.60798290799999999</v>
      </c>
    </row>
    <row r="113" spans="1:11" x14ac:dyDescent="0.2">
      <c r="A113" t="s">
        <v>3824</v>
      </c>
      <c r="B113" t="s">
        <v>2626</v>
      </c>
      <c r="C113">
        <v>-0.354220435</v>
      </c>
      <c r="D113">
        <v>-0.354220435</v>
      </c>
      <c r="E113">
        <v>-0.354220435</v>
      </c>
      <c r="F113">
        <v>0.70844087</v>
      </c>
      <c r="G113">
        <v>0.70844087</v>
      </c>
      <c r="H113">
        <v>0.70844087</v>
      </c>
      <c r="I113">
        <v>-0.354220435</v>
      </c>
      <c r="J113">
        <v>-0.354220435</v>
      </c>
      <c r="K113">
        <v>-0.354220435</v>
      </c>
    </row>
    <row r="114" spans="1:11" x14ac:dyDescent="0.2">
      <c r="A114" t="s">
        <v>3825</v>
      </c>
      <c r="B114" t="s">
        <v>2626</v>
      </c>
      <c r="C114">
        <v>0.104909566</v>
      </c>
      <c r="D114">
        <v>0.104909566</v>
      </c>
      <c r="E114">
        <v>0.104909566</v>
      </c>
      <c r="F114">
        <v>0.47887586999999998</v>
      </c>
      <c r="G114">
        <v>0.47887586999999998</v>
      </c>
      <c r="H114">
        <v>0.47887586999999998</v>
      </c>
      <c r="I114">
        <v>-0.58378543599999999</v>
      </c>
      <c r="J114">
        <v>-0.58378543599999999</v>
      </c>
      <c r="K114">
        <v>-0.58378543599999999</v>
      </c>
    </row>
    <row r="115" spans="1:11" x14ac:dyDescent="0.2">
      <c r="A115" t="s">
        <v>3826</v>
      </c>
      <c r="B115" t="s">
        <v>2626</v>
      </c>
      <c r="C115">
        <v>-5.3478154999999999E-2</v>
      </c>
      <c r="D115">
        <v>-5.3478154999999999E-2</v>
      </c>
      <c r="E115">
        <v>-5.3478154999999999E-2</v>
      </c>
      <c r="F115">
        <v>0.55806973000000004</v>
      </c>
      <c r="G115">
        <v>0.55806973000000004</v>
      </c>
      <c r="H115">
        <v>0.55806973000000004</v>
      </c>
      <c r="I115">
        <v>-0.50459157499999996</v>
      </c>
      <c r="J115">
        <v>-0.50459157499999996</v>
      </c>
      <c r="K115">
        <v>-0.50459157499999996</v>
      </c>
    </row>
    <row r="116" spans="1:11" x14ac:dyDescent="0.2">
      <c r="A116" t="s">
        <v>3827</v>
      </c>
      <c r="B116" t="s">
        <v>2626</v>
      </c>
      <c r="C116">
        <v>-0.354220435</v>
      </c>
      <c r="D116">
        <v>-0.354220435</v>
      </c>
      <c r="E116">
        <v>-0.354220435</v>
      </c>
      <c r="F116">
        <v>0.70844087</v>
      </c>
      <c r="G116">
        <v>0.70844087</v>
      </c>
      <c r="H116">
        <v>0.70844087</v>
      </c>
      <c r="I116">
        <v>-0.354220435</v>
      </c>
      <c r="J116">
        <v>-0.354220435</v>
      </c>
      <c r="K116">
        <v>-0.354220435</v>
      </c>
    </row>
    <row r="117" spans="1:11" x14ac:dyDescent="0.2">
      <c r="A117" t="s">
        <v>3828</v>
      </c>
      <c r="B117" t="s">
        <v>2626</v>
      </c>
      <c r="C117">
        <v>-0.26243682600000001</v>
      </c>
      <c r="D117">
        <v>-0.26243682600000001</v>
      </c>
      <c r="E117">
        <v>-0.26243682600000001</v>
      </c>
      <c r="F117">
        <v>0.52487365100000005</v>
      </c>
      <c r="G117">
        <v>0.52487365100000005</v>
      </c>
      <c r="H117">
        <v>0.52487365100000005</v>
      </c>
      <c r="I117">
        <v>-0.26243682600000001</v>
      </c>
      <c r="J117">
        <v>-0.26243682600000001</v>
      </c>
      <c r="K117">
        <v>-0.26243682600000001</v>
      </c>
    </row>
    <row r="118" spans="1:11" x14ac:dyDescent="0.2">
      <c r="A118" t="s">
        <v>3829</v>
      </c>
      <c r="B118" t="s">
        <v>2626</v>
      </c>
      <c r="C118">
        <v>-0.36250873</v>
      </c>
      <c r="D118">
        <v>-0.36250873</v>
      </c>
      <c r="E118">
        <v>-0.36250873</v>
      </c>
      <c r="F118">
        <v>0.44101254200000001</v>
      </c>
      <c r="G118">
        <v>0.44101254200000001</v>
      </c>
      <c r="H118">
        <v>0.44101254200000001</v>
      </c>
      <c r="I118">
        <v>-7.8503812000000006E-2</v>
      </c>
      <c r="J118">
        <v>-7.8503812000000006E-2</v>
      </c>
      <c r="K118">
        <v>-7.8503812000000006E-2</v>
      </c>
    </row>
    <row r="119" spans="1:11" x14ac:dyDescent="0.2">
      <c r="A119" t="s">
        <v>3830</v>
      </c>
      <c r="B119" t="s">
        <v>2626</v>
      </c>
      <c r="C119">
        <v>-0.354220435</v>
      </c>
      <c r="D119">
        <v>-0.354220435</v>
      </c>
      <c r="E119">
        <v>-0.354220435</v>
      </c>
      <c r="F119">
        <v>0.70844087</v>
      </c>
      <c r="G119">
        <v>0.70844087</v>
      </c>
      <c r="H119">
        <v>0.70844087</v>
      </c>
      <c r="I119">
        <v>-0.354220435</v>
      </c>
      <c r="J119">
        <v>-0.354220435</v>
      </c>
      <c r="K119">
        <v>-0.354220435</v>
      </c>
    </row>
    <row r="120" spans="1:11" x14ac:dyDescent="0.2">
      <c r="A120" t="s">
        <v>3831</v>
      </c>
      <c r="B120" t="s">
        <v>2626</v>
      </c>
      <c r="C120">
        <v>-0.354220435</v>
      </c>
      <c r="D120">
        <v>-0.354220435</v>
      </c>
      <c r="E120">
        <v>-0.354220435</v>
      </c>
      <c r="F120">
        <v>0.70844087</v>
      </c>
      <c r="G120">
        <v>0.70844087</v>
      </c>
      <c r="H120">
        <v>0.70844087</v>
      </c>
      <c r="I120">
        <v>-0.354220435</v>
      </c>
      <c r="J120">
        <v>-0.354220435</v>
      </c>
      <c r="K120">
        <v>-0.354220435</v>
      </c>
    </row>
    <row r="121" spans="1:11" x14ac:dyDescent="0.2">
      <c r="A121" t="s">
        <v>3832</v>
      </c>
      <c r="B121" t="s">
        <v>2626</v>
      </c>
      <c r="C121">
        <v>-0.26243682600000001</v>
      </c>
      <c r="D121">
        <v>-0.26243682600000001</v>
      </c>
      <c r="E121">
        <v>-0.26243682600000001</v>
      </c>
      <c r="F121">
        <v>0.52487365100000005</v>
      </c>
      <c r="G121">
        <v>0.52487365100000005</v>
      </c>
      <c r="H121">
        <v>0.52487365100000005</v>
      </c>
      <c r="I121">
        <v>-0.26243682600000001</v>
      </c>
      <c r="J121">
        <v>-0.26243682600000001</v>
      </c>
      <c r="K121">
        <v>-0.26243682600000001</v>
      </c>
    </row>
    <row r="122" spans="1:11" x14ac:dyDescent="0.2">
      <c r="A122" t="s">
        <v>3833</v>
      </c>
      <c r="B122" t="s">
        <v>2626</v>
      </c>
      <c r="C122">
        <v>-0.26243682600000001</v>
      </c>
      <c r="D122">
        <v>-0.26243682600000001</v>
      </c>
      <c r="E122">
        <v>-0.26243682600000001</v>
      </c>
      <c r="F122">
        <v>0.52487365100000005</v>
      </c>
      <c r="G122">
        <v>0.52487365100000005</v>
      </c>
      <c r="H122">
        <v>0.52487365100000005</v>
      </c>
      <c r="I122">
        <v>-0.26243682600000001</v>
      </c>
      <c r="J122">
        <v>-0.26243682600000001</v>
      </c>
      <c r="K122">
        <v>-0.26243682600000001</v>
      </c>
    </row>
    <row r="123" spans="1:11" x14ac:dyDescent="0.2">
      <c r="A123" t="s">
        <v>3834</v>
      </c>
      <c r="B123" t="s">
        <v>2626</v>
      </c>
      <c r="C123">
        <v>-0.26243682600000001</v>
      </c>
      <c r="D123">
        <v>-0.26243682600000001</v>
      </c>
      <c r="E123">
        <v>-0.26243682600000001</v>
      </c>
      <c r="F123">
        <v>0.52487365100000005</v>
      </c>
      <c r="G123">
        <v>0.52487365100000005</v>
      </c>
      <c r="H123">
        <v>0.52487365100000005</v>
      </c>
      <c r="I123">
        <v>-0.26243682600000001</v>
      </c>
      <c r="J123">
        <v>-0.26243682600000001</v>
      </c>
      <c r="K123">
        <v>-0.26243682600000001</v>
      </c>
    </row>
    <row r="124" spans="1:11" x14ac:dyDescent="0.2">
      <c r="A124" t="s">
        <v>3835</v>
      </c>
      <c r="B124" t="s">
        <v>2626</v>
      </c>
      <c r="C124">
        <v>-5.3478154999999999E-2</v>
      </c>
      <c r="D124">
        <v>-5.3478154999999999E-2</v>
      </c>
      <c r="E124">
        <v>-5.3478154999999999E-2</v>
      </c>
      <c r="F124">
        <v>0.55806973000000004</v>
      </c>
      <c r="G124">
        <v>0.55806973000000004</v>
      </c>
      <c r="H124">
        <v>0.55806973000000004</v>
      </c>
      <c r="I124">
        <v>-0.50459157499999996</v>
      </c>
      <c r="J124">
        <v>-0.50459157499999996</v>
      </c>
      <c r="K124">
        <v>-0.50459157499999996</v>
      </c>
    </row>
    <row r="125" spans="1:11" x14ac:dyDescent="0.2">
      <c r="A125" t="s">
        <v>3836</v>
      </c>
      <c r="B125" t="s">
        <v>2626</v>
      </c>
      <c r="C125">
        <v>-0.354220435</v>
      </c>
      <c r="D125">
        <v>-0.354220435</v>
      </c>
      <c r="E125">
        <v>-0.354220435</v>
      </c>
      <c r="F125">
        <v>0.70844087</v>
      </c>
      <c r="G125">
        <v>0.70844087</v>
      </c>
      <c r="H125">
        <v>0.70844087</v>
      </c>
      <c r="I125">
        <v>-0.354220435</v>
      </c>
      <c r="J125">
        <v>-0.354220435</v>
      </c>
      <c r="K125">
        <v>-0.354220435</v>
      </c>
    </row>
    <row r="126" spans="1:11" x14ac:dyDescent="0.2">
      <c r="A126" t="s">
        <v>3837</v>
      </c>
      <c r="B126" t="s">
        <v>2626</v>
      </c>
      <c r="C126">
        <v>-0.26243682600000001</v>
      </c>
      <c r="D126">
        <v>-0.26243682600000001</v>
      </c>
      <c r="E126">
        <v>-0.26243682600000001</v>
      </c>
      <c r="F126">
        <v>0.52487365100000005</v>
      </c>
      <c r="G126">
        <v>0.52487365100000005</v>
      </c>
      <c r="H126">
        <v>0.52487365100000005</v>
      </c>
      <c r="I126">
        <v>-0.26243682600000001</v>
      </c>
      <c r="J126">
        <v>-0.26243682600000001</v>
      </c>
      <c r="K126">
        <v>-0.26243682600000001</v>
      </c>
    </row>
    <row r="127" spans="1:11" x14ac:dyDescent="0.2">
      <c r="A127" t="s">
        <v>3838</v>
      </c>
      <c r="B127" t="s">
        <v>2627</v>
      </c>
      <c r="C127">
        <v>-0.60731426399999999</v>
      </c>
      <c r="D127">
        <v>-0.60731426399999999</v>
      </c>
      <c r="E127">
        <v>-0.60731426399999999</v>
      </c>
      <c r="F127">
        <v>0.17999621299999999</v>
      </c>
      <c r="G127">
        <v>0.17999621299999999</v>
      </c>
      <c r="H127">
        <v>0.17999621299999999</v>
      </c>
      <c r="I127">
        <v>0.42731805099999998</v>
      </c>
      <c r="J127">
        <v>0.42731805099999998</v>
      </c>
      <c r="K127">
        <v>0.42731805099999998</v>
      </c>
    </row>
    <row r="128" spans="1:11" x14ac:dyDescent="0.2">
      <c r="A128" t="s">
        <v>3839</v>
      </c>
      <c r="B128" t="s">
        <v>2627</v>
      </c>
      <c r="C128">
        <v>-1.378452502</v>
      </c>
      <c r="D128">
        <v>-1.378452502</v>
      </c>
      <c r="E128">
        <v>-1.378452502</v>
      </c>
      <c r="F128">
        <v>0.83233230599999997</v>
      </c>
      <c r="G128">
        <v>0.83233230599999997</v>
      </c>
      <c r="H128">
        <v>0.83233230599999997</v>
      </c>
      <c r="I128">
        <v>0.54612019599999995</v>
      </c>
      <c r="J128">
        <v>0.54612019599999995</v>
      </c>
      <c r="K128">
        <v>0.54612019599999995</v>
      </c>
    </row>
    <row r="129" spans="1:11" x14ac:dyDescent="0.2">
      <c r="A129" t="s">
        <v>3840</v>
      </c>
      <c r="B129" t="s">
        <v>2627</v>
      </c>
      <c r="C129">
        <v>-1.378452502</v>
      </c>
      <c r="D129">
        <v>-1.378452502</v>
      </c>
      <c r="E129">
        <v>-1.378452502</v>
      </c>
      <c r="F129">
        <v>0.83233230599999997</v>
      </c>
      <c r="G129">
        <v>0.83233230599999997</v>
      </c>
      <c r="H129">
        <v>0.83233230599999997</v>
      </c>
      <c r="I129">
        <v>0.54612019599999995</v>
      </c>
      <c r="J129">
        <v>0.54612019599999995</v>
      </c>
      <c r="K129">
        <v>0.54612019599999995</v>
      </c>
    </row>
    <row r="130" spans="1:11" x14ac:dyDescent="0.2">
      <c r="A130" t="s">
        <v>3841</v>
      </c>
      <c r="B130" t="s">
        <v>2627</v>
      </c>
      <c r="C130">
        <v>-0.42887797700000002</v>
      </c>
      <c r="D130">
        <v>-0.42887797700000002</v>
      </c>
      <c r="E130">
        <v>-0.42887797700000002</v>
      </c>
      <c r="F130">
        <v>8.6112820000000007E-2</v>
      </c>
      <c r="G130">
        <v>8.6112820000000007E-2</v>
      </c>
      <c r="H130">
        <v>8.6112820000000007E-2</v>
      </c>
      <c r="I130">
        <v>0.34276515699999999</v>
      </c>
      <c r="J130">
        <v>0.34276515699999999</v>
      </c>
      <c r="K130">
        <v>0.34276515699999999</v>
      </c>
    </row>
    <row r="131" spans="1:11" x14ac:dyDescent="0.2">
      <c r="A131" t="s">
        <v>3842</v>
      </c>
      <c r="B131" t="s">
        <v>2627</v>
      </c>
      <c r="C131">
        <v>-0.68307183699999996</v>
      </c>
      <c r="D131">
        <v>-0.68307183699999996</v>
      </c>
      <c r="E131">
        <v>-0.68307183699999996</v>
      </c>
      <c r="F131">
        <v>0.10423863899999999</v>
      </c>
      <c r="G131">
        <v>0.10423863899999999</v>
      </c>
      <c r="H131">
        <v>0.10423863899999999</v>
      </c>
      <c r="I131">
        <v>0.57883319799999999</v>
      </c>
      <c r="J131">
        <v>0.57883319799999999</v>
      </c>
      <c r="K131">
        <v>0.57883319799999999</v>
      </c>
    </row>
    <row r="132" spans="1:11" x14ac:dyDescent="0.2">
      <c r="A132" t="s">
        <v>3843</v>
      </c>
      <c r="B132" t="s">
        <v>2627</v>
      </c>
      <c r="C132">
        <v>-0.37025060599999998</v>
      </c>
      <c r="D132">
        <v>-0.37025060599999998</v>
      </c>
      <c r="E132">
        <v>-0.37025060599999998</v>
      </c>
      <c r="F132">
        <v>5.5067559000000002E-2</v>
      </c>
      <c r="G132">
        <v>5.5067559000000002E-2</v>
      </c>
      <c r="H132">
        <v>5.5067559000000002E-2</v>
      </c>
      <c r="I132">
        <v>0.31518304699999999</v>
      </c>
      <c r="J132">
        <v>0.31518304699999999</v>
      </c>
      <c r="K132">
        <v>0.31518304699999999</v>
      </c>
    </row>
    <row r="133" spans="1:11" x14ac:dyDescent="0.2">
      <c r="A133" t="s">
        <v>3844</v>
      </c>
      <c r="B133" t="s">
        <v>2627</v>
      </c>
      <c r="C133">
        <v>-0.53142613000000005</v>
      </c>
      <c r="D133">
        <v>-0.53142613000000005</v>
      </c>
      <c r="E133">
        <v>-0.53142613000000005</v>
      </c>
      <c r="F133">
        <v>0.35279158799999999</v>
      </c>
      <c r="G133">
        <v>0.35279158799999999</v>
      </c>
      <c r="H133">
        <v>0.35279158799999999</v>
      </c>
      <c r="I133">
        <v>0.17863454300000001</v>
      </c>
      <c r="J133">
        <v>0.17863454300000001</v>
      </c>
      <c r="K133">
        <v>0.17863454300000001</v>
      </c>
    </row>
    <row r="134" spans="1:11" x14ac:dyDescent="0.2">
      <c r="A134" t="s">
        <v>3845</v>
      </c>
      <c r="B134" t="s">
        <v>2627</v>
      </c>
      <c r="C134">
        <v>-0.42887797700000002</v>
      </c>
      <c r="D134">
        <v>-0.42887797700000002</v>
      </c>
      <c r="E134">
        <v>-0.42887797700000002</v>
      </c>
      <c r="F134">
        <v>8.6112820000000007E-2</v>
      </c>
      <c r="G134">
        <v>8.6112820000000007E-2</v>
      </c>
      <c r="H134">
        <v>8.6112820000000007E-2</v>
      </c>
      <c r="I134">
        <v>0.34276515699999999</v>
      </c>
      <c r="J134">
        <v>0.34276515699999999</v>
      </c>
      <c r="K134">
        <v>0.34276515699999999</v>
      </c>
    </row>
    <row r="135" spans="1:11" x14ac:dyDescent="0.2">
      <c r="A135" t="s">
        <v>3846</v>
      </c>
      <c r="B135" t="s">
        <v>2627</v>
      </c>
      <c r="C135">
        <v>-0.517349371</v>
      </c>
      <c r="D135">
        <v>-0.517349371</v>
      </c>
      <c r="E135">
        <v>-0.517349371</v>
      </c>
      <c r="F135">
        <v>0.26996110600000001</v>
      </c>
      <c r="G135">
        <v>0.26996110600000001</v>
      </c>
      <c r="H135">
        <v>0.26996110600000001</v>
      </c>
      <c r="I135">
        <v>0.247388265</v>
      </c>
      <c r="J135">
        <v>0.247388265</v>
      </c>
      <c r="K135">
        <v>0.247388265</v>
      </c>
    </row>
    <row r="136" spans="1:11" x14ac:dyDescent="0.2">
      <c r="A136" t="s">
        <v>3847</v>
      </c>
      <c r="B136" t="s">
        <v>2627</v>
      </c>
      <c r="C136">
        <v>-1.241318887</v>
      </c>
      <c r="D136">
        <v>-1.241318887</v>
      </c>
      <c r="E136">
        <v>-1.241318887</v>
      </c>
      <c r="F136">
        <v>0.85168116800000004</v>
      </c>
      <c r="G136">
        <v>0.85168116800000004</v>
      </c>
      <c r="H136">
        <v>0.85168116800000004</v>
      </c>
      <c r="I136">
        <v>0.38963771899999999</v>
      </c>
      <c r="J136">
        <v>0.38963771899999999</v>
      </c>
      <c r="K136">
        <v>0.38963771899999999</v>
      </c>
    </row>
    <row r="137" spans="1:11" x14ac:dyDescent="0.2">
      <c r="A137" t="s">
        <v>3848</v>
      </c>
      <c r="B137" t="s">
        <v>2627</v>
      </c>
      <c r="C137">
        <v>-0.31590501900000001</v>
      </c>
      <c r="D137">
        <v>-0.31590501900000001</v>
      </c>
      <c r="E137">
        <v>-0.31590501900000001</v>
      </c>
      <c r="F137">
        <v>0.17196700500000001</v>
      </c>
      <c r="G137">
        <v>0.17196700500000001</v>
      </c>
      <c r="H137">
        <v>0.17196700500000001</v>
      </c>
      <c r="I137">
        <v>0.143938014</v>
      </c>
      <c r="J137">
        <v>0.143938014</v>
      </c>
      <c r="K137">
        <v>0.143938014</v>
      </c>
    </row>
    <row r="138" spans="1:11" x14ac:dyDescent="0.2">
      <c r="A138" t="s">
        <v>3849</v>
      </c>
      <c r="B138" t="s">
        <v>2627</v>
      </c>
      <c r="C138">
        <v>-0.29767503000000001</v>
      </c>
      <c r="D138">
        <v>-0.29767503000000001</v>
      </c>
      <c r="E138">
        <v>-0.29767503000000001</v>
      </c>
      <c r="F138">
        <v>0.171917815</v>
      </c>
      <c r="G138">
        <v>0.171917815</v>
      </c>
      <c r="H138">
        <v>0.171917815</v>
      </c>
      <c r="I138">
        <v>0.12575721500000001</v>
      </c>
      <c r="J138">
        <v>0.12575721500000001</v>
      </c>
      <c r="K138">
        <v>0.12575721500000001</v>
      </c>
    </row>
    <row r="139" spans="1:11" x14ac:dyDescent="0.2">
      <c r="A139" t="s">
        <v>3850</v>
      </c>
      <c r="B139" t="s">
        <v>2627</v>
      </c>
      <c r="C139">
        <v>-0.39835559300000001</v>
      </c>
      <c r="D139">
        <v>-0.39835559300000001</v>
      </c>
      <c r="E139">
        <v>-0.39835559300000001</v>
      </c>
      <c r="F139">
        <v>0.21319229200000001</v>
      </c>
      <c r="G139">
        <v>0.21319229200000001</v>
      </c>
      <c r="H139">
        <v>0.21319229200000001</v>
      </c>
      <c r="I139">
        <v>0.185163301</v>
      </c>
      <c r="J139">
        <v>0.185163301</v>
      </c>
      <c r="K139">
        <v>0.185163301</v>
      </c>
    </row>
    <row r="140" spans="1:11" x14ac:dyDescent="0.2">
      <c r="A140" t="s">
        <v>3851</v>
      </c>
      <c r="B140" t="s">
        <v>2627</v>
      </c>
      <c r="C140">
        <v>-0.60913298000000005</v>
      </c>
      <c r="D140">
        <v>-0.60913298000000005</v>
      </c>
      <c r="E140">
        <v>-0.60913298000000005</v>
      </c>
      <c r="F140">
        <v>0.45352832500000001</v>
      </c>
      <c r="G140">
        <v>0.45352832500000001</v>
      </c>
      <c r="H140">
        <v>0.45352832500000001</v>
      </c>
      <c r="I140">
        <v>0.15560465500000001</v>
      </c>
      <c r="J140">
        <v>0.15560465500000001</v>
      </c>
      <c r="K140">
        <v>0.15560465500000001</v>
      </c>
    </row>
    <row r="141" spans="1:11" x14ac:dyDescent="0.2">
      <c r="A141" t="s">
        <v>3852</v>
      </c>
      <c r="B141" t="s">
        <v>2627</v>
      </c>
      <c r="C141">
        <v>-0.69909787300000004</v>
      </c>
      <c r="D141">
        <v>-0.69909787300000004</v>
      </c>
      <c r="E141">
        <v>-0.69909787300000004</v>
      </c>
      <c r="F141">
        <v>0.36356343200000002</v>
      </c>
      <c r="G141">
        <v>0.36356343200000002</v>
      </c>
      <c r="H141">
        <v>0.36356343200000002</v>
      </c>
      <c r="I141">
        <v>0.33553444100000002</v>
      </c>
      <c r="J141">
        <v>0.33553444100000002</v>
      </c>
      <c r="K141">
        <v>0.33553444100000002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4F218-FD8E-4C4F-8813-CF853D9EA921}">
  <dimension ref="A1:FA139"/>
  <sheetViews>
    <sheetView topLeftCell="AV6" workbookViewId="0">
      <selection sqref="A1:XFD1048576"/>
    </sheetView>
  </sheetViews>
  <sheetFormatPr baseColWidth="10" defaultColWidth="8.83203125" defaultRowHeight="16" x14ac:dyDescent="0.2"/>
  <cols>
    <col min="1" max="1" width="11.83203125" style="75" bestFit="1" customWidth="1"/>
    <col min="2" max="3" width="8.83203125" style="75"/>
    <col min="4" max="4" width="50.5" style="75" customWidth="1"/>
    <col min="5" max="5" width="39.6640625" style="75" customWidth="1"/>
    <col min="6" max="6" width="16.1640625" style="75" bestFit="1" customWidth="1"/>
    <col min="7" max="13" width="8.83203125" style="75"/>
    <col min="14" max="14" width="21.33203125" style="75" customWidth="1"/>
    <col min="15" max="15" width="8.83203125" style="75"/>
    <col min="16" max="16" width="16.1640625" style="75" customWidth="1"/>
    <col min="17" max="21" width="8.83203125" style="75"/>
    <col min="22" max="22" width="35.5" style="75" customWidth="1"/>
    <col min="23" max="26" width="8.83203125" style="75"/>
    <col min="27" max="27" width="10.5" style="75" bestFit="1" customWidth="1"/>
    <col min="28" max="28" width="15.33203125" style="75" bestFit="1" customWidth="1"/>
    <col min="29" max="31" width="8.83203125" style="75"/>
    <col min="32" max="32" width="21.33203125" style="75" customWidth="1"/>
    <col min="33" max="40" width="8.83203125" style="75"/>
    <col min="41" max="41" width="22.5" style="78" customWidth="1"/>
    <col min="42" max="42" width="8.83203125" style="75"/>
    <col min="43" max="43" width="17.83203125" style="75" customWidth="1"/>
    <col min="44" max="54" width="8.83203125" style="75"/>
    <col min="55" max="55" width="29.83203125" style="75" customWidth="1"/>
    <col min="56" max="56" width="25.33203125" style="78" customWidth="1"/>
    <col min="57" max="57" width="22.5" style="75" customWidth="1"/>
    <col min="58" max="58" width="8.83203125" style="75"/>
    <col min="59" max="59" width="26" style="75" customWidth="1"/>
    <col min="60" max="60" width="8.83203125" style="75"/>
    <col min="61" max="61" width="36.6640625" style="75" customWidth="1"/>
    <col min="62" max="63" width="8.83203125" style="75"/>
    <col min="64" max="64" width="17.1640625" style="75" customWidth="1"/>
    <col min="65" max="65" width="8.83203125" style="75"/>
    <col min="66" max="66" width="28.1640625" style="78" customWidth="1"/>
    <col min="67" max="70" width="8.83203125" style="75"/>
    <col min="71" max="71" width="8.83203125" style="78"/>
    <col min="72" max="73" width="8.83203125" style="75"/>
    <col min="74" max="74" width="22.83203125" style="75" customWidth="1"/>
    <col min="75" max="75" width="8.83203125" style="75"/>
    <col min="76" max="76" width="8.83203125" style="78"/>
    <col min="77" max="77" width="21.33203125" style="75" customWidth="1"/>
    <col min="78" max="79" width="8.83203125" style="75"/>
    <col min="80" max="80" width="22.1640625" style="75" customWidth="1"/>
    <col min="81" max="113" width="8.83203125" style="75"/>
    <col min="114" max="114" width="18.33203125" style="75" customWidth="1"/>
    <col min="115" max="134" width="8.83203125" style="75"/>
    <col min="135" max="135" width="25.1640625" style="75" customWidth="1"/>
    <col min="136" max="144" width="8.83203125" style="75"/>
    <col min="145" max="145" width="49.5" style="75" customWidth="1"/>
    <col min="146" max="147" width="8.83203125" style="75"/>
    <col min="148" max="148" width="29.1640625" style="75" customWidth="1"/>
    <col min="149" max="153" width="8.83203125" style="75"/>
    <col min="154" max="154" width="22.83203125" style="75" customWidth="1"/>
    <col min="155" max="155" width="26.1640625" style="75" customWidth="1"/>
    <col min="156" max="16384" width="8.83203125" style="75"/>
  </cols>
  <sheetData>
    <row r="1" spans="1:157" s="74" customFormat="1" ht="153" x14ac:dyDescent="0.2">
      <c r="A1" s="68" t="s">
        <v>2683</v>
      </c>
      <c r="B1" s="68" t="s">
        <v>2684</v>
      </c>
      <c r="C1" s="68" t="s">
        <v>2685</v>
      </c>
      <c r="D1" s="68" t="s">
        <v>2686</v>
      </c>
      <c r="E1" s="68" t="s">
        <v>2687</v>
      </c>
      <c r="F1" s="68" t="s">
        <v>2688</v>
      </c>
      <c r="G1" s="69" t="s">
        <v>2689</v>
      </c>
      <c r="H1" s="69" t="s">
        <v>2690</v>
      </c>
      <c r="I1" s="69" t="s">
        <v>2691</v>
      </c>
      <c r="J1" s="69" t="s">
        <v>2692</v>
      </c>
      <c r="K1" s="69" t="s">
        <v>2693</v>
      </c>
      <c r="L1" s="69" t="s">
        <v>2694</v>
      </c>
      <c r="M1" s="70" t="s">
        <v>2695</v>
      </c>
      <c r="N1" s="71" t="s">
        <v>2696</v>
      </c>
      <c r="O1" s="71" t="s">
        <v>2697</v>
      </c>
      <c r="P1" s="71" t="s">
        <v>2698</v>
      </c>
      <c r="Q1" s="71" t="s">
        <v>2699</v>
      </c>
      <c r="R1" s="71" t="s">
        <v>2700</v>
      </c>
      <c r="S1" s="71" t="s">
        <v>2701</v>
      </c>
      <c r="T1" s="71" t="s">
        <v>2702</v>
      </c>
      <c r="U1" s="71" t="s">
        <v>2703</v>
      </c>
      <c r="V1" s="72" t="s">
        <v>2704</v>
      </c>
      <c r="W1" s="68" t="s">
        <v>2705</v>
      </c>
      <c r="X1" s="68" t="s">
        <v>2706</v>
      </c>
      <c r="Y1" s="68" t="s">
        <v>2707</v>
      </c>
      <c r="Z1" s="68" t="s">
        <v>2708</v>
      </c>
      <c r="AA1" s="68" t="s">
        <v>2709</v>
      </c>
      <c r="AB1" s="68" t="s">
        <v>2710</v>
      </c>
      <c r="AC1" s="68" t="s">
        <v>2711</v>
      </c>
      <c r="AD1" s="68" t="s">
        <v>2712</v>
      </c>
      <c r="AE1" s="69" t="s">
        <v>2713</v>
      </c>
      <c r="AF1" s="69" t="s">
        <v>2714</v>
      </c>
      <c r="AG1" s="69" t="s">
        <v>2715</v>
      </c>
      <c r="AH1" s="69" t="s">
        <v>2716</v>
      </c>
      <c r="AI1" s="69" t="s">
        <v>2717</v>
      </c>
      <c r="AJ1" s="69" t="s">
        <v>2718</v>
      </c>
      <c r="AK1" s="69" t="s">
        <v>2719</v>
      </c>
      <c r="AL1" s="69" t="s">
        <v>2720</v>
      </c>
      <c r="AM1" s="69" t="s">
        <v>2721</v>
      </c>
      <c r="AN1" s="69" t="s">
        <v>2722</v>
      </c>
      <c r="AO1" s="73" t="s">
        <v>2723</v>
      </c>
      <c r="AP1" s="71" t="s">
        <v>2724</v>
      </c>
      <c r="AQ1" s="71" t="s">
        <v>2725</v>
      </c>
      <c r="AR1" s="71" t="s">
        <v>2726</v>
      </c>
      <c r="AS1" s="71" t="s">
        <v>2727</v>
      </c>
      <c r="AT1" s="71" t="s">
        <v>2728</v>
      </c>
      <c r="AU1" s="71" t="s">
        <v>2729</v>
      </c>
      <c r="AV1" s="71" t="s">
        <v>2730</v>
      </c>
      <c r="AW1" s="71" t="s">
        <v>2731</v>
      </c>
      <c r="AX1" s="71" t="s">
        <v>2732</v>
      </c>
      <c r="AY1" s="71" t="s">
        <v>2733</v>
      </c>
      <c r="AZ1" s="71" t="s">
        <v>2734</v>
      </c>
      <c r="BA1" s="71" t="s">
        <v>2735</v>
      </c>
      <c r="BB1" s="71" t="s">
        <v>2736</v>
      </c>
      <c r="BC1" s="71" t="s">
        <v>2737</v>
      </c>
      <c r="BD1" s="73" t="s">
        <v>2738</v>
      </c>
      <c r="BE1" s="71" t="s">
        <v>2724</v>
      </c>
      <c r="BF1" s="71" t="s">
        <v>2739</v>
      </c>
      <c r="BG1" s="71" t="s">
        <v>2686</v>
      </c>
      <c r="BH1" s="71" t="s">
        <v>2740</v>
      </c>
      <c r="BI1" s="71" t="s">
        <v>2741</v>
      </c>
      <c r="BJ1" s="71" t="s">
        <v>2724</v>
      </c>
      <c r="BK1" s="71" t="s">
        <v>2739</v>
      </c>
      <c r="BL1" s="71" t="s">
        <v>2686</v>
      </c>
      <c r="BM1" s="71" t="s">
        <v>2742</v>
      </c>
      <c r="BN1" s="73" t="s">
        <v>2743</v>
      </c>
      <c r="BO1" s="71" t="s">
        <v>2724</v>
      </c>
      <c r="BP1" s="71" t="s">
        <v>2739</v>
      </c>
      <c r="BQ1" s="71" t="s">
        <v>2686</v>
      </c>
      <c r="BR1" s="71" t="s">
        <v>2740</v>
      </c>
      <c r="BS1" s="73" t="s">
        <v>2744</v>
      </c>
      <c r="BT1" s="71" t="s">
        <v>2724</v>
      </c>
      <c r="BU1" s="71" t="s">
        <v>2739</v>
      </c>
      <c r="BV1" s="71" t="s">
        <v>2686</v>
      </c>
      <c r="BW1" s="71" t="s">
        <v>2740</v>
      </c>
      <c r="BX1" s="73" t="s">
        <v>2745</v>
      </c>
      <c r="BY1" s="71" t="s">
        <v>2724</v>
      </c>
      <c r="BZ1" s="71" t="s">
        <v>2739</v>
      </c>
      <c r="CA1" s="71" t="s">
        <v>2746</v>
      </c>
      <c r="CB1" s="71" t="s">
        <v>2747</v>
      </c>
      <c r="CC1" s="71" t="s">
        <v>2748</v>
      </c>
      <c r="CD1" s="71" t="s">
        <v>2749</v>
      </c>
      <c r="CE1" s="71" t="s">
        <v>2750</v>
      </c>
      <c r="CF1" s="68" t="s">
        <v>2751</v>
      </c>
      <c r="CG1" s="68" t="s">
        <v>2752</v>
      </c>
      <c r="CH1" s="68" t="s">
        <v>2753</v>
      </c>
      <c r="CI1" s="68" t="s">
        <v>2752</v>
      </c>
      <c r="CJ1" s="68" t="s">
        <v>2754</v>
      </c>
      <c r="CK1" s="68" t="s">
        <v>2752</v>
      </c>
      <c r="CL1" s="68" t="s">
        <v>2755</v>
      </c>
      <c r="CM1" s="68" t="s">
        <v>2752</v>
      </c>
      <c r="CN1" s="68" t="s">
        <v>2756</v>
      </c>
      <c r="CO1" s="68" t="s">
        <v>2752</v>
      </c>
      <c r="CP1" s="68" t="s">
        <v>2757</v>
      </c>
      <c r="CQ1" s="68" t="s">
        <v>2752</v>
      </c>
      <c r="CR1" s="68" t="s">
        <v>2758</v>
      </c>
      <c r="CS1" s="68" t="s">
        <v>2752</v>
      </c>
      <c r="CT1" s="68" t="s">
        <v>2759</v>
      </c>
      <c r="CU1" s="68" t="s">
        <v>2752</v>
      </c>
      <c r="CV1" s="68" t="s">
        <v>2760</v>
      </c>
      <c r="CW1" s="68" t="s">
        <v>2752</v>
      </c>
      <c r="CX1" s="68" t="s">
        <v>2761</v>
      </c>
      <c r="CY1" s="68" t="s">
        <v>2752</v>
      </c>
      <c r="CZ1" s="68" t="s">
        <v>2762</v>
      </c>
      <c r="DA1" s="68" t="s">
        <v>2752</v>
      </c>
      <c r="DB1" s="68" t="s">
        <v>2763</v>
      </c>
      <c r="DC1" s="68" t="s">
        <v>2752</v>
      </c>
      <c r="DD1" s="68" t="s">
        <v>2764</v>
      </c>
      <c r="DE1" s="68" t="s">
        <v>2752</v>
      </c>
      <c r="DF1" s="68" t="s">
        <v>2765</v>
      </c>
      <c r="DG1" s="68" t="s">
        <v>2752</v>
      </c>
      <c r="DH1" s="68" t="s">
        <v>2766</v>
      </c>
      <c r="DI1" s="68" t="s">
        <v>2752</v>
      </c>
      <c r="DJ1" s="74" t="s">
        <v>2767</v>
      </c>
      <c r="DK1" s="74" t="s">
        <v>2723</v>
      </c>
      <c r="DL1" s="74" t="s">
        <v>2724</v>
      </c>
      <c r="DM1" s="74" t="s">
        <v>2725</v>
      </c>
      <c r="DN1" s="74" t="s">
        <v>2726</v>
      </c>
      <c r="DO1" s="74" t="s">
        <v>2727</v>
      </c>
      <c r="DP1" s="74" t="s">
        <v>2728</v>
      </c>
      <c r="DQ1" s="74" t="s">
        <v>2729</v>
      </c>
      <c r="DR1" s="74" t="s">
        <v>2730</v>
      </c>
      <c r="DS1" s="74" t="s">
        <v>2731</v>
      </c>
      <c r="DT1" s="74" t="s">
        <v>2732</v>
      </c>
      <c r="DU1" s="74" t="s">
        <v>2733</v>
      </c>
      <c r="DV1" s="74" t="s">
        <v>2734</v>
      </c>
      <c r="DW1" s="74" t="s">
        <v>2735</v>
      </c>
      <c r="DX1" s="74" t="s">
        <v>2736</v>
      </c>
      <c r="DY1" s="74" t="s">
        <v>2737</v>
      </c>
      <c r="DZ1" s="74" t="s">
        <v>2738</v>
      </c>
      <c r="EA1" s="74" t="s">
        <v>2724</v>
      </c>
      <c r="EB1" s="74" t="s">
        <v>2739</v>
      </c>
      <c r="EC1" s="74" t="s">
        <v>2686</v>
      </c>
      <c r="ED1" s="74" t="s">
        <v>2740</v>
      </c>
      <c r="EE1" s="74" t="s">
        <v>2741</v>
      </c>
      <c r="EF1" s="74" t="s">
        <v>2724</v>
      </c>
      <c r="EG1" s="74" t="s">
        <v>2739</v>
      </c>
      <c r="EH1" s="74" t="s">
        <v>2686</v>
      </c>
      <c r="EI1" s="74" t="s">
        <v>2742</v>
      </c>
      <c r="EJ1" s="74" t="s">
        <v>2743</v>
      </c>
      <c r="EK1" s="74" t="s">
        <v>2724</v>
      </c>
      <c r="EL1" s="74" t="s">
        <v>2739</v>
      </c>
      <c r="EM1" s="74" t="s">
        <v>2686</v>
      </c>
      <c r="EN1" s="74" t="s">
        <v>2740</v>
      </c>
      <c r="EO1" s="74" t="s">
        <v>2744</v>
      </c>
      <c r="EP1" s="74" t="s">
        <v>2724</v>
      </c>
      <c r="EQ1" s="74" t="s">
        <v>2739</v>
      </c>
      <c r="ER1" s="74" t="s">
        <v>2686</v>
      </c>
      <c r="ES1" s="74" t="s">
        <v>2740</v>
      </c>
      <c r="ET1" s="74" t="s">
        <v>2745</v>
      </c>
      <c r="EU1" s="74" t="s">
        <v>2724</v>
      </c>
      <c r="EV1" s="74" t="s">
        <v>2739</v>
      </c>
      <c r="EW1" s="74" t="s">
        <v>2746</v>
      </c>
      <c r="EX1" s="74" t="s">
        <v>2747</v>
      </c>
      <c r="EY1" s="74" t="s">
        <v>2748</v>
      </c>
      <c r="EZ1" s="74" t="s">
        <v>2749</v>
      </c>
      <c r="FA1" s="74" t="s">
        <v>2750</v>
      </c>
    </row>
    <row r="2" spans="1:157" x14ac:dyDescent="0.2">
      <c r="A2" s="75" t="str">
        <f>HYPERLINK(".\links\PEP\EEC07171.1-PEP.txt","EEC07171.1")</f>
        <v>EEC07171.1</v>
      </c>
      <c r="B2" s="75" t="s">
        <v>2768</v>
      </c>
      <c r="C2" s="75">
        <v>334</v>
      </c>
      <c r="D2" s="75" t="s">
        <v>2769</v>
      </c>
      <c r="E2" s="76" t="s">
        <v>2770</v>
      </c>
      <c r="F2" s="75" t="s">
        <v>2771</v>
      </c>
      <c r="G2" s="75" t="str">
        <f>HYPERLINK(".\links\Sigp\EEC07171.1-SigP.txt","CYT")</f>
        <v>CYT</v>
      </c>
      <c r="H2" s="75" t="s">
        <v>2772</v>
      </c>
      <c r="I2" s="75">
        <v>36.027999999999999</v>
      </c>
      <c r="J2" s="75">
        <v>7.68</v>
      </c>
      <c r="K2" s="75" t="s">
        <v>2772</v>
      </c>
      <c r="L2" s="75" t="s">
        <v>2772</v>
      </c>
      <c r="M2" s="75" t="str">
        <f>HYPERLINK(".\links\netoglyc\EEC07171.1-netoglyc.txt","0")</f>
        <v>0</v>
      </c>
      <c r="N2" s="75" t="s">
        <v>2773</v>
      </c>
      <c r="O2" s="75">
        <v>334</v>
      </c>
      <c r="P2" s="75">
        <v>0</v>
      </c>
      <c r="Q2" s="75" t="s">
        <v>2772</v>
      </c>
      <c r="R2" s="75" t="s">
        <v>2772</v>
      </c>
      <c r="S2" s="75" t="s">
        <v>2772</v>
      </c>
      <c r="T2" s="75" t="s">
        <v>2772</v>
      </c>
      <c r="U2" s="75" t="s">
        <v>2772</v>
      </c>
      <c r="V2" s="75" t="s">
        <v>2772</v>
      </c>
      <c r="W2" s="75">
        <v>12.1</v>
      </c>
      <c r="X2" s="75">
        <v>8.8000000000000007</v>
      </c>
      <c r="Y2" s="75">
        <v>3.5</v>
      </c>
      <c r="Z2" s="75" t="s">
        <v>2774</v>
      </c>
      <c r="AA2" s="77">
        <v>12.5748502994012</v>
      </c>
      <c r="AB2" s="75">
        <v>0.3</v>
      </c>
      <c r="AD2" s="75">
        <v>4</v>
      </c>
      <c r="AE2" s="75" t="str">
        <f>HYPERLINK(".\links\pep\EEC07171.1-sulf.txt","1")</f>
        <v>1</v>
      </c>
      <c r="AF2" s="75" t="str">
        <f>HYPERLINK(".\links\pep\EEC07171.1-tyr-sulf.txt","Fasta with y")</f>
        <v>Fasta with y</v>
      </c>
      <c r="AG2" s="75" t="s">
        <v>2772</v>
      </c>
      <c r="AH2" s="75" t="s">
        <v>2772</v>
      </c>
      <c r="AI2" s="75">
        <v>2</v>
      </c>
      <c r="AJ2" s="75">
        <v>2</v>
      </c>
      <c r="AK2" s="75" t="s">
        <v>2772</v>
      </c>
      <c r="AL2" s="75" t="s">
        <v>2772</v>
      </c>
      <c r="AM2" s="75" t="s">
        <v>2772</v>
      </c>
      <c r="AN2" s="75" t="s">
        <v>2772</v>
      </c>
      <c r="AO2" s="78" t="str">
        <f>HYPERLINK(".\links\AAM-CEMENT-2018\EEC07171.1-AAM-CEMENT-2018.txt","Extracted CDS")</f>
        <v>Extracted CDS</v>
      </c>
      <c r="AP2" s="75" t="str">
        <f>HYPERLINK("http://www.ncbi.nlm.nih.gov/sutils/blink.cgi?pid=Aam-179911","0.0")</f>
        <v>0.0</v>
      </c>
      <c r="AQ2" s="75" t="str">
        <f>HYPERLINK("http://www.ncbi.nlm.nih.gov/protein/Aam-179911","Aam-179911")</f>
        <v>Aam-179911</v>
      </c>
      <c r="AR2" s="75">
        <v>635</v>
      </c>
      <c r="AS2" s="75">
        <v>332</v>
      </c>
      <c r="AT2" s="75">
        <v>333</v>
      </c>
      <c r="AU2" s="75">
        <v>91</v>
      </c>
      <c r="AV2" s="75">
        <v>96</v>
      </c>
      <c r="AW2" s="75">
        <v>100</v>
      </c>
      <c r="AX2" s="75">
        <v>29</v>
      </c>
      <c r="AY2" s="75">
        <v>0</v>
      </c>
      <c r="AZ2" s="75">
        <v>1</v>
      </c>
      <c r="BA2" s="75">
        <v>1</v>
      </c>
      <c r="BB2" s="75">
        <v>1</v>
      </c>
      <c r="BC2" s="75" t="s">
        <v>2775</v>
      </c>
      <c r="BD2" s="78" t="str">
        <f>HYPERLINK(".\links\CDD\EEC07171.1-CDD.txt","PLN02272 glyceraldehyde-3-phosphate dehydrogenase")</f>
        <v>PLN02272 glyceraldehyde-3-phosphate dehydrogenase</v>
      </c>
      <c r="BE2" s="75">
        <v>0</v>
      </c>
      <c r="BF2" s="75">
        <v>78.099999999999994</v>
      </c>
      <c r="BG2" s="75" t="s">
        <v>2776</v>
      </c>
      <c r="BH2" s="75" t="s">
        <v>2777</v>
      </c>
      <c r="BI2" s="75" t="str">
        <f>HYPERLINK(".\links\KOG\EEC07171.1-KOG.txt","CDD:223135 COG0057, GapA, Glyceraldehyde-3-phosphate dehydrogenase/erythrose-4-phosphate dehydrogenase")</f>
        <v>CDD:223135 COG0057, GapA, Glyceraldehyde-3-phosphate dehydrogenase/erythrose-4-phosphate dehydrogenase</v>
      </c>
      <c r="BJ2" s="75">
        <v>0</v>
      </c>
      <c r="BK2" s="75">
        <v>100.6</v>
      </c>
      <c r="BL2" s="75" t="s">
        <v>2778</v>
      </c>
      <c r="BM2" s="75" t="s">
        <v>2779</v>
      </c>
      <c r="BN2" s="78" t="str">
        <f>HYPERLINK(".\links\PFAM\EEC07171.1-PFAM.txt","Gp_dh_C Glyceraldehyde 3-phosphate dehydrogenase C-terminal domain")</f>
        <v>Gp_dh_C Glyceraldehyde 3-phosphate dehydrogenase C-terminal domain</v>
      </c>
      <c r="BO2" s="79">
        <v>1E-89</v>
      </c>
      <c r="BP2" s="75">
        <v>101.3</v>
      </c>
      <c r="BQ2" s="75" t="s">
        <v>2780</v>
      </c>
      <c r="BR2" s="75" t="s">
        <v>2772</v>
      </c>
      <c r="BS2" s="78" t="str">
        <f>HYPERLINK(".\links\SMART\EEC07171.1-SMART.txt","CDD:214851 smart00846, Gp_dh_N, Glyceraldehyde 3-phosphate dehydrogenase, NAD binding domain")</f>
        <v>CDD:214851 smart00846, Gp_dh_N, Glyceraldehyde 3-phosphate dehydrogenase, NAD binding domain</v>
      </c>
      <c r="BT2" s="79">
        <v>1.9999999999999999E-82</v>
      </c>
      <c r="BU2" s="75">
        <v>100</v>
      </c>
      <c r="BV2" s="75" t="s">
        <v>2781</v>
      </c>
      <c r="BW2" s="75" t="s">
        <v>2772</v>
      </c>
      <c r="BX2" s="78" t="str">
        <f>HYPERLINK(".\links\TSF\EEC07171.1-TSF.txt","40-346 40-346, Evasin|EvasinA|S|")</f>
        <v>40-346 40-346, Evasin|EvasinA|S|</v>
      </c>
      <c r="BY2" s="75">
        <v>2.1</v>
      </c>
      <c r="BZ2" s="75">
        <v>42.7</v>
      </c>
      <c r="CA2" s="75" t="s">
        <v>2782</v>
      </c>
      <c r="CB2" s="75" t="s">
        <v>2783</v>
      </c>
      <c r="CC2" s="75" t="s">
        <v>2784</v>
      </c>
      <c r="CD2" s="75" t="s">
        <v>2785</v>
      </c>
      <c r="CE2" s="75" t="s">
        <v>2786</v>
      </c>
      <c r="CF2" s="75">
        <v>35</v>
      </c>
      <c r="CG2" s="75">
        <v>1</v>
      </c>
      <c r="CH2" s="75">
        <v>40</v>
      </c>
      <c r="CI2" s="75">
        <v>1</v>
      </c>
      <c r="CJ2" s="75">
        <v>41</v>
      </c>
      <c r="CK2" s="75">
        <v>1</v>
      </c>
      <c r="CL2" s="75">
        <v>45</v>
      </c>
      <c r="CM2" s="75">
        <v>1</v>
      </c>
      <c r="CN2" s="75">
        <v>46</v>
      </c>
      <c r="CO2" s="75">
        <v>1</v>
      </c>
      <c r="CP2" s="75">
        <v>47</v>
      </c>
      <c r="CQ2" s="75">
        <v>1</v>
      </c>
      <c r="CR2" s="75">
        <v>48</v>
      </c>
      <c r="CS2" s="75">
        <v>1</v>
      </c>
      <c r="CT2" s="75">
        <v>52</v>
      </c>
      <c r="CU2" s="75">
        <v>1</v>
      </c>
      <c r="CV2" s="75">
        <v>54</v>
      </c>
      <c r="CW2" s="75">
        <v>1</v>
      </c>
      <c r="CX2" s="75">
        <v>57</v>
      </c>
      <c r="CY2" s="75">
        <v>1</v>
      </c>
      <c r="CZ2" s="75">
        <v>59</v>
      </c>
      <c r="DA2" s="75">
        <v>1</v>
      </c>
      <c r="DB2" s="75">
        <v>61</v>
      </c>
      <c r="DC2" s="75">
        <v>1</v>
      </c>
      <c r="DD2" s="75">
        <v>62</v>
      </c>
      <c r="DE2" s="75">
        <v>1</v>
      </c>
      <c r="DF2" s="75">
        <v>63</v>
      </c>
      <c r="DG2" s="75">
        <v>1</v>
      </c>
      <c r="DH2" s="75">
        <v>64</v>
      </c>
      <c r="DI2" s="75">
        <v>1</v>
      </c>
      <c r="DJ2" s="75" t="s">
        <v>225</v>
      </c>
      <c r="DK2" s="75" t="str">
        <f>HYPERLINK(".\links\AAM-CEMENT-2018\EEC07171.1-AAM-CEMENT-2018.txt","Extracted CDS")</f>
        <v>Extracted CDS</v>
      </c>
      <c r="DL2" s="75" t="str">
        <f>HYPERLINK("http://www.ncbi.nlm.nih.gov/sutils/blink.cgi?pid=Aam-179911","0.0")</f>
        <v>0.0</v>
      </c>
      <c r="DM2" s="75" t="str">
        <f>HYPERLINK("http://www.ncbi.nlm.nih.gov/protein/Aam-179911","Aam-179911")</f>
        <v>Aam-179911</v>
      </c>
      <c r="DN2" s="75">
        <v>635</v>
      </c>
      <c r="DO2" s="75">
        <v>332</v>
      </c>
      <c r="DP2" s="75">
        <v>333</v>
      </c>
      <c r="DQ2" s="75">
        <v>91</v>
      </c>
      <c r="DR2" s="75">
        <v>96</v>
      </c>
      <c r="DS2" s="75">
        <v>100</v>
      </c>
      <c r="DT2" s="75">
        <v>29</v>
      </c>
      <c r="DU2" s="75">
        <v>0</v>
      </c>
      <c r="DV2" s="75">
        <v>1</v>
      </c>
      <c r="DW2" s="75">
        <v>1</v>
      </c>
      <c r="DX2" s="75">
        <v>1</v>
      </c>
      <c r="DY2" s="75" t="s">
        <v>2775</v>
      </c>
      <c r="DZ2" s="75" t="str">
        <f>HYPERLINK(".\links\CDD\EEC07171.1-CDD.txt","PLN02272 glyceraldehyde-3-phosphate dehydrogenase")</f>
        <v>PLN02272 glyceraldehyde-3-phosphate dehydrogenase</v>
      </c>
      <c r="EA2" s="75">
        <v>0</v>
      </c>
      <c r="EB2" s="75">
        <v>78.099999999999994</v>
      </c>
      <c r="EC2" s="75" t="s">
        <v>2776</v>
      </c>
      <c r="ED2" s="75" t="s">
        <v>2777</v>
      </c>
      <c r="EE2" s="75" t="str">
        <f>HYPERLINK(".\links\KOG\EEC07171.1-KOG.txt","CDD:223135 COG0057, GapA, Glyceraldehyde-3-phosphate dehydrogenase/erythrose-4-phosphate dehydrogenase")</f>
        <v>CDD:223135 COG0057, GapA, Glyceraldehyde-3-phosphate dehydrogenase/erythrose-4-phosphate dehydrogenase</v>
      </c>
      <c r="EF2" s="75">
        <v>0</v>
      </c>
      <c r="EG2" s="75">
        <v>100.6</v>
      </c>
      <c r="EH2" s="75" t="s">
        <v>2778</v>
      </c>
      <c r="EI2" s="75" t="s">
        <v>2779</v>
      </c>
      <c r="EJ2" s="75" t="str">
        <f>HYPERLINK(".\links\PFAM\EEC07171.1-PFAM.txt","Gp_dh_C Glyceraldehyde 3-phosphate dehydrogenase C-terminal domain")</f>
        <v>Gp_dh_C Glyceraldehyde 3-phosphate dehydrogenase C-terminal domain</v>
      </c>
      <c r="EK2" s="79">
        <v>1E-89</v>
      </c>
      <c r="EL2" s="75">
        <v>101.3</v>
      </c>
      <c r="EM2" s="75" t="s">
        <v>2780</v>
      </c>
      <c r="EN2" s="75" t="s">
        <v>2772</v>
      </c>
      <c r="EO2" s="75" t="str">
        <f>HYPERLINK(".\links\SMART\EEC07171.1-SMART.txt","CDD:214851 smart00846, Gp_dh_N, Glyceraldehyde 3-phosphate dehydrogenase, NAD binding domain")</f>
        <v>CDD:214851 smart00846, Gp_dh_N, Glyceraldehyde 3-phosphate dehydrogenase, NAD binding domain</v>
      </c>
      <c r="EP2" s="79">
        <v>1.9999999999999999E-82</v>
      </c>
      <c r="EQ2" s="75">
        <v>100</v>
      </c>
      <c r="ER2" s="75" t="s">
        <v>2781</v>
      </c>
      <c r="ES2" s="75" t="s">
        <v>2772</v>
      </c>
      <c r="ET2" s="75" t="str">
        <f>HYPERLINK(".\links\TSF\EEC07171.1-TSF.txt","40-346 40-346, Evasin|EvasinA|S|")</f>
        <v>40-346 40-346, Evasin|EvasinA|S|</v>
      </c>
      <c r="EU2" s="75">
        <v>2.1</v>
      </c>
      <c r="EV2" s="75">
        <v>42.7</v>
      </c>
      <c r="EW2" s="75" t="s">
        <v>2782</v>
      </c>
      <c r="EX2" s="75" t="s">
        <v>2783</v>
      </c>
      <c r="EY2" s="75" t="s">
        <v>2784</v>
      </c>
      <c r="EZ2" s="75" t="s">
        <v>2785</v>
      </c>
      <c r="FA2" s="75" t="s">
        <v>2786</v>
      </c>
    </row>
    <row r="3" spans="1:157" x14ac:dyDescent="0.2">
      <c r="A3" s="75" t="str">
        <f>HYPERLINK(".\links\PEP\EEC05916.1-PEP.txt","EEC05916.1")</f>
        <v>EEC05916.1</v>
      </c>
      <c r="B3" s="75" t="s">
        <v>2768</v>
      </c>
      <c r="C3" s="75">
        <v>340</v>
      </c>
      <c r="D3" s="75" t="s">
        <v>2787</v>
      </c>
      <c r="E3" s="76" t="s">
        <v>2770</v>
      </c>
      <c r="F3" s="75" t="s">
        <v>2771</v>
      </c>
      <c r="G3" s="75" t="str">
        <f>HYPERLINK(".\links\Sigp\EEC05916.1-SigP.txt","CYT")</f>
        <v>CYT</v>
      </c>
      <c r="H3" s="75" t="s">
        <v>2772</v>
      </c>
      <c r="I3" s="75">
        <v>35.896000000000001</v>
      </c>
      <c r="J3" s="75">
        <v>9.1999999999999993</v>
      </c>
      <c r="K3" s="75" t="s">
        <v>2772</v>
      </c>
      <c r="L3" s="75" t="s">
        <v>2772</v>
      </c>
      <c r="M3" s="75" t="str">
        <f>HYPERLINK(".\links\netoglyc\EEC05916.1-netoglyc.txt","3")</f>
        <v>3</v>
      </c>
      <c r="N3" s="75" t="s">
        <v>2788</v>
      </c>
      <c r="O3" s="75">
        <v>340</v>
      </c>
      <c r="P3" s="75">
        <v>0</v>
      </c>
      <c r="Q3" s="75" t="s">
        <v>2772</v>
      </c>
      <c r="R3" s="75" t="s">
        <v>2772</v>
      </c>
      <c r="S3" s="75" t="s">
        <v>2772</v>
      </c>
      <c r="T3" s="75" t="s">
        <v>2772</v>
      </c>
      <c r="U3" s="75" t="s">
        <v>2772</v>
      </c>
      <c r="V3" s="75" t="s">
        <v>2772</v>
      </c>
      <c r="W3" s="75">
        <v>13.6</v>
      </c>
      <c r="X3" s="75">
        <v>7.8</v>
      </c>
      <c r="Y3" s="75">
        <v>6.4</v>
      </c>
      <c r="Z3" s="75" t="s">
        <v>2774</v>
      </c>
      <c r="AA3" s="77">
        <v>14.411764705882399</v>
      </c>
      <c r="AB3" s="75">
        <v>0.28000000000000003</v>
      </c>
      <c r="AD3" s="75">
        <v>5</v>
      </c>
      <c r="AE3" s="75" t="s">
        <v>2772</v>
      </c>
      <c r="AF3" s="75" t="s">
        <v>2772</v>
      </c>
      <c r="AG3" s="75" t="s">
        <v>2772</v>
      </c>
      <c r="AH3" s="75" t="s">
        <v>2772</v>
      </c>
      <c r="AI3" s="75">
        <v>4</v>
      </c>
      <c r="AJ3" s="75">
        <v>4</v>
      </c>
      <c r="AK3" s="75" t="s">
        <v>2772</v>
      </c>
      <c r="AL3" s="75" t="s">
        <v>2772</v>
      </c>
      <c r="AM3" s="75" t="s">
        <v>2772</v>
      </c>
      <c r="AN3" s="75" t="s">
        <v>2772</v>
      </c>
      <c r="AO3" s="78" t="str">
        <f>HYPERLINK(".\links\AAM-CEMENT-2018\EEC05916.1-AAM-CEMENT-2018.txt","Extracted CDS")</f>
        <v>Extracted CDS</v>
      </c>
      <c r="AP3" s="75" t="str">
        <f>HYPERLINK("http://www.ncbi.nlm.nih.gov/sutils/blink.cgi?pid=Aam-177534","0.0")</f>
        <v>0.0</v>
      </c>
      <c r="AQ3" s="75" t="str">
        <f>HYPERLINK("http://www.ncbi.nlm.nih.gov/protein/Aam-177534","Aam-177534")</f>
        <v>Aam-177534</v>
      </c>
      <c r="AR3" s="75">
        <v>637</v>
      </c>
      <c r="AS3" s="75">
        <v>340</v>
      </c>
      <c r="AT3" s="75">
        <v>340</v>
      </c>
      <c r="AU3" s="75">
        <v>90</v>
      </c>
      <c r="AV3" s="75">
        <v>95</v>
      </c>
      <c r="AW3" s="75">
        <v>100</v>
      </c>
      <c r="AX3" s="75">
        <v>31</v>
      </c>
      <c r="AY3" s="75">
        <v>0</v>
      </c>
      <c r="AZ3" s="75">
        <v>1</v>
      </c>
      <c r="BA3" s="75">
        <v>1</v>
      </c>
      <c r="BB3" s="75">
        <v>1</v>
      </c>
      <c r="BC3" s="75" t="s">
        <v>2775</v>
      </c>
      <c r="BD3" s="78" t="str">
        <f>HYPERLINK(".\links\CDD\EEC05916.1-CDD.txt","MDH_glyoxysomal_mitochondrial Glyoxysomal and mitochondrial malate dehydrogenases")</f>
        <v>MDH_glyoxysomal_mitochondrial Glyoxysomal and mitochondrial malate dehydrogenases</v>
      </c>
      <c r="BE3" s="75">
        <v>0</v>
      </c>
      <c r="BF3" s="75">
        <v>99.7</v>
      </c>
      <c r="BG3" s="75" t="s">
        <v>2789</v>
      </c>
      <c r="BH3" s="75" t="s">
        <v>2790</v>
      </c>
      <c r="BI3" s="75" t="str">
        <f>HYPERLINK(".\links\KOG\EEC05916.1-KOG.txt","CDD:223117 COG0039, Mdh, Malate/lactate dehydrogenases")</f>
        <v>CDD:223117 COG0039, Mdh, Malate/lactate dehydrogenases</v>
      </c>
      <c r="BJ3" s="79">
        <v>9.9999999999999996E-82</v>
      </c>
      <c r="BK3" s="75">
        <v>102.6</v>
      </c>
      <c r="BL3" s="75" t="s">
        <v>2791</v>
      </c>
      <c r="BM3" s="75" t="s">
        <v>2779</v>
      </c>
      <c r="BN3" s="78" t="str">
        <f>HYPERLINK(".\links\PFAM\EEC05916.1-PFAM.txt","Ldh_1_C lactate/malate dehydrogenase alpha/beta C-terminal domain")</f>
        <v>Ldh_1_C lactate/malate dehydrogenase alpha/beta C-terminal domain</v>
      </c>
      <c r="BO3" s="79">
        <v>4.9999999999999999E-61</v>
      </c>
      <c r="BP3" s="75">
        <v>101.7</v>
      </c>
      <c r="BQ3" s="75" t="s">
        <v>2792</v>
      </c>
      <c r="BR3" s="75" t="s">
        <v>2772</v>
      </c>
      <c r="BS3" s="78" t="str">
        <f>HYPERLINK(".\links\SMART\EEC05916.1-SMART.txt","CDD:214863 smart00859, Semialdhyde_dh, Semialdehyde dehydrogenase, NAD binding domain")</f>
        <v>CDD:214863 smart00859, Semialdhyde_dh, Semialdehyde dehydrogenase, NAD binding domain</v>
      </c>
      <c r="BT3" s="75">
        <v>1E-3</v>
      </c>
      <c r="BU3" s="75">
        <v>65.900000000000006</v>
      </c>
      <c r="BV3" s="75" t="s">
        <v>2793</v>
      </c>
      <c r="BW3" s="75" t="s">
        <v>2772</v>
      </c>
      <c r="BX3" s="78" t="str">
        <f>HYPERLINK(".\links\TSF\EEC05916.1-TSF.txt","25-109 25-109, Mucin|HRP|S|")</f>
        <v>25-109 25-109, Mucin|HRP|S|</v>
      </c>
      <c r="BY3" s="75">
        <v>5.8000000000000003E-2</v>
      </c>
      <c r="BZ3" s="75">
        <v>43.9</v>
      </c>
      <c r="CA3" s="75" t="s">
        <v>2794</v>
      </c>
      <c r="CB3" s="75" t="s">
        <v>2795</v>
      </c>
      <c r="CC3" s="75" t="s">
        <v>2796</v>
      </c>
      <c r="CD3" s="75" t="s">
        <v>2785</v>
      </c>
      <c r="CE3" s="75" t="s">
        <v>2797</v>
      </c>
      <c r="CF3" s="75">
        <v>30</v>
      </c>
      <c r="CG3" s="75">
        <v>1</v>
      </c>
      <c r="CH3" s="75">
        <v>35</v>
      </c>
      <c r="CI3" s="75">
        <v>1</v>
      </c>
      <c r="CJ3" s="75">
        <v>36</v>
      </c>
      <c r="CK3" s="75">
        <v>1</v>
      </c>
      <c r="CL3" s="75">
        <v>40</v>
      </c>
      <c r="CM3" s="75">
        <v>1</v>
      </c>
      <c r="CN3" s="75">
        <v>41</v>
      </c>
      <c r="CO3" s="75">
        <v>1</v>
      </c>
      <c r="CP3" s="75">
        <v>42</v>
      </c>
      <c r="CQ3" s="75">
        <v>1</v>
      </c>
      <c r="CR3" s="75">
        <v>43</v>
      </c>
      <c r="CS3" s="75">
        <v>1</v>
      </c>
      <c r="CT3" s="75">
        <v>47</v>
      </c>
      <c r="CU3" s="75">
        <v>1</v>
      </c>
      <c r="CV3" s="75">
        <v>49</v>
      </c>
      <c r="CW3" s="75">
        <v>1</v>
      </c>
      <c r="CX3" s="75">
        <v>51</v>
      </c>
      <c r="CY3" s="75">
        <v>1</v>
      </c>
      <c r="CZ3" s="75">
        <v>53</v>
      </c>
      <c r="DA3" s="75">
        <v>1</v>
      </c>
      <c r="DB3" s="75">
        <v>54</v>
      </c>
      <c r="DC3" s="75">
        <v>1</v>
      </c>
      <c r="DD3" s="75">
        <v>55</v>
      </c>
      <c r="DE3" s="75">
        <v>1</v>
      </c>
      <c r="DF3" s="75">
        <v>55</v>
      </c>
      <c r="DG3" s="75">
        <v>1</v>
      </c>
      <c r="DH3" s="75">
        <v>56</v>
      </c>
      <c r="DI3" s="75">
        <v>1</v>
      </c>
      <c r="DJ3" s="75" t="s">
        <v>186</v>
      </c>
      <c r="DK3" s="75" t="str">
        <f>HYPERLINK(".\links\AAM-CEMENT-2018\EEC05916.1-AAM-CEMENT-2018.txt","Extracted CDS")</f>
        <v>Extracted CDS</v>
      </c>
      <c r="DL3" s="75" t="str">
        <f>HYPERLINK("http://www.ncbi.nlm.nih.gov/sutils/blink.cgi?pid=Aam-177534","0.0")</f>
        <v>0.0</v>
      </c>
      <c r="DM3" s="75" t="str">
        <f>HYPERLINK("http://www.ncbi.nlm.nih.gov/protein/Aam-177534","Aam-177534")</f>
        <v>Aam-177534</v>
      </c>
      <c r="DN3" s="75">
        <v>637</v>
      </c>
      <c r="DO3" s="75">
        <v>340</v>
      </c>
      <c r="DP3" s="75">
        <v>340</v>
      </c>
      <c r="DQ3" s="75">
        <v>90</v>
      </c>
      <c r="DR3" s="75">
        <v>95</v>
      </c>
      <c r="DS3" s="75">
        <v>100</v>
      </c>
      <c r="DT3" s="75">
        <v>31</v>
      </c>
      <c r="DU3" s="75">
        <v>0</v>
      </c>
      <c r="DV3" s="75">
        <v>1</v>
      </c>
      <c r="DW3" s="75">
        <v>1</v>
      </c>
      <c r="DX3" s="75">
        <v>1</v>
      </c>
      <c r="DY3" s="75" t="s">
        <v>2775</v>
      </c>
      <c r="DZ3" s="75" t="str">
        <f>HYPERLINK(".\links\CDD\EEC05916.1-CDD.txt","MDH_glyoxysomal_mitochondrial Glyoxysomal and mitochondrial malate dehydrogenases")</f>
        <v>MDH_glyoxysomal_mitochondrial Glyoxysomal and mitochondrial malate dehydrogenases</v>
      </c>
      <c r="EA3" s="75">
        <v>0</v>
      </c>
      <c r="EB3" s="75">
        <v>99.7</v>
      </c>
      <c r="EC3" s="75" t="s">
        <v>2789</v>
      </c>
      <c r="ED3" s="75" t="s">
        <v>2790</v>
      </c>
      <c r="EE3" s="75" t="str">
        <f>HYPERLINK(".\links\KOG\EEC05916.1-KOG.txt","CDD:223117 COG0039, Mdh, Malate/lactate dehydrogenases")</f>
        <v>CDD:223117 COG0039, Mdh, Malate/lactate dehydrogenases</v>
      </c>
      <c r="EF3" s="79">
        <v>9.9999999999999996E-82</v>
      </c>
      <c r="EG3" s="75">
        <v>102.6</v>
      </c>
      <c r="EH3" s="75" t="s">
        <v>2791</v>
      </c>
      <c r="EI3" s="75" t="s">
        <v>2779</v>
      </c>
      <c r="EJ3" s="75" t="str">
        <f>HYPERLINK(".\links\PFAM\EEC05916.1-PFAM.txt","Ldh_1_C lactate/malate dehydrogenase alpha/beta C-terminal domain")</f>
        <v>Ldh_1_C lactate/malate dehydrogenase alpha/beta C-terminal domain</v>
      </c>
      <c r="EK3" s="79">
        <v>4.9999999999999999E-61</v>
      </c>
      <c r="EL3" s="75">
        <v>101.7</v>
      </c>
      <c r="EM3" s="75" t="s">
        <v>2792</v>
      </c>
      <c r="EN3" s="75" t="s">
        <v>2772</v>
      </c>
      <c r="EO3" s="75" t="str">
        <f>HYPERLINK(".\links\SMART\EEC05916.1-SMART.txt","CDD:214863 smart00859, Semialdhyde_dh, Semialdehyde dehydrogenase, NAD binding domain")</f>
        <v>CDD:214863 smart00859, Semialdhyde_dh, Semialdehyde dehydrogenase, NAD binding domain</v>
      </c>
      <c r="EP3" s="75">
        <v>1E-3</v>
      </c>
      <c r="EQ3" s="75">
        <v>65.900000000000006</v>
      </c>
      <c r="ER3" s="75" t="s">
        <v>2793</v>
      </c>
      <c r="ES3" s="75" t="s">
        <v>2772</v>
      </c>
      <c r="ET3" s="75" t="str">
        <f>HYPERLINK(".\links\TSF\EEC05916.1-TSF.txt","25-109 25-109, Mucin|HRP|S|")</f>
        <v>25-109 25-109, Mucin|HRP|S|</v>
      </c>
      <c r="EU3" s="75">
        <v>5.8000000000000003E-2</v>
      </c>
      <c r="EV3" s="75">
        <v>43.9</v>
      </c>
      <c r="EW3" s="75" t="s">
        <v>2794</v>
      </c>
      <c r="EX3" s="75" t="s">
        <v>2795</v>
      </c>
      <c r="EY3" s="75" t="s">
        <v>2796</v>
      </c>
      <c r="EZ3" s="75" t="s">
        <v>2785</v>
      </c>
      <c r="FA3" s="75" t="s">
        <v>2797</v>
      </c>
    </row>
    <row r="4" spans="1:157" x14ac:dyDescent="0.2">
      <c r="A4" s="75" t="str">
        <f>HYPERLINK(".\links\PEP\AAY66603.1-PEP.txt","AAY66603.1")</f>
        <v>AAY66603.1</v>
      </c>
      <c r="B4" s="75" t="s">
        <v>2768</v>
      </c>
      <c r="C4" s="75">
        <v>233</v>
      </c>
      <c r="D4" s="75" t="s">
        <v>2798</v>
      </c>
      <c r="E4" s="76" t="s">
        <v>2770</v>
      </c>
      <c r="F4" s="75" t="s">
        <v>2771</v>
      </c>
      <c r="G4" s="75" t="str">
        <f>HYPERLINK(".\links\Sigp\AAY66603.1-SigP.txt","BL")</f>
        <v>BL</v>
      </c>
      <c r="H4" s="75" t="s">
        <v>2799</v>
      </c>
      <c r="I4" s="75">
        <v>25.707999999999998</v>
      </c>
      <c r="J4" s="75">
        <v>9.1</v>
      </c>
      <c r="K4" s="75">
        <v>24.013999999999999</v>
      </c>
      <c r="L4" s="75">
        <v>8.4</v>
      </c>
      <c r="M4" s="75" t="str">
        <f>HYPERLINK(".\links\netoglyc\AAY66603.1-netoglyc.txt","6")</f>
        <v>6</v>
      </c>
      <c r="N4" s="75" t="s">
        <v>2800</v>
      </c>
      <c r="O4" s="75">
        <v>233</v>
      </c>
      <c r="P4" s="75">
        <v>0</v>
      </c>
      <c r="Q4" s="75" t="s">
        <v>2772</v>
      </c>
      <c r="R4" s="75" t="s">
        <v>2772</v>
      </c>
      <c r="S4" s="75" t="s">
        <v>2772</v>
      </c>
      <c r="T4" s="75" t="s">
        <v>2772</v>
      </c>
      <c r="U4" s="75" t="s">
        <v>2772</v>
      </c>
      <c r="V4" s="75" t="s">
        <v>2772</v>
      </c>
      <c r="W4" s="75">
        <v>10.5</v>
      </c>
      <c r="X4" s="75">
        <v>6.7</v>
      </c>
      <c r="Y4" s="75">
        <v>6.7</v>
      </c>
      <c r="Z4" s="75" t="s">
        <v>2774</v>
      </c>
      <c r="AA4" s="77">
        <v>13.733905579399099</v>
      </c>
      <c r="AB4" s="75">
        <v>0.23</v>
      </c>
      <c r="AD4" s="75">
        <v>3</v>
      </c>
      <c r="AE4" s="75" t="s">
        <v>2772</v>
      </c>
      <c r="AF4" s="75" t="s">
        <v>2772</v>
      </c>
      <c r="AG4" s="75" t="s">
        <v>2772</v>
      </c>
      <c r="AH4" s="75" t="s">
        <v>2772</v>
      </c>
      <c r="AI4" s="75">
        <v>3</v>
      </c>
      <c r="AJ4" s="75">
        <v>3</v>
      </c>
      <c r="AK4" s="75" t="s">
        <v>2772</v>
      </c>
      <c r="AL4" s="75" t="s">
        <v>2772</v>
      </c>
      <c r="AM4" s="75" t="s">
        <v>2772</v>
      </c>
      <c r="AN4" s="75" t="s">
        <v>2772</v>
      </c>
      <c r="AO4" s="78" t="str">
        <f>HYPERLINK(".\links\AAM-CEMENT-2018\AAY66603.1-AAM-CEMENT-2018.txt","Extracted CDS")</f>
        <v>Extracted CDS</v>
      </c>
      <c r="AP4" s="75" t="str">
        <f>HYPERLINK("http://www.ncbi.nlm.nih.gov/sutils/blink.cgi?pid=Aam-178079","1E-105")</f>
        <v>1E-105</v>
      </c>
      <c r="AQ4" s="75" t="str">
        <f>HYPERLINK("http://www.ncbi.nlm.nih.gov/protein/Aam-178079","Aam-178079")</f>
        <v>Aam-178079</v>
      </c>
      <c r="AR4" s="75">
        <v>295</v>
      </c>
      <c r="AS4" s="75">
        <v>193</v>
      </c>
      <c r="AT4" s="75">
        <v>196</v>
      </c>
      <c r="AU4" s="75">
        <v>72</v>
      </c>
      <c r="AV4" s="75">
        <v>82</v>
      </c>
      <c r="AW4" s="75">
        <v>98</v>
      </c>
      <c r="AX4" s="75">
        <v>54</v>
      </c>
      <c r="AY4" s="75">
        <v>0</v>
      </c>
      <c r="AZ4" s="75">
        <v>4</v>
      </c>
      <c r="BA4" s="75">
        <v>41</v>
      </c>
      <c r="BB4" s="75">
        <v>1</v>
      </c>
      <c r="BC4" s="75" t="s">
        <v>2775</v>
      </c>
      <c r="BD4" s="78" t="str">
        <f>HYPERLINK(".\links\CDD\AAY66603.1-CDD.txt","PRX_Typ2cys Peroxiredoxin")</f>
        <v>PRX_Typ2cys Peroxiredoxin</v>
      </c>
      <c r="BE4" s="79">
        <v>2.0000000000000001E-122</v>
      </c>
      <c r="BF4" s="75">
        <v>100</v>
      </c>
      <c r="BG4" s="75" t="s">
        <v>2801</v>
      </c>
      <c r="BH4" s="75" t="s">
        <v>2802</v>
      </c>
      <c r="BI4" s="75" t="str">
        <f>HYPERLINK(".\links\KOG\AAY66603.1-KOG.txt","CDD:223527 COG0450, AhpC, Peroxiredoxin")</f>
        <v>CDD:223527 COG0450, AhpC, Peroxiredoxin</v>
      </c>
      <c r="BJ4" s="79">
        <v>3.9999999999999997E-102</v>
      </c>
      <c r="BK4" s="75">
        <v>96.9</v>
      </c>
      <c r="BL4" s="75" t="s">
        <v>2803</v>
      </c>
      <c r="BM4" s="75" t="s">
        <v>2779</v>
      </c>
      <c r="BN4" s="78" t="str">
        <f>HYPERLINK(".\links\PFAM\AAY66603.1-PFAM.txt","AhpC-TSA AhpC/TSA family")</f>
        <v>AhpC-TSA AhpC/TSA family</v>
      </c>
      <c r="BO4" s="79">
        <v>1.9999999999999999E-49</v>
      </c>
      <c r="BP4" s="75">
        <v>105.3</v>
      </c>
      <c r="BQ4" s="75" t="s">
        <v>2804</v>
      </c>
      <c r="BR4" s="75" t="s">
        <v>2772</v>
      </c>
      <c r="BS4" s="78" t="str">
        <f>HYPERLINK(".\links\SMART\AAY66603.1-SMART.txt","CDD:197870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BT4" s="75">
        <v>0.87</v>
      </c>
      <c r="BU4" s="75">
        <v>12.1</v>
      </c>
      <c r="BV4" s="75" t="s">
        <v>2805</v>
      </c>
      <c r="BW4" s="75" t="s">
        <v>2772</v>
      </c>
      <c r="BX4" s="78" t="str">
        <f>HYPERLINK(".\links\TSF\AAY66603.1-TSF.txt","30-126 30-126, Thioredoxin peroxidase||H|E")</f>
        <v>30-126 30-126, Thioredoxin peroxidase||H|E</v>
      </c>
      <c r="BY4" s="79">
        <v>6.9999999999999997E-124</v>
      </c>
      <c r="BZ4" s="75">
        <v>76</v>
      </c>
      <c r="CA4" s="75" t="s">
        <v>2806</v>
      </c>
      <c r="CB4" s="75" t="s">
        <v>2807</v>
      </c>
      <c r="CC4" s="75" t="s">
        <v>2772</v>
      </c>
      <c r="CD4" s="75" t="s">
        <v>2808</v>
      </c>
      <c r="CE4" s="75" t="s">
        <v>2809</v>
      </c>
      <c r="CF4" s="75">
        <f>HYPERLINK(".\links\cluster-b\Ixsc-cement-202225-50SimCLU9.txt", 9)</f>
        <v>9</v>
      </c>
      <c r="CG4" s="75">
        <f>HYPERLINK(".\links\cluster-b\Ixsc-cement-202225-50SimCLTL9.txt", 3)</f>
        <v>3</v>
      </c>
      <c r="CH4" s="75">
        <f>HYPERLINK(".\links\cluster-b\Ixsc-cement-202230-50SimCLU8.txt", 8)</f>
        <v>8</v>
      </c>
      <c r="CI4" s="75">
        <f>HYPERLINK(".\links\cluster-b\Ixsc-cement-202230-50SimCLTL8.txt", 3)</f>
        <v>3</v>
      </c>
      <c r="CJ4" s="75">
        <f>HYPERLINK(".\links\cluster-b\Ixsc-cement-202235-50SimCLU8.txt", 8)</f>
        <v>8</v>
      </c>
      <c r="CK4" s="75">
        <f>HYPERLINK(".\links\cluster-b\Ixsc-cement-202235-50SimCLTL8.txt", 3)</f>
        <v>3</v>
      </c>
      <c r="CL4" s="75">
        <f>HYPERLINK(".\links\cluster-b\Ixsc-cement-202240-50SimCLU9.txt", 9)</f>
        <v>9</v>
      </c>
      <c r="CM4" s="75">
        <f>HYPERLINK(".\links\cluster-b\Ixsc-cement-202240-50SimCLTL9.txt", 3)</f>
        <v>3</v>
      </c>
      <c r="CN4" s="75">
        <f>HYPERLINK(".\links\cluster-b\Ixsc-cement-202245-50SimCLU8.txt", 8)</f>
        <v>8</v>
      </c>
      <c r="CO4" s="75">
        <f>HYPERLINK(".\links\cluster-b\Ixsc-cement-202245-50SimCLTL8.txt", 3)</f>
        <v>3</v>
      </c>
      <c r="CP4" s="75">
        <f>HYPERLINK(".\links\cluster-b\Ixsc-cement-202250-50SimCLU8.txt", 8)</f>
        <v>8</v>
      </c>
      <c r="CQ4" s="75">
        <f>HYPERLINK(".\links\cluster-b\Ixsc-cement-202250-50SimCLTL8.txt", 3)</f>
        <v>3</v>
      </c>
      <c r="CR4" s="75">
        <f>HYPERLINK(".\links\cluster-b\Ixsc-cement-202255-50SimCLU7.txt", 7)</f>
        <v>7</v>
      </c>
      <c r="CS4" s="75">
        <f>HYPERLINK(".\links\cluster-b\Ixsc-cement-202255-50SimCLTL7.txt", 3)</f>
        <v>3</v>
      </c>
      <c r="CT4" s="75">
        <f>HYPERLINK(".\links\cluster-b\Ixsc-cement-202260-50SimCLU7.txt", 7)</f>
        <v>7</v>
      </c>
      <c r="CU4" s="75">
        <f>HYPERLINK(".\links\cluster-b\Ixsc-cement-202260-50SimCLTL7.txt", 3)</f>
        <v>3</v>
      </c>
      <c r="CV4" s="75">
        <f>HYPERLINK(".\links\cluster-b\Ixsc-cement-202265-50SimCLU7.txt", 7)</f>
        <v>7</v>
      </c>
      <c r="CW4" s="75">
        <f>HYPERLINK(".\links\cluster-b\Ixsc-cement-202265-50SimCLTL7.txt", 3)</f>
        <v>3</v>
      </c>
      <c r="CX4" s="75">
        <f>HYPERLINK(".\links\cluster-b\Ixsc-cement-202270-50SimCLU5.txt", 5)</f>
        <v>5</v>
      </c>
      <c r="CY4" s="75">
        <f>HYPERLINK(".\links\cluster-b\Ixsc-cement-202270-50SimCLTL5.txt", 3)</f>
        <v>3</v>
      </c>
      <c r="CZ4" s="75">
        <f>HYPERLINK(".\links\cluster-b\Ixsc-cement-202275-50SimCLU5.txt", 5)</f>
        <v>5</v>
      </c>
      <c r="DA4" s="75">
        <f>HYPERLINK(".\links\cluster-b\Ixsc-cement-202275-50SimCLTL5.txt", 3)</f>
        <v>3</v>
      </c>
      <c r="DB4" s="75">
        <f>HYPERLINK(".\links\cluster-b\Ixsc-cement-202280-50SimCLU4.txt", 4)</f>
        <v>4</v>
      </c>
      <c r="DC4" s="75">
        <f>HYPERLINK(".\links\cluster-b\Ixsc-cement-202280-50SimCLTL4.txt", 3)</f>
        <v>3</v>
      </c>
      <c r="DD4" s="75">
        <f>HYPERLINK(".\links\cluster-b\Ixsc-cement-202285-50SimCLU3.txt", 3)</f>
        <v>3</v>
      </c>
      <c r="DE4" s="75">
        <f>HYPERLINK(".\links\cluster-b\Ixsc-cement-202285-50SimCLTL3.txt", 3)</f>
        <v>3</v>
      </c>
      <c r="DF4" s="75">
        <f>HYPERLINK(".\links\cluster-b\Ixsc-cement-202290-50SimCLU2.txt", 2)</f>
        <v>2</v>
      </c>
      <c r="DG4" s="75">
        <f>HYPERLINK(".\links\cluster-b\Ixsc-cement-202290-50SimCLTL2.txt", 3)</f>
        <v>3</v>
      </c>
      <c r="DH4" s="75">
        <f>HYPERLINK(".\links\cluster-b\Ixsc-cement-202295-50SimCLU2.txt", 2)</f>
        <v>2</v>
      </c>
      <c r="DI4" s="75">
        <f>HYPERLINK(".\links\cluster-b\Ixsc-cement-202295-50SimCLTL2.txt", 3)</f>
        <v>3</v>
      </c>
      <c r="DJ4" s="75" t="s">
        <v>184</v>
      </c>
      <c r="DK4" s="75" t="str">
        <f>HYPERLINK(".\links\AAM-CEMENT-2018\AAY66603.1-AAM-CEMENT-2018.txt","Extracted CDS")</f>
        <v>Extracted CDS</v>
      </c>
      <c r="DL4" s="75" t="str">
        <f>HYPERLINK("http://www.ncbi.nlm.nih.gov/sutils/blink.cgi?pid=Aam-178079","1E-105")</f>
        <v>1E-105</v>
      </c>
      <c r="DM4" s="75" t="str">
        <f>HYPERLINK("http://www.ncbi.nlm.nih.gov/protein/Aam-178079","Aam-178079")</f>
        <v>Aam-178079</v>
      </c>
      <c r="DN4" s="75">
        <v>295</v>
      </c>
      <c r="DO4" s="75">
        <v>193</v>
      </c>
      <c r="DP4" s="75">
        <v>196</v>
      </c>
      <c r="DQ4" s="75">
        <v>72</v>
      </c>
      <c r="DR4" s="75">
        <v>82</v>
      </c>
      <c r="DS4" s="75">
        <v>98</v>
      </c>
      <c r="DT4" s="75">
        <v>54</v>
      </c>
      <c r="DU4" s="75">
        <v>0</v>
      </c>
      <c r="DV4" s="75">
        <v>4</v>
      </c>
      <c r="DW4" s="75">
        <v>41</v>
      </c>
      <c r="DX4" s="75">
        <v>1</v>
      </c>
      <c r="DY4" s="75" t="s">
        <v>2775</v>
      </c>
      <c r="DZ4" s="75" t="str">
        <f>HYPERLINK(".\links\CDD\AAY66603.1-CDD.txt","PRX_Typ2cys Peroxiredoxin")</f>
        <v>PRX_Typ2cys Peroxiredoxin</v>
      </c>
      <c r="EA4" s="79">
        <v>2.0000000000000001E-122</v>
      </c>
      <c r="EB4" s="75">
        <v>100</v>
      </c>
      <c r="EC4" s="75" t="s">
        <v>2801</v>
      </c>
      <c r="ED4" s="75" t="s">
        <v>2802</v>
      </c>
      <c r="EE4" s="75" t="str">
        <f>HYPERLINK(".\links\KOG\AAY66603.1-KOG.txt","CDD:223527 COG0450, AhpC, Peroxiredoxin")</f>
        <v>CDD:223527 COG0450, AhpC, Peroxiredoxin</v>
      </c>
      <c r="EF4" s="79">
        <v>3.9999999999999997E-102</v>
      </c>
      <c r="EG4" s="75">
        <v>96.9</v>
      </c>
      <c r="EH4" s="75" t="s">
        <v>2803</v>
      </c>
      <c r="EI4" s="75" t="s">
        <v>2779</v>
      </c>
      <c r="EJ4" s="75" t="str">
        <f>HYPERLINK(".\links\PFAM\AAY66603.1-PFAM.txt","AhpC-TSA AhpC/TSA family")</f>
        <v>AhpC-TSA AhpC/TSA family</v>
      </c>
      <c r="EK4" s="79">
        <v>1.9999999999999999E-49</v>
      </c>
      <c r="EL4" s="75">
        <v>105.3</v>
      </c>
      <c r="EM4" s="75" t="s">
        <v>2804</v>
      </c>
      <c r="EN4" s="75" t="s">
        <v>2772</v>
      </c>
      <c r="EO4" s="75" t="str">
        <f>HYPERLINK(".\links\SMART\AAY66603.1-SMART.txt","CDD:197870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EP4" s="75">
        <v>0.87</v>
      </c>
      <c r="EQ4" s="75">
        <v>12.1</v>
      </c>
      <c r="ER4" s="75" t="s">
        <v>2805</v>
      </c>
      <c r="ES4" s="75" t="s">
        <v>2772</v>
      </c>
      <c r="ET4" s="75" t="str">
        <f>HYPERLINK(".\links\TSF\AAY66603.1-TSF.txt","30-126 30-126, Thioredoxin peroxidase||H|E")</f>
        <v>30-126 30-126, Thioredoxin peroxidase||H|E</v>
      </c>
      <c r="EU4" s="79">
        <v>6.9999999999999997E-124</v>
      </c>
      <c r="EV4" s="75">
        <v>76</v>
      </c>
      <c r="EW4" s="75" t="s">
        <v>2806</v>
      </c>
      <c r="EX4" s="75" t="s">
        <v>2807</v>
      </c>
      <c r="EY4" s="75" t="s">
        <v>2772</v>
      </c>
      <c r="EZ4" s="75" t="s">
        <v>2808</v>
      </c>
      <c r="FA4" s="75" t="s">
        <v>2809</v>
      </c>
    </row>
    <row r="5" spans="1:157" x14ac:dyDescent="0.2">
      <c r="A5" s="75" t="str">
        <f>HYPERLINK(".\links\PEP\EEC20239.1-PEP.txt","EEC20239.1")</f>
        <v>EEC20239.1</v>
      </c>
      <c r="B5" s="75" t="s">
        <v>2768</v>
      </c>
      <c r="C5" s="75">
        <v>233</v>
      </c>
      <c r="D5" s="75" t="s">
        <v>2798</v>
      </c>
      <c r="E5" s="76" t="s">
        <v>2770</v>
      </c>
      <c r="F5" s="75" t="s">
        <v>2771</v>
      </c>
      <c r="G5" s="75" t="str">
        <f>HYPERLINK(".\links\Sigp\EEC20239.1-SigP.txt","BL")</f>
        <v>BL</v>
      </c>
      <c r="H5" s="75" t="s">
        <v>2799</v>
      </c>
      <c r="I5" s="75">
        <v>25.817</v>
      </c>
      <c r="J5" s="75">
        <v>9.08</v>
      </c>
      <c r="K5" s="75">
        <v>24.13</v>
      </c>
      <c r="L5" s="75">
        <v>8.39</v>
      </c>
      <c r="M5" s="75" t="str">
        <f>HYPERLINK(".\links\netoglyc\EEC20239.1-netoglyc.txt","2")</f>
        <v>2</v>
      </c>
      <c r="N5" s="75" t="s">
        <v>2810</v>
      </c>
      <c r="O5" s="75">
        <v>233</v>
      </c>
      <c r="P5" s="75">
        <v>0</v>
      </c>
      <c r="Q5" s="75" t="s">
        <v>2772</v>
      </c>
      <c r="R5" s="75" t="s">
        <v>2772</v>
      </c>
      <c r="S5" s="75" t="s">
        <v>2772</v>
      </c>
      <c r="T5" s="75" t="s">
        <v>2772</v>
      </c>
      <c r="U5" s="75" t="s">
        <v>2772</v>
      </c>
      <c r="V5" s="75" t="s">
        <v>2772</v>
      </c>
      <c r="W5" s="75">
        <v>9.6999999999999993</v>
      </c>
      <c r="X5" s="75">
        <v>6.7</v>
      </c>
      <c r="Y5" s="75">
        <v>6.7</v>
      </c>
      <c r="Z5" s="75" t="s">
        <v>2774</v>
      </c>
      <c r="AA5" s="77">
        <v>13.733905579399099</v>
      </c>
      <c r="AB5" s="75">
        <v>0.24</v>
      </c>
      <c r="AD5" s="75">
        <v>3</v>
      </c>
      <c r="AE5" s="75" t="s">
        <v>2772</v>
      </c>
      <c r="AF5" s="75" t="s">
        <v>2772</v>
      </c>
      <c r="AG5" s="75" t="s">
        <v>2772</v>
      </c>
      <c r="AH5" s="75" t="s">
        <v>2772</v>
      </c>
      <c r="AI5" s="75">
        <v>3</v>
      </c>
      <c r="AJ5" s="75">
        <v>3</v>
      </c>
      <c r="AK5" s="75" t="s">
        <v>2772</v>
      </c>
      <c r="AL5" s="75" t="s">
        <v>2772</v>
      </c>
      <c r="AM5" s="75" t="s">
        <v>2772</v>
      </c>
      <c r="AN5" s="75" t="s">
        <v>2772</v>
      </c>
      <c r="AO5" s="78" t="str">
        <f>HYPERLINK(".\links\AAM-CEMENT-2018\EEC20239.1-AAM-CEMENT-2018.txt","Extracted CDS")</f>
        <v>Extracted CDS</v>
      </c>
      <c r="AP5" s="75" t="str">
        <f>HYPERLINK("http://www.ncbi.nlm.nih.gov/sutils/blink.cgi?pid=Aam-178079","1E-106")</f>
        <v>1E-106</v>
      </c>
      <c r="AQ5" s="75" t="str">
        <f>HYPERLINK("http://www.ncbi.nlm.nih.gov/protein/Aam-178079","Aam-178079")</f>
        <v>Aam-178079</v>
      </c>
      <c r="AR5" s="75">
        <v>300</v>
      </c>
      <c r="AS5" s="75">
        <v>193</v>
      </c>
      <c r="AT5" s="75">
        <v>196</v>
      </c>
      <c r="AU5" s="75">
        <v>72</v>
      </c>
      <c r="AV5" s="75">
        <v>83</v>
      </c>
      <c r="AW5" s="75">
        <v>98</v>
      </c>
      <c r="AX5" s="75">
        <v>53</v>
      </c>
      <c r="AY5" s="75">
        <v>0</v>
      </c>
      <c r="AZ5" s="75">
        <v>4</v>
      </c>
      <c r="BA5" s="75">
        <v>41</v>
      </c>
      <c r="BB5" s="75">
        <v>1</v>
      </c>
      <c r="BC5" s="75" t="s">
        <v>2775</v>
      </c>
      <c r="BD5" s="78" t="str">
        <f>HYPERLINK(".\links\CDD\EEC20239.1-CDD.txt","PRX_Typ2cys Peroxiredoxin")</f>
        <v>PRX_Typ2cys Peroxiredoxin</v>
      </c>
      <c r="BE5" s="79">
        <v>4.9999999999999999E-122</v>
      </c>
      <c r="BF5" s="75">
        <v>100</v>
      </c>
      <c r="BG5" s="75" t="s">
        <v>2801</v>
      </c>
      <c r="BH5" s="75" t="s">
        <v>2811</v>
      </c>
      <c r="BI5" s="75" t="str">
        <f>HYPERLINK(".\links\KOG\EEC20239.1-KOG.txt","CDD:223527 COG0450, AhpC, Peroxiredoxin")</f>
        <v>CDD:223527 COG0450, AhpC, Peroxiredoxin</v>
      </c>
      <c r="BJ5" s="79">
        <v>9.9999999999999993E-103</v>
      </c>
      <c r="BK5" s="75">
        <v>96.9</v>
      </c>
      <c r="BL5" s="75" t="s">
        <v>2803</v>
      </c>
      <c r="BM5" s="75" t="s">
        <v>2779</v>
      </c>
      <c r="BN5" s="78" t="str">
        <f>HYPERLINK(".\links\PFAM\EEC20239.1-PFAM.txt","AhpC-TSA AhpC/TSA family")</f>
        <v>AhpC-TSA AhpC/TSA family</v>
      </c>
      <c r="BO5" s="79">
        <v>3E-49</v>
      </c>
      <c r="BP5" s="75">
        <v>105.3</v>
      </c>
      <c r="BQ5" s="75" t="s">
        <v>2804</v>
      </c>
      <c r="BR5" s="75" t="s">
        <v>2772</v>
      </c>
      <c r="BS5" s="78" t="str">
        <f>HYPERLINK(".\links\SMART\EEC20239.1-SMART.txt","CDD:197870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BT5" s="75">
        <v>0.91</v>
      </c>
      <c r="BU5" s="75">
        <v>12.1</v>
      </c>
      <c r="BV5" s="75" t="s">
        <v>2805</v>
      </c>
      <c r="BW5" s="75" t="s">
        <v>2772</v>
      </c>
      <c r="BX5" s="78" t="str">
        <f>HYPERLINK(".\links\TSF\EEC20239.1-TSF.txt","30-126 30-126, Thioredoxin peroxidase||H|E")</f>
        <v>30-126 30-126, Thioredoxin peroxidase||H|E</v>
      </c>
      <c r="BY5" s="79">
        <v>2.9999999999999998E-128</v>
      </c>
      <c r="BZ5" s="75">
        <v>76.400000000000006</v>
      </c>
      <c r="CA5" s="75" t="s">
        <v>2806</v>
      </c>
      <c r="CB5" s="75" t="s">
        <v>2807</v>
      </c>
      <c r="CC5" s="75" t="s">
        <v>2772</v>
      </c>
      <c r="CD5" s="75" t="s">
        <v>2808</v>
      </c>
      <c r="CE5" s="75" t="s">
        <v>2809</v>
      </c>
      <c r="CF5" s="75">
        <f>HYPERLINK(".\links\cluster-b\Ixsc-cement-202225-50SimCLU9.txt", 9)</f>
        <v>9</v>
      </c>
      <c r="CG5" s="75">
        <f>HYPERLINK(".\links\cluster-b\Ixsc-cement-202225-50SimCLTL9.txt", 3)</f>
        <v>3</v>
      </c>
      <c r="CH5" s="75">
        <f>HYPERLINK(".\links\cluster-b\Ixsc-cement-202230-50SimCLU8.txt", 8)</f>
        <v>8</v>
      </c>
      <c r="CI5" s="75">
        <f>HYPERLINK(".\links\cluster-b\Ixsc-cement-202230-50SimCLTL8.txt", 3)</f>
        <v>3</v>
      </c>
      <c r="CJ5" s="75">
        <f>HYPERLINK(".\links\cluster-b\Ixsc-cement-202235-50SimCLU8.txt", 8)</f>
        <v>8</v>
      </c>
      <c r="CK5" s="75">
        <f>HYPERLINK(".\links\cluster-b\Ixsc-cement-202235-50SimCLTL8.txt", 3)</f>
        <v>3</v>
      </c>
      <c r="CL5" s="75">
        <f>HYPERLINK(".\links\cluster-b\Ixsc-cement-202240-50SimCLU9.txt", 9)</f>
        <v>9</v>
      </c>
      <c r="CM5" s="75">
        <f>HYPERLINK(".\links\cluster-b\Ixsc-cement-202240-50SimCLTL9.txt", 3)</f>
        <v>3</v>
      </c>
      <c r="CN5" s="75">
        <f>HYPERLINK(".\links\cluster-b\Ixsc-cement-202245-50SimCLU8.txt", 8)</f>
        <v>8</v>
      </c>
      <c r="CO5" s="75">
        <f>HYPERLINK(".\links\cluster-b\Ixsc-cement-202245-50SimCLTL8.txt", 3)</f>
        <v>3</v>
      </c>
      <c r="CP5" s="75">
        <f>HYPERLINK(".\links\cluster-b\Ixsc-cement-202250-50SimCLU8.txt", 8)</f>
        <v>8</v>
      </c>
      <c r="CQ5" s="75">
        <f>HYPERLINK(".\links\cluster-b\Ixsc-cement-202250-50SimCLTL8.txt", 3)</f>
        <v>3</v>
      </c>
      <c r="CR5" s="75">
        <f>HYPERLINK(".\links\cluster-b\Ixsc-cement-202255-50SimCLU7.txt", 7)</f>
        <v>7</v>
      </c>
      <c r="CS5" s="75">
        <f>HYPERLINK(".\links\cluster-b\Ixsc-cement-202255-50SimCLTL7.txt", 3)</f>
        <v>3</v>
      </c>
      <c r="CT5" s="75">
        <f>HYPERLINK(".\links\cluster-b\Ixsc-cement-202260-50SimCLU7.txt", 7)</f>
        <v>7</v>
      </c>
      <c r="CU5" s="75">
        <f>HYPERLINK(".\links\cluster-b\Ixsc-cement-202260-50SimCLTL7.txt", 3)</f>
        <v>3</v>
      </c>
      <c r="CV5" s="75">
        <f>HYPERLINK(".\links\cluster-b\Ixsc-cement-202265-50SimCLU7.txt", 7)</f>
        <v>7</v>
      </c>
      <c r="CW5" s="75">
        <f>HYPERLINK(".\links\cluster-b\Ixsc-cement-202265-50SimCLTL7.txt", 3)</f>
        <v>3</v>
      </c>
      <c r="CX5" s="75">
        <f>HYPERLINK(".\links\cluster-b\Ixsc-cement-202270-50SimCLU5.txt", 5)</f>
        <v>5</v>
      </c>
      <c r="CY5" s="75">
        <f>HYPERLINK(".\links\cluster-b\Ixsc-cement-202270-50SimCLTL5.txt", 3)</f>
        <v>3</v>
      </c>
      <c r="CZ5" s="75">
        <f>HYPERLINK(".\links\cluster-b\Ixsc-cement-202275-50SimCLU5.txt", 5)</f>
        <v>5</v>
      </c>
      <c r="DA5" s="75">
        <f>HYPERLINK(".\links\cluster-b\Ixsc-cement-202275-50SimCLTL5.txt", 3)</f>
        <v>3</v>
      </c>
      <c r="DB5" s="75">
        <f>HYPERLINK(".\links\cluster-b\Ixsc-cement-202280-50SimCLU4.txt", 4)</f>
        <v>4</v>
      </c>
      <c r="DC5" s="75">
        <f>HYPERLINK(".\links\cluster-b\Ixsc-cement-202280-50SimCLTL4.txt", 3)</f>
        <v>3</v>
      </c>
      <c r="DD5" s="75">
        <f>HYPERLINK(".\links\cluster-b\Ixsc-cement-202285-50SimCLU3.txt", 3)</f>
        <v>3</v>
      </c>
      <c r="DE5" s="75">
        <f>HYPERLINK(".\links\cluster-b\Ixsc-cement-202285-50SimCLTL3.txt", 3)</f>
        <v>3</v>
      </c>
      <c r="DF5" s="75">
        <f>HYPERLINK(".\links\cluster-b\Ixsc-cement-202290-50SimCLU2.txt", 2)</f>
        <v>2</v>
      </c>
      <c r="DG5" s="75">
        <f>HYPERLINK(".\links\cluster-b\Ixsc-cement-202290-50SimCLTL2.txt", 3)</f>
        <v>3</v>
      </c>
      <c r="DH5" s="75">
        <f>HYPERLINK(".\links\cluster-b\Ixsc-cement-202295-50SimCLU2.txt", 2)</f>
        <v>2</v>
      </c>
      <c r="DI5" s="75">
        <f>HYPERLINK(".\links\cluster-b\Ixsc-cement-202295-50SimCLTL2.txt", 3)</f>
        <v>3</v>
      </c>
      <c r="DJ5" s="75" t="s">
        <v>187</v>
      </c>
      <c r="DK5" s="75" t="str">
        <f>HYPERLINK(".\links\AAM-CEMENT-2018\EEC20239.1-AAM-CEMENT-2018.txt","Extracted CDS")</f>
        <v>Extracted CDS</v>
      </c>
      <c r="DL5" s="75" t="str">
        <f>HYPERLINK("http://www.ncbi.nlm.nih.gov/sutils/blink.cgi?pid=Aam-178079","1E-106")</f>
        <v>1E-106</v>
      </c>
      <c r="DM5" s="75" t="str">
        <f>HYPERLINK("http://www.ncbi.nlm.nih.gov/protein/Aam-178079","Aam-178079")</f>
        <v>Aam-178079</v>
      </c>
      <c r="DN5" s="75">
        <v>300</v>
      </c>
      <c r="DO5" s="75">
        <v>193</v>
      </c>
      <c r="DP5" s="75">
        <v>196</v>
      </c>
      <c r="DQ5" s="75">
        <v>72</v>
      </c>
      <c r="DR5" s="75">
        <v>83</v>
      </c>
      <c r="DS5" s="75">
        <v>98</v>
      </c>
      <c r="DT5" s="75">
        <v>53</v>
      </c>
      <c r="DU5" s="75">
        <v>0</v>
      </c>
      <c r="DV5" s="75">
        <v>4</v>
      </c>
      <c r="DW5" s="75">
        <v>41</v>
      </c>
      <c r="DX5" s="75">
        <v>1</v>
      </c>
      <c r="DY5" s="75" t="s">
        <v>2775</v>
      </c>
      <c r="DZ5" s="75" t="str">
        <f>HYPERLINK(".\links\CDD\EEC20239.1-CDD.txt","PRX_Typ2cys Peroxiredoxin")</f>
        <v>PRX_Typ2cys Peroxiredoxin</v>
      </c>
      <c r="EA5" s="79">
        <v>4.9999999999999999E-122</v>
      </c>
      <c r="EB5" s="75">
        <v>100</v>
      </c>
      <c r="EC5" s="75" t="s">
        <v>2801</v>
      </c>
      <c r="ED5" s="75" t="s">
        <v>2811</v>
      </c>
      <c r="EE5" s="75" t="str">
        <f>HYPERLINK(".\links\KOG\EEC20239.1-KOG.txt","CDD:223527 COG0450, AhpC, Peroxiredoxin")</f>
        <v>CDD:223527 COG0450, AhpC, Peroxiredoxin</v>
      </c>
      <c r="EF5" s="79">
        <v>9.9999999999999993E-103</v>
      </c>
      <c r="EG5" s="75">
        <v>96.9</v>
      </c>
      <c r="EH5" s="75" t="s">
        <v>2803</v>
      </c>
      <c r="EI5" s="75" t="s">
        <v>2779</v>
      </c>
      <c r="EJ5" s="75" t="str">
        <f>HYPERLINK(".\links\PFAM\EEC20239.1-PFAM.txt","AhpC-TSA AhpC/TSA family")</f>
        <v>AhpC-TSA AhpC/TSA family</v>
      </c>
      <c r="EK5" s="79">
        <v>3E-49</v>
      </c>
      <c r="EL5" s="75">
        <v>105.3</v>
      </c>
      <c r="EM5" s="75" t="s">
        <v>2804</v>
      </c>
      <c r="EN5" s="75" t="s">
        <v>2772</v>
      </c>
      <c r="EO5" s="75" t="str">
        <f>HYPERLINK(".\links\SMART\EEC20239.1-SMART.txt","CDD:197870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EP5" s="75">
        <v>0.91</v>
      </c>
      <c r="EQ5" s="75">
        <v>12.1</v>
      </c>
      <c r="ER5" s="75" t="s">
        <v>2805</v>
      </c>
      <c r="ES5" s="75" t="s">
        <v>2772</v>
      </c>
      <c r="ET5" s="75" t="str">
        <f>HYPERLINK(".\links\TSF\EEC20239.1-TSF.txt","30-126 30-126, Thioredoxin peroxidase||H|E")</f>
        <v>30-126 30-126, Thioredoxin peroxidase||H|E</v>
      </c>
      <c r="EU5" s="79">
        <v>2.9999999999999998E-128</v>
      </c>
      <c r="EV5" s="75">
        <v>76.400000000000006</v>
      </c>
      <c r="EW5" s="75" t="s">
        <v>2806</v>
      </c>
      <c r="EX5" s="75" t="s">
        <v>2807</v>
      </c>
      <c r="EY5" s="75" t="s">
        <v>2772</v>
      </c>
      <c r="EZ5" s="75" t="s">
        <v>2808</v>
      </c>
      <c r="FA5" s="75" t="s">
        <v>2809</v>
      </c>
    </row>
    <row r="6" spans="1:157" x14ac:dyDescent="0.2">
      <c r="A6" s="75" t="str">
        <f>HYPERLINK(".\links\PEP\AAY66786.1-PEP.txt","AAY66786.1")</f>
        <v>AAY66786.1</v>
      </c>
      <c r="B6" s="75" t="s">
        <v>2768</v>
      </c>
      <c r="C6" s="75">
        <v>233</v>
      </c>
      <c r="D6" s="75" t="s">
        <v>2812</v>
      </c>
      <c r="E6" s="76" t="s">
        <v>2770</v>
      </c>
      <c r="F6" s="75" t="s">
        <v>2771</v>
      </c>
      <c r="G6" s="75" t="str">
        <f>HYPERLINK(".\links\Sigp\AAY66786.1-SigP.txt","SIG")</f>
        <v>SIG</v>
      </c>
      <c r="H6" s="75" t="s">
        <v>2813</v>
      </c>
      <c r="I6" s="75">
        <v>25.762</v>
      </c>
      <c r="J6" s="75">
        <v>8.91</v>
      </c>
      <c r="K6" s="75">
        <v>23.928999999999998</v>
      </c>
      <c r="L6" s="75">
        <v>8.48</v>
      </c>
      <c r="M6" s="75" t="str">
        <f>HYPERLINK(".\links\netoglyc\AAY66786.1-netoglyc.txt","2")</f>
        <v>2</v>
      </c>
      <c r="N6" s="75" t="s">
        <v>2814</v>
      </c>
      <c r="O6" s="75">
        <v>233</v>
      </c>
      <c r="P6" s="75">
        <v>0</v>
      </c>
      <c r="Q6" s="75" t="s">
        <v>2772</v>
      </c>
      <c r="R6" s="75" t="s">
        <v>2772</v>
      </c>
      <c r="S6" s="75" t="s">
        <v>2772</v>
      </c>
      <c r="T6" s="75" t="s">
        <v>2772</v>
      </c>
      <c r="U6" s="75" t="s">
        <v>2772</v>
      </c>
      <c r="V6" s="75" t="s">
        <v>2772</v>
      </c>
      <c r="W6" s="75">
        <v>8.8000000000000007</v>
      </c>
      <c r="X6" s="75">
        <v>6.7</v>
      </c>
      <c r="Y6" s="75">
        <v>7.6</v>
      </c>
      <c r="Z6" s="75" t="s">
        <v>2774</v>
      </c>
      <c r="AA6" s="77">
        <v>14.5922746781116</v>
      </c>
      <c r="AB6" s="75">
        <v>0.23</v>
      </c>
      <c r="AD6" s="75">
        <v>3</v>
      </c>
      <c r="AE6" s="75" t="s">
        <v>2772</v>
      </c>
      <c r="AF6" s="75" t="s">
        <v>2772</v>
      </c>
      <c r="AG6" s="75" t="s">
        <v>2772</v>
      </c>
      <c r="AH6" s="75" t="s">
        <v>2772</v>
      </c>
      <c r="AI6" s="75">
        <v>3</v>
      </c>
      <c r="AJ6" s="75">
        <v>3</v>
      </c>
      <c r="AK6" s="75" t="s">
        <v>2772</v>
      </c>
      <c r="AL6" s="75" t="s">
        <v>2772</v>
      </c>
      <c r="AM6" s="75" t="s">
        <v>2772</v>
      </c>
      <c r="AN6" s="75" t="s">
        <v>2772</v>
      </c>
      <c r="AO6" s="78" t="str">
        <f>HYPERLINK(".\links\AAM-CEMENT-2018\AAY66786.1-AAM-CEMENT-2018.txt","Extracted CDS")</f>
        <v>Extracted CDS</v>
      </c>
      <c r="AP6" s="75" t="str">
        <f>HYPERLINK("http://www.ncbi.nlm.nih.gov/sutils/blink.cgi?pid=Aam-178079","1E-104")</f>
        <v>1E-104</v>
      </c>
      <c r="AQ6" s="75" t="str">
        <f>HYPERLINK("http://www.ncbi.nlm.nih.gov/protein/Aam-178079","Aam-178079")</f>
        <v>Aam-178079</v>
      </c>
      <c r="AR6" s="75">
        <v>293</v>
      </c>
      <c r="AS6" s="75">
        <v>193</v>
      </c>
      <c r="AT6" s="75">
        <v>196</v>
      </c>
      <c r="AU6" s="75">
        <v>70</v>
      </c>
      <c r="AV6" s="75">
        <v>82</v>
      </c>
      <c r="AW6" s="75">
        <v>98</v>
      </c>
      <c r="AX6" s="75">
        <v>56</v>
      </c>
      <c r="AY6" s="75">
        <v>0</v>
      </c>
      <c r="AZ6" s="75">
        <v>4</v>
      </c>
      <c r="BA6" s="75">
        <v>41</v>
      </c>
      <c r="BB6" s="75">
        <v>1</v>
      </c>
      <c r="BC6" s="75" t="s">
        <v>2775</v>
      </c>
      <c r="BD6" s="78" t="str">
        <f>HYPERLINK(".\links\CDD\AAY66786.1-CDD.txt","PRX_Typ2cys Peroxiredoxin")</f>
        <v>PRX_Typ2cys Peroxiredoxin</v>
      </c>
      <c r="BE6" s="79">
        <v>4.0000000000000001E-119</v>
      </c>
      <c r="BF6" s="75">
        <v>100</v>
      </c>
      <c r="BG6" s="75" t="s">
        <v>2801</v>
      </c>
      <c r="BH6" s="75" t="s">
        <v>2815</v>
      </c>
      <c r="BI6" s="75" t="str">
        <f>HYPERLINK(".\links\KOG\AAY66786.1-KOG.txt","CDD:223527 COG0450, AhpC, Peroxiredoxin")</f>
        <v>CDD:223527 COG0450, AhpC, Peroxiredoxin</v>
      </c>
      <c r="BJ6" s="79">
        <v>6.9999999999999999E-101</v>
      </c>
      <c r="BK6" s="75">
        <v>96.9</v>
      </c>
      <c r="BL6" s="75" t="s">
        <v>2803</v>
      </c>
      <c r="BM6" s="75" t="s">
        <v>2779</v>
      </c>
      <c r="BN6" s="78" t="str">
        <f>HYPERLINK(".\links\PFAM\AAY66786.1-PFAM.txt","AhpC-TSA AhpC/TSA family")</f>
        <v>AhpC-TSA AhpC/TSA family</v>
      </c>
      <c r="BO6" s="79">
        <v>9.9999999999999997E-48</v>
      </c>
      <c r="BP6" s="75">
        <v>105.3</v>
      </c>
      <c r="BQ6" s="75" t="s">
        <v>2804</v>
      </c>
      <c r="BR6" s="75" t="s">
        <v>2772</v>
      </c>
      <c r="BS6" s="78" t="str">
        <f>HYPERLINK(".\links\SMART\AAY66786.1-SMART.txt","CDD:197870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BT6" s="75">
        <v>0.86</v>
      </c>
      <c r="BU6" s="75">
        <v>12.1</v>
      </c>
      <c r="BV6" s="75" t="s">
        <v>2805</v>
      </c>
      <c r="BW6" s="75" t="s">
        <v>2772</v>
      </c>
      <c r="BX6" s="78" t="str">
        <f>HYPERLINK(".\links\TSF\AAY66786.1-TSF.txt","30-126 30-126, Thioredoxin peroxidase||H|E")</f>
        <v>30-126 30-126, Thioredoxin peroxidase||H|E</v>
      </c>
      <c r="BY6" s="79">
        <v>2E-125</v>
      </c>
      <c r="BZ6" s="75">
        <v>76.400000000000006</v>
      </c>
      <c r="CA6" s="75" t="s">
        <v>2806</v>
      </c>
      <c r="CB6" s="75" t="s">
        <v>2807</v>
      </c>
      <c r="CC6" s="75" t="s">
        <v>2772</v>
      </c>
      <c r="CD6" s="75" t="s">
        <v>2808</v>
      </c>
      <c r="CE6" s="75" t="s">
        <v>2809</v>
      </c>
      <c r="CF6" s="75">
        <f>HYPERLINK(".\links\cluster-b\Ixsc-cement-202225-50SimCLU9.txt", 9)</f>
        <v>9</v>
      </c>
      <c r="CG6" s="75">
        <f>HYPERLINK(".\links\cluster-b\Ixsc-cement-202225-50SimCLTL9.txt", 3)</f>
        <v>3</v>
      </c>
      <c r="CH6" s="75">
        <f>HYPERLINK(".\links\cluster-b\Ixsc-cement-202230-50SimCLU8.txt", 8)</f>
        <v>8</v>
      </c>
      <c r="CI6" s="75">
        <f>HYPERLINK(".\links\cluster-b\Ixsc-cement-202230-50SimCLTL8.txt", 3)</f>
        <v>3</v>
      </c>
      <c r="CJ6" s="75">
        <f>HYPERLINK(".\links\cluster-b\Ixsc-cement-202235-50SimCLU8.txt", 8)</f>
        <v>8</v>
      </c>
      <c r="CK6" s="75">
        <f>HYPERLINK(".\links\cluster-b\Ixsc-cement-202235-50SimCLTL8.txt", 3)</f>
        <v>3</v>
      </c>
      <c r="CL6" s="75">
        <f>HYPERLINK(".\links\cluster-b\Ixsc-cement-202240-50SimCLU9.txt", 9)</f>
        <v>9</v>
      </c>
      <c r="CM6" s="75">
        <f>HYPERLINK(".\links\cluster-b\Ixsc-cement-202240-50SimCLTL9.txt", 3)</f>
        <v>3</v>
      </c>
      <c r="CN6" s="75">
        <f>HYPERLINK(".\links\cluster-b\Ixsc-cement-202245-50SimCLU8.txt", 8)</f>
        <v>8</v>
      </c>
      <c r="CO6" s="75">
        <f>HYPERLINK(".\links\cluster-b\Ixsc-cement-202245-50SimCLTL8.txt", 3)</f>
        <v>3</v>
      </c>
      <c r="CP6" s="75">
        <f>HYPERLINK(".\links\cluster-b\Ixsc-cement-202250-50SimCLU8.txt", 8)</f>
        <v>8</v>
      </c>
      <c r="CQ6" s="75">
        <f>HYPERLINK(".\links\cluster-b\Ixsc-cement-202250-50SimCLTL8.txt", 3)</f>
        <v>3</v>
      </c>
      <c r="CR6" s="75">
        <f>HYPERLINK(".\links\cluster-b\Ixsc-cement-202255-50SimCLU7.txt", 7)</f>
        <v>7</v>
      </c>
      <c r="CS6" s="75">
        <f>HYPERLINK(".\links\cluster-b\Ixsc-cement-202255-50SimCLTL7.txt", 3)</f>
        <v>3</v>
      </c>
      <c r="CT6" s="75">
        <f>HYPERLINK(".\links\cluster-b\Ixsc-cement-202260-50SimCLU7.txt", 7)</f>
        <v>7</v>
      </c>
      <c r="CU6" s="75">
        <f>HYPERLINK(".\links\cluster-b\Ixsc-cement-202260-50SimCLTL7.txt", 3)</f>
        <v>3</v>
      </c>
      <c r="CV6" s="75">
        <f>HYPERLINK(".\links\cluster-b\Ixsc-cement-202265-50SimCLU7.txt", 7)</f>
        <v>7</v>
      </c>
      <c r="CW6" s="75">
        <f>HYPERLINK(".\links\cluster-b\Ixsc-cement-202265-50SimCLTL7.txt", 3)</f>
        <v>3</v>
      </c>
      <c r="CX6" s="75">
        <f>HYPERLINK(".\links\cluster-b\Ixsc-cement-202270-50SimCLU5.txt", 5)</f>
        <v>5</v>
      </c>
      <c r="CY6" s="75">
        <f>HYPERLINK(".\links\cluster-b\Ixsc-cement-202270-50SimCLTL5.txt", 3)</f>
        <v>3</v>
      </c>
      <c r="CZ6" s="75">
        <f>HYPERLINK(".\links\cluster-b\Ixsc-cement-202275-50SimCLU5.txt", 5)</f>
        <v>5</v>
      </c>
      <c r="DA6" s="75">
        <f>HYPERLINK(".\links\cluster-b\Ixsc-cement-202275-50SimCLTL5.txt", 3)</f>
        <v>3</v>
      </c>
      <c r="DB6" s="75">
        <f>HYPERLINK(".\links\cluster-b\Ixsc-cement-202280-50SimCLU4.txt", 4)</f>
        <v>4</v>
      </c>
      <c r="DC6" s="75">
        <f>HYPERLINK(".\links\cluster-b\Ixsc-cement-202280-50SimCLTL4.txt", 3)</f>
        <v>3</v>
      </c>
      <c r="DD6" s="75">
        <f>HYPERLINK(".\links\cluster-b\Ixsc-cement-202285-50SimCLU3.txt", 3)</f>
        <v>3</v>
      </c>
      <c r="DE6" s="75">
        <f>HYPERLINK(".\links\cluster-b\Ixsc-cement-202285-50SimCLTL3.txt", 3)</f>
        <v>3</v>
      </c>
      <c r="DF6" s="75">
        <f>HYPERLINK(".\links\cluster-b\Ixsc-cement-202290-50SimCLU2.txt", 2)</f>
        <v>2</v>
      </c>
      <c r="DG6" s="75">
        <f>HYPERLINK(".\links\cluster-b\Ixsc-cement-202290-50SimCLTL2.txt", 3)</f>
        <v>3</v>
      </c>
      <c r="DH6" s="75">
        <f>HYPERLINK(".\links\cluster-b\Ixsc-cement-202295-50SimCLU2.txt", 2)</f>
        <v>2</v>
      </c>
      <c r="DI6" s="75">
        <f>HYPERLINK(".\links\cluster-b\Ixsc-cement-202295-50SimCLTL2.txt", 3)</f>
        <v>3</v>
      </c>
      <c r="DJ6" s="75" t="s">
        <v>185</v>
      </c>
      <c r="DK6" s="75" t="str">
        <f>HYPERLINK(".\links\AAM-CEMENT-2018\AAY66786.1-AAM-CEMENT-2018.txt","Extracted CDS")</f>
        <v>Extracted CDS</v>
      </c>
      <c r="DL6" s="75" t="str">
        <f>HYPERLINK("http://www.ncbi.nlm.nih.gov/sutils/blink.cgi?pid=Aam-178079","1E-104")</f>
        <v>1E-104</v>
      </c>
      <c r="DM6" s="75" t="str">
        <f>HYPERLINK("http://www.ncbi.nlm.nih.gov/protein/Aam-178079","Aam-178079")</f>
        <v>Aam-178079</v>
      </c>
      <c r="DN6" s="75">
        <v>293</v>
      </c>
      <c r="DO6" s="75">
        <v>193</v>
      </c>
      <c r="DP6" s="75">
        <v>196</v>
      </c>
      <c r="DQ6" s="75">
        <v>70</v>
      </c>
      <c r="DR6" s="75">
        <v>82</v>
      </c>
      <c r="DS6" s="75">
        <v>98</v>
      </c>
      <c r="DT6" s="75">
        <v>56</v>
      </c>
      <c r="DU6" s="75">
        <v>0</v>
      </c>
      <c r="DV6" s="75">
        <v>4</v>
      </c>
      <c r="DW6" s="75">
        <v>41</v>
      </c>
      <c r="DX6" s="75">
        <v>1</v>
      </c>
      <c r="DY6" s="75" t="s">
        <v>2775</v>
      </c>
      <c r="DZ6" s="75" t="str">
        <f>HYPERLINK(".\links\CDD\AAY66786.1-CDD.txt","PRX_Typ2cys Peroxiredoxin")</f>
        <v>PRX_Typ2cys Peroxiredoxin</v>
      </c>
      <c r="EA6" s="79">
        <v>4.0000000000000001E-119</v>
      </c>
      <c r="EB6" s="75">
        <v>100</v>
      </c>
      <c r="EC6" s="75" t="s">
        <v>2801</v>
      </c>
      <c r="ED6" s="75" t="s">
        <v>2815</v>
      </c>
      <c r="EE6" s="75" t="str">
        <f>HYPERLINK(".\links\KOG\AAY66786.1-KOG.txt","CDD:223527 COG0450, AhpC, Peroxiredoxin")</f>
        <v>CDD:223527 COG0450, AhpC, Peroxiredoxin</v>
      </c>
      <c r="EF6" s="79">
        <v>6.9999999999999999E-101</v>
      </c>
      <c r="EG6" s="75">
        <v>96.9</v>
      </c>
      <c r="EH6" s="75" t="s">
        <v>2803</v>
      </c>
      <c r="EI6" s="75" t="s">
        <v>2779</v>
      </c>
      <c r="EJ6" s="75" t="str">
        <f>HYPERLINK(".\links\PFAM\AAY66786.1-PFAM.txt","AhpC-TSA AhpC/TSA family")</f>
        <v>AhpC-TSA AhpC/TSA family</v>
      </c>
      <c r="EK6" s="79">
        <v>9.9999999999999997E-48</v>
      </c>
      <c r="EL6" s="75">
        <v>105.3</v>
      </c>
      <c r="EM6" s="75" t="s">
        <v>2804</v>
      </c>
      <c r="EN6" s="75" t="s">
        <v>2772</v>
      </c>
      <c r="EO6" s="75" t="str">
        <f>HYPERLINK(".\links\SMART\AAY66786.1-SMART.txt","CDD:197870 smart00775, LNS2, This domain is found in Saccharomyces cerevisiae protein SMP2, proteins with an N-terminal lipin domain and phosphatidylinositol transfer proteins")</f>
        <v>CDD:197870 smart00775, LNS2, This domain is found in Saccharomyces cerevisiae protein SMP2, proteins with an N-terminal lipin domain and phosphatidylinositol transfer proteins</v>
      </c>
      <c r="EP6" s="75">
        <v>0.86</v>
      </c>
      <c r="EQ6" s="75">
        <v>12.1</v>
      </c>
      <c r="ER6" s="75" t="s">
        <v>2805</v>
      </c>
      <c r="ES6" s="75" t="s">
        <v>2772</v>
      </c>
      <c r="ET6" s="75" t="str">
        <f>HYPERLINK(".\links\TSF\AAY66786.1-TSF.txt","30-126 30-126, Thioredoxin peroxidase||H|E")</f>
        <v>30-126 30-126, Thioredoxin peroxidase||H|E</v>
      </c>
      <c r="EU6" s="79">
        <v>2E-125</v>
      </c>
      <c r="EV6" s="75">
        <v>76.400000000000006</v>
      </c>
      <c r="EW6" s="75" t="s">
        <v>2806</v>
      </c>
      <c r="EX6" s="75" t="s">
        <v>2807</v>
      </c>
      <c r="EY6" s="75" t="s">
        <v>2772</v>
      </c>
      <c r="EZ6" s="75" t="s">
        <v>2808</v>
      </c>
      <c r="FA6" s="75" t="s">
        <v>2809</v>
      </c>
    </row>
    <row r="7" spans="1:157" x14ac:dyDescent="0.2">
      <c r="A7" s="75" t="str">
        <f>HYPERLINK(".\links\PEP\EEC00744.1-PEP.txt","EEC00744.1")</f>
        <v>EEC00744.1</v>
      </c>
      <c r="B7" s="75" t="s">
        <v>2768</v>
      </c>
      <c r="C7" s="75">
        <v>65</v>
      </c>
      <c r="D7" s="75" t="s">
        <v>2816</v>
      </c>
      <c r="E7" s="76" t="s">
        <v>2770</v>
      </c>
      <c r="F7" s="75" t="s">
        <v>2771</v>
      </c>
      <c r="G7" s="75" t="str">
        <f>HYPERLINK(".\links\Sigp\EEC00744.1-SigP.txt","CYT")</f>
        <v>CYT</v>
      </c>
      <c r="H7" s="75" t="s">
        <v>2772</v>
      </c>
      <c r="I7" s="75">
        <v>7.4359999999999999</v>
      </c>
      <c r="J7" s="75">
        <v>9.57</v>
      </c>
      <c r="K7" s="75" t="s">
        <v>2772</v>
      </c>
      <c r="L7" s="75" t="s">
        <v>2772</v>
      </c>
      <c r="M7" s="75" t="str">
        <f>HYPERLINK(".\links\netoglyc\EEC00744.1-netoglyc.txt","2")</f>
        <v>2</v>
      </c>
      <c r="N7" s="75" t="s">
        <v>2817</v>
      </c>
      <c r="O7" s="75">
        <v>65</v>
      </c>
      <c r="P7" s="75">
        <v>0</v>
      </c>
      <c r="Q7" s="75" t="s">
        <v>2772</v>
      </c>
      <c r="R7" s="75" t="s">
        <v>2772</v>
      </c>
      <c r="S7" s="75" t="s">
        <v>2772</v>
      </c>
      <c r="T7" s="75" t="s">
        <v>2772</v>
      </c>
      <c r="U7" s="75" t="s">
        <v>2772</v>
      </c>
      <c r="V7" s="75" t="s">
        <v>2772</v>
      </c>
      <c r="W7" s="75">
        <v>11.9</v>
      </c>
      <c r="X7" s="75">
        <v>10.4</v>
      </c>
      <c r="Y7" s="75">
        <v>9</v>
      </c>
      <c r="Z7" s="75" t="s">
        <v>2774</v>
      </c>
      <c r="AA7" s="77">
        <v>20</v>
      </c>
      <c r="AB7" s="75">
        <v>0.49</v>
      </c>
      <c r="AD7" s="75">
        <v>3</v>
      </c>
      <c r="AE7" s="75" t="s">
        <v>2772</v>
      </c>
      <c r="AF7" s="75" t="s">
        <v>2772</v>
      </c>
      <c r="AG7" s="75" t="s">
        <v>2772</v>
      </c>
      <c r="AH7" s="75" t="s">
        <v>2772</v>
      </c>
      <c r="AI7" s="75" t="s">
        <v>2772</v>
      </c>
      <c r="AJ7" s="75">
        <v>3</v>
      </c>
      <c r="AK7" s="75" t="s">
        <v>2772</v>
      </c>
      <c r="AL7" s="75" t="s">
        <v>2772</v>
      </c>
      <c r="AM7" s="75" t="s">
        <v>2772</v>
      </c>
      <c r="AN7" s="75" t="s">
        <v>2772</v>
      </c>
      <c r="AO7" s="78" t="str">
        <f>HYPERLINK(".\links\AAM-CEMENT-2018\EEC00744.1-AAM-CEMENT-2018.txt","Extracted CDS")</f>
        <v>Extracted CDS</v>
      </c>
      <c r="AP7" s="75" t="str">
        <f>HYPERLINK("http://www.ncbi.nlm.nih.gov/sutils/blink.cgi?pid=Aam-10823","0.50")</f>
        <v>0.50</v>
      </c>
      <c r="AQ7" s="75" t="str">
        <f>HYPERLINK("http://www.ncbi.nlm.nih.gov/protein/Aam-10823","Aam-10823")</f>
        <v>Aam-10823</v>
      </c>
      <c r="AR7" s="75">
        <v>21.2</v>
      </c>
      <c r="AS7" s="75">
        <v>16</v>
      </c>
      <c r="AT7" s="75">
        <v>559</v>
      </c>
      <c r="AU7" s="75">
        <v>43</v>
      </c>
      <c r="AV7" s="75">
        <v>56</v>
      </c>
      <c r="AW7" s="75">
        <v>3</v>
      </c>
      <c r="AX7" s="75">
        <v>9</v>
      </c>
      <c r="AY7" s="75">
        <v>0</v>
      </c>
      <c r="AZ7" s="75">
        <v>394</v>
      </c>
      <c r="BA7" s="75">
        <v>45</v>
      </c>
      <c r="BB7" s="75">
        <v>1</v>
      </c>
      <c r="BC7" s="75" t="s">
        <v>2775</v>
      </c>
      <c r="BD7" s="78" t="str">
        <f>HYPERLINK(".\links\CDD\EEC00744.1-CDD.txt","GSHPx Glutathione peroxidase")</f>
        <v>GSHPx Glutathione peroxidase</v>
      </c>
      <c r="BE7" s="79">
        <v>5.9999999999999999E-16</v>
      </c>
      <c r="BF7" s="75">
        <v>45.4</v>
      </c>
      <c r="BG7" s="75" t="s">
        <v>2818</v>
      </c>
      <c r="BH7" s="75" t="s">
        <v>2819</v>
      </c>
      <c r="BI7" s="75" t="str">
        <f>HYPERLINK(".\links\KOG\EEC00744.1-KOG.txt","CDD:223463 COG0386, BtuE, Glutathione peroxidase")</f>
        <v>CDD:223463 COG0386, BtuE, Glutathione peroxidase</v>
      </c>
      <c r="BJ7" s="79">
        <v>4.9999999999999997E-12</v>
      </c>
      <c r="BK7" s="75">
        <v>30.2</v>
      </c>
      <c r="BL7" s="75" t="s">
        <v>2820</v>
      </c>
      <c r="BM7" s="75" t="s">
        <v>2779</v>
      </c>
      <c r="BN7" s="78" t="str">
        <f>HYPERLINK(".\links\PFAM\EEC00744.1-PFAM.txt","GSHPx Glutathione peroxidase")</f>
        <v>GSHPx Glutathione peroxidase</v>
      </c>
      <c r="BO7" s="79">
        <v>9.9999999999999998E-17</v>
      </c>
      <c r="BP7" s="75">
        <v>45.4</v>
      </c>
      <c r="BQ7" s="75" t="s">
        <v>2818</v>
      </c>
      <c r="BR7" s="75" t="s">
        <v>2772</v>
      </c>
      <c r="BS7" s="78" t="str">
        <f>HYPERLINK(".\links\SMART\EEC00744.1-SMART.txt","CDD:197779 smart00536, AXH, domain in Ataxins and HMG containing proteins")</f>
        <v>CDD:197779 smart00536, AXH, domain in Ataxins and HMG containing proteins</v>
      </c>
      <c r="BT7" s="75">
        <v>0.28999999999999998</v>
      </c>
      <c r="BU7" s="75">
        <v>21.6</v>
      </c>
      <c r="BV7" s="75" t="s">
        <v>2821</v>
      </c>
      <c r="BW7" s="75" t="s">
        <v>2772</v>
      </c>
      <c r="BX7" s="78" t="str">
        <f>HYPERLINK(".\links\TSF\EEC00744.1-TSF.txt","25-185 25-185, Selenium dependent glutathione peroxidase||S|E")</f>
        <v>25-185 25-185, Selenium dependent glutathione peroxidase||S|E</v>
      </c>
      <c r="BY7" s="79">
        <v>1.0000000000000001E-17</v>
      </c>
      <c r="BZ7" s="75">
        <v>25.5</v>
      </c>
      <c r="CA7" s="75" t="s">
        <v>2822</v>
      </c>
      <c r="CB7" s="75" t="s">
        <v>2823</v>
      </c>
      <c r="CC7" s="75" t="s">
        <v>2772</v>
      </c>
      <c r="CD7" s="75" t="s">
        <v>2785</v>
      </c>
      <c r="CE7" s="75" t="s">
        <v>2824</v>
      </c>
      <c r="CF7" s="75">
        <v>22</v>
      </c>
      <c r="CG7" s="75">
        <v>1</v>
      </c>
      <c r="CH7" s="75">
        <v>25</v>
      </c>
      <c r="CI7" s="75">
        <v>1</v>
      </c>
      <c r="CJ7" s="75">
        <v>24</v>
      </c>
      <c r="CK7" s="75">
        <v>1</v>
      </c>
      <c r="CL7" s="75">
        <v>26</v>
      </c>
      <c r="CM7" s="75">
        <v>1</v>
      </c>
      <c r="CN7" s="75">
        <v>24</v>
      </c>
      <c r="CO7" s="75">
        <v>1</v>
      </c>
      <c r="CP7" s="75">
        <v>24</v>
      </c>
      <c r="CQ7" s="75">
        <v>1</v>
      </c>
      <c r="CR7" s="75">
        <v>25</v>
      </c>
      <c r="CS7" s="75">
        <v>1</v>
      </c>
      <c r="CT7" s="75">
        <v>27</v>
      </c>
      <c r="CU7" s="75">
        <v>1</v>
      </c>
      <c r="CV7" s="75">
        <v>27</v>
      </c>
      <c r="CW7" s="75">
        <v>1</v>
      </c>
      <c r="CX7" s="75">
        <v>27</v>
      </c>
      <c r="CY7" s="75">
        <v>1</v>
      </c>
      <c r="CZ7" s="75">
        <v>27</v>
      </c>
      <c r="DA7" s="75">
        <v>1</v>
      </c>
      <c r="DB7" s="75">
        <v>26</v>
      </c>
      <c r="DC7" s="75">
        <v>1</v>
      </c>
      <c r="DD7" s="75">
        <v>24</v>
      </c>
      <c r="DE7" s="75">
        <v>1</v>
      </c>
      <c r="DF7" s="75">
        <v>23</v>
      </c>
      <c r="DG7" s="75">
        <v>1</v>
      </c>
      <c r="DH7" s="75">
        <v>23</v>
      </c>
      <c r="DI7" s="75">
        <v>1</v>
      </c>
      <c r="DJ7" s="75" t="s">
        <v>100</v>
      </c>
      <c r="DK7" s="75" t="str">
        <f>HYPERLINK(".\links\AAM-CEMENT-2018\EEC00744.1-AAM-CEMENT-2018.txt","Extracted CDS")</f>
        <v>Extracted CDS</v>
      </c>
      <c r="DL7" s="75" t="str">
        <f>HYPERLINK("http://www.ncbi.nlm.nih.gov/sutils/blink.cgi?pid=Aam-10823","0.50")</f>
        <v>0.50</v>
      </c>
      <c r="DM7" s="75" t="str">
        <f>HYPERLINK("http://www.ncbi.nlm.nih.gov/protein/Aam-10823","Aam-10823")</f>
        <v>Aam-10823</v>
      </c>
      <c r="DN7" s="75">
        <v>21.2</v>
      </c>
      <c r="DO7" s="75">
        <v>16</v>
      </c>
      <c r="DP7" s="75">
        <v>559</v>
      </c>
      <c r="DQ7" s="75">
        <v>43</v>
      </c>
      <c r="DR7" s="75">
        <v>56</v>
      </c>
      <c r="DS7" s="75">
        <v>3</v>
      </c>
      <c r="DT7" s="75">
        <v>9</v>
      </c>
      <c r="DU7" s="75">
        <v>0</v>
      </c>
      <c r="DV7" s="75">
        <v>394</v>
      </c>
      <c r="DW7" s="75">
        <v>45</v>
      </c>
      <c r="DX7" s="75">
        <v>1</v>
      </c>
      <c r="DY7" s="75" t="s">
        <v>2775</v>
      </c>
      <c r="DZ7" s="75" t="str">
        <f>HYPERLINK(".\links\CDD\EEC00744.1-CDD.txt","GSHPx Glutathione peroxidase")</f>
        <v>GSHPx Glutathione peroxidase</v>
      </c>
      <c r="EA7" s="79">
        <v>5.9999999999999999E-16</v>
      </c>
      <c r="EB7" s="75">
        <v>45.4</v>
      </c>
      <c r="EC7" s="75" t="s">
        <v>2818</v>
      </c>
      <c r="ED7" s="75" t="s">
        <v>2819</v>
      </c>
      <c r="EE7" s="75" t="str">
        <f>HYPERLINK(".\links\KOG\EEC00744.1-KOG.txt","CDD:223463 COG0386, BtuE, Glutathione peroxidase")</f>
        <v>CDD:223463 COG0386, BtuE, Glutathione peroxidase</v>
      </c>
      <c r="EF7" s="79">
        <v>4.9999999999999997E-12</v>
      </c>
      <c r="EG7" s="75">
        <v>30.2</v>
      </c>
      <c r="EH7" s="75" t="s">
        <v>2820</v>
      </c>
      <c r="EI7" s="75" t="s">
        <v>2779</v>
      </c>
      <c r="EJ7" s="75" t="str">
        <f>HYPERLINK(".\links\PFAM\EEC00744.1-PFAM.txt","GSHPx Glutathione peroxidase")</f>
        <v>GSHPx Glutathione peroxidase</v>
      </c>
      <c r="EK7" s="79">
        <v>9.9999999999999998E-17</v>
      </c>
      <c r="EL7" s="75">
        <v>45.4</v>
      </c>
      <c r="EM7" s="75" t="s">
        <v>2818</v>
      </c>
      <c r="EN7" s="75" t="s">
        <v>2772</v>
      </c>
      <c r="EO7" s="75" t="str">
        <f>HYPERLINK(".\links\SMART\EEC00744.1-SMART.txt","CDD:197779 smart00536, AXH, domain in Ataxins and HMG containing proteins")</f>
        <v>CDD:197779 smart00536, AXH, domain in Ataxins and HMG containing proteins</v>
      </c>
      <c r="EP7" s="75">
        <v>0.28999999999999998</v>
      </c>
      <c r="EQ7" s="75">
        <v>21.6</v>
      </c>
      <c r="ER7" s="75" t="s">
        <v>2821</v>
      </c>
      <c r="ES7" s="75" t="s">
        <v>2772</v>
      </c>
      <c r="ET7" s="75" t="str">
        <f>HYPERLINK(".\links\TSF\EEC00744.1-TSF.txt","25-185 25-185, Selenium dependent glutathione peroxidase||S|E")</f>
        <v>25-185 25-185, Selenium dependent glutathione peroxidase||S|E</v>
      </c>
      <c r="EU7" s="79">
        <v>1.0000000000000001E-17</v>
      </c>
      <c r="EV7" s="75">
        <v>25.5</v>
      </c>
      <c r="EW7" s="75" t="s">
        <v>2822</v>
      </c>
      <c r="EX7" s="75" t="s">
        <v>2823</v>
      </c>
      <c r="EY7" s="75" t="s">
        <v>2772</v>
      </c>
      <c r="EZ7" s="75" t="s">
        <v>2785</v>
      </c>
      <c r="FA7" s="75" t="s">
        <v>2824</v>
      </c>
    </row>
    <row r="8" spans="1:157" x14ac:dyDescent="0.2">
      <c r="A8" s="75" t="str">
        <f>HYPERLINK(".\links\PEP\EEC10234.1-PEP.txt","EEC10234.1")</f>
        <v>EEC10234.1</v>
      </c>
      <c r="B8" s="75" t="s">
        <v>2768</v>
      </c>
      <c r="C8" s="75">
        <v>132</v>
      </c>
      <c r="D8" s="75" t="s">
        <v>2825</v>
      </c>
      <c r="E8" s="76" t="s">
        <v>2770</v>
      </c>
      <c r="F8" s="75" t="s">
        <v>2771</v>
      </c>
      <c r="G8" s="75" t="str">
        <f>HYPERLINK(".\links\Sigp\EEC10234.1-SigP.txt","CYT")</f>
        <v>CYT</v>
      </c>
      <c r="H8" s="75" t="s">
        <v>2772</v>
      </c>
      <c r="I8" s="75">
        <v>15.944000000000001</v>
      </c>
      <c r="J8" s="75">
        <v>8.91</v>
      </c>
      <c r="K8" s="75" t="s">
        <v>2772</v>
      </c>
      <c r="L8" s="75" t="s">
        <v>2772</v>
      </c>
      <c r="M8" s="75" t="str">
        <f>HYPERLINK(".\links\netoglyc\EEC10234.1-netoglyc.txt","0")</f>
        <v>0</v>
      </c>
      <c r="N8" s="75" t="s">
        <v>2826</v>
      </c>
      <c r="O8" s="75">
        <v>132</v>
      </c>
      <c r="P8" s="75">
        <v>0</v>
      </c>
      <c r="Q8" s="75" t="s">
        <v>2772</v>
      </c>
      <c r="R8" s="75" t="s">
        <v>2772</v>
      </c>
      <c r="S8" s="75" t="s">
        <v>2772</v>
      </c>
      <c r="T8" s="75" t="s">
        <v>2772</v>
      </c>
      <c r="U8" s="75" t="s">
        <v>2772</v>
      </c>
      <c r="V8" s="75" t="s">
        <v>2827</v>
      </c>
      <c r="W8" s="75">
        <v>7.4</v>
      </c>
      <c r="X8" s="75">
        <v>3</v>
      </c>
      <c r="Y8" s="75">
        <v>5.2</v>
      </c>
      <c r="Z8" s="75" t="s">
        <v>2774</v>
      </c>
      <c r="AA8" s="77">
        <v>8.3333333333333304</v>
      </c>
      <c r="AB8" s="75">
        <v>0.43</v>
      </c>
      <c r="AD8" s="75">
        <v>4</v>
      </c>
      <c r="AE8" s="75" t="str">
        <f>HYPERLINK(".\links\pep\EEC10234.1-sulf.txt","1")</f>
        <v>1</v>
      </c>
      <c r="AF8" s="75" t="str">
        <f>HYPERLINK(".\links\pep\EEC10234.1-tyr-sulf.txt","Fasta with y")</f>
        <v>Fasta with y</v>
      </c>
      <c r="AG8" s="75" t="s">
        <v>2772</v>
      </c>
      <c r="AH8" s="75" t="s">
        <v>2772</v>
      </c>
      <c r="AI8" s="75" t="s">
        <v>2772</v>
      </c>
      <c r="AJ8" s="75" t="s">
        <v>2772</v>
      </c>
      <c r="AK8" s="75" t="s">
        <v>2772</v>
      </c>
      <c r="AL8" s="75" t="s">
        <v>2772</v>
      </c>
      <c r="AM8" s="75" t="s">
        <v>2772</v>
      </c>
      <c r="AN8" s="75" t="s">
        <v>2772</v>
      </c>
      <c r="AO8" s="78" t="str">
        <f>HYPERLINK(".\links\AAM-CEMENT-2018\EEC10234.1-AAM-CEMENT-2018.txt","Extracted CDS")</f>
        <v>Extracted CDS</v>
      </c>
      <c r="AP8" s="75" t="str">
        <f>HYPERLINK("http://www.ncbi.nlm.nih.gov/sutils/blink.cgi?pid=Aam-3221","5.9")</f>
        <v>5.9</v>
      </c>
      <c r="AQ8" s="75" t="str">
        <f>HYPERLINK("http://www.ncbi.nlm.nih.gov/protein/Aam-3221","Aam-3221")</f>
        <v>Aam-3221</v>
      </c>
      <c r="AR8" s="75">
        <v>19.600000000000001</v>
      </c>
      <c r="AS8" s="75">
        <v>23</v>
      </c>
      <c r="AT8" s="75">
        <v>636</v>
      </c>
      <c r="AU8" s="75">
        <v>39</v>
      </c>
      <c r="AV8" s="75">
        <v>56</v>
      </c>
      <c r="AW8" s="75">
        <v>4</v>
      </c>
      <c r="AX8" s="75">
        <v>14</v>
      </c>
      <c r="AY8" s="75">
        <v>0</v>
      </c>
      <c r="AZ8" s="75">
        <v>525</v>
      </c>
      <c r="BA8" s="75">
        <v>110</v>
      </c>
      <c r="BB8" s="75">
        <v>1</v>
      </c>
      <c r="BC8" s="75" t="s">
        <v>2775</v>
      </c>
      <c r="BD8" s="78" t="str">
        <f>HYPERLINK(".\links\CDD\EEC10234.1-CDD.txt","NDUF_B7 NADH-ubiquinone oxidoreductase B18 subunit")</f>
        <v>NDUF_B7 NADH-ubiquinone oxidoreductase B18 subunit</v>
      </c>
      <c r="BE8" s="79">
        <v>4.0000000000000003E-30</v>
      </c>
      <c r="BF8" s="75">
        <v>100</v>
      </c>
      <c r="BG8" s="75" t="s">
        <v>2828</v>
      </c>
      <c r="BH8" s="75" t="s">
        <v>2829</v>
      </c>
      <c r="BI8" s="75" t="str">
        <f>HYPERLINK(".\links\KOG\EEC10234.1-KOG.txt","CDD:227638 COG5330, COG5330, Uncharacterized protein conserved in bacteria")</f>
        <v>CDD:227638 COG5330, COG5330, Uncharacterized protein conserved in bacteria</v>
      </c>
      <c r="BJ8" s="75">
        <v>1.2</v>
      </c>
      <c r="BK8" s="75">
        <v>13.7</v>
      </c>
      <c r="BL8" s="75" t="s">
        <v>2830</v>
      </c>
      <c r="BM8" s="75" t="s">
        <v>2779</v>
      </c>
      <c r="BN8" s="78" t="str">
        <f>HYPERLINK(".\links\PFAM\EEC10234.1-PFAM.txt","NDUF_B7 NADH-ubiquinone oxidoreductase B18 subunit")</f>
        <v>NDUF_B7 NADH-ubiquinone oxidoreductase B18 subunit</v>
      </c>
      <c r="BO8" s="79">
        <v>1.0000000000000001E-30</v>
      </c>
      <c r="BP8" s="75">
        <v>100</v>
      </c>
      <c r="BQ8" s="75" t="s">
        <v>2828</v>
      </c>
      <c r="BR8" s="75" t="s">
        <v>2772</v>
      </c>
      <c r="BS8" s="78" t="str">
        <f>HYPERLINK(".\links\SMART\EEC10234.1-SMART.txt","CDD:214808 smart00761, HDAC_interact, Histone deacetylase")</f>
        <v>CDD:214808 smart00761, HDAC_interact, Histone deacetylase</v>
      </c>
      <c r="BT8" s="75">
        <v>0.59</v>
      </c>
      <c r="BU8" s="75">
        <v>23.5</v>
      </c>
      <c r="BV8" s="75" t="s">
        <v>2831</v>
      </c>
      <c r="BW8" s="75" t="s">
        <v>2772</v>
      </c>
      <c r="BX8" s="78" t="str">
        <f>HYPERLINK(".\links\TSF\EEC10234.1-TSF.txt","25-413 25-413, Cell adhesion molecule||S|")</f>
        <v>25-413 25-413, Cell adhesion molecule||S|</v>
      </c>
      <c r="BY8" s="75">
        <v>0.81</v>
      </c>
      <c r="BZ8" s="75">
        <v>16</v>
      </c>
      <c r="CA8" s="75" t="s">
        <v>2832</v>
      </c>
      <c r="CB8" s="75" t="s">
        <v>2833</v>
      </c>
      <c r="CC8" s="75" t="s">
        <v>2772</v>
      </c>
      <c r="CD8" s="75" t="s">
        <v>2785</v>
      </c>
      <c r="CE8" s="75" t="s">
        <v>2834</v>
      </c>
      <c r="CF8" s="75">
        <v>41</v>
      </c>
      <c r="CG8" s="75">
        <v>1</v>
      </c>
      <c r="CH8" s="75">
        <v>49</v>
      </c>
      <c r="CI8" s="75">
        <v>1</v>
      </c>
      <c r="CJ8" s="75">
        <v>50</v>
      </c>
      <c r="CK8" s="75">
        <v>1</v>
      </c>
      <c r="CL8" s="75">
        <v>54</v>
      </c>
      <c r="CM8" s="75">
        <v>1</v>
      </c>
      <c r="CN8" s="75">
        <v>56</v>
      </c>
      <c r="CO8" s="75">
        <v>1</v>
      </c>
      <c r="CP8" s="75">
        <v>57</v>
      </c>
      <c r="CQ8" s="75">
        <v>1</v>
      </c>
      <c r="CR8" s="75">
        <v>58</v>
      </c>
      <c r="CS8" s="75">
        <v>1</v>
      </c>
      <c r="CT8" s="75">
        <v>62</v>
      </c>
      <c r="CU8" s="75">
        <v>1</v>
      </c>
      <c r="CV8" s="75">
        <v>64</v>
      </c>
      <c r="CW8" s="75">
        <v>1</v>
      </c>
      <c r="CX8" s="75">
        <v>68</v>
      </c>
      <c r="CY8" s="75">
        <v>1</v>
      </c>
      <c r="CZ8" s="75">
        <v>70</v>
      </c>
      <c r="DA8" s="75">
        <v>1</v>
      </c>
      <c r="DB8" s="75">
        <v>74</v>
      </c>
      <c r="DC8" s="75">
        <v>1</v>
      </c>
      <c r="DD8" s="75">
        <v>77</v>
      </c>
      <c r="DE8" s="75">
        <v>1</v>
      </c>
      <c r="DF8" s="75">
        <v>79</v>
      </c>
      <c r="DG8" s="75">
        <v>1</v>
      </c>
      <c r="DH8" s="75">
        <v>80</v>
      </c>
      <c r="DI8" s="75">
        <v>1</v>
      </c>
      <c r="DJ8" s="75" t="s">
        <v>5</v>
      </c>
      <c r="DK8" s="75" t="str">
        <f>HYPERLINK(".\links\AAM-CEMENT-2018\EEC10234.1-AAM-CEMENT-2018.txt","Extracted CDS")</f>
        <v>Extracted CDS</v>
      </c>
      <c r="DL8" s="75" t="str">
        <f>HYPERLINK("http://www.ncbi.nlm.nih.gov/sutils/blink.cgi?pid=Aam-3221","5.9")</f>
        <v>5.9</v>
      </c>
      <c r="DM8" s="75" t="str">
        <f>HYPERLINK("http://www.ncbi.nlm.nih.gov/protein/Aam-3221","Aam-3221")</f>
        <v>Aam-3221</v>
      </c>
      <c r="DN8" s="75">
        <v>19.600000000000001</v>
      </c>
      <c r="DO8" s="75">
        <v>23</v>
      </c>
      <c r="DP8" s="75">
        <v>636</v>
      </c>
      <c r="DQ8" s="75">
        <v>39</v>
      </c>
      <c r="DR8" s="75">
        <v>56</v>
      </c>
      <c r="DS8" s="75">
        <v>4</v>
      </c>
      <c r="DT8" s="75">
        <v>14</v>
      </c>
      <c r="DU8" s="75">
        <v>0</v>
      </c>
      <c r="DV8" s="75">
        <v>525</v>
      </c>
      <c r="DW8" s="75">
        <v>110</v>
      </c>
      <c r="DX8" s="75">
        <v>1</v>
      </c>
      <c r="DY8" s="75" t="s">
        <v>2775</v>
      </c>
      <c r="DZ8" s="75" t="str">
        <f>HYPERLINK(".\links\CDD\EEC10234.1-CDD.txt","NDUF_B7 NADH-ubiquinone oxidoreductase B18 subunit")</f>
        <v>NDUF_B7 NADH-ubiquinone oxidoreductase B18 subunit</v>
      </c>
      <c r="EA8" s="79">
        <v>4.0000000000000003E-30</v>
      </c>
      <c r="EB8" s="75">
        <v>100</v>
      </c>
      <c r="EC8" s="75" t="s">
        <v>2828</v>
      </c>
      <c r="ED8" s="75" t="s">
        <v>2829</v>
      </c>
      <c r="EE8" s="75" t="str">
        <f>HYPERLINK(".\links\KOG\EEC10234.1-KOG.txt","CDD:227638 COG5330, COG5330, Uncharacterized protein conserved in bacteria")</f>
        <v>CDD:227638 COG5330, COG5330, Uncharacterized protein conserved in bacteria</v>
      </c>
      <c r="EF8" s="75">
        <v>1.2</v>
      </c>
      <c r="EG8" s="75">
        <v>13.7</v>
      </c>
      <c r="EH8" s="75" t="s">
        <v>2830</v>
      </c>
      <c r="EI8" s="75" t="s">
        <v>2779</v>
      </c>
      <c r="EJ8" s="75" t="str">
        <f>HYPERLINK(".\links\PFAM\EEC10234.1-PFAM.txt","NDUF_B7 NADH-ubiquinone oxidoreductase B18 subunit")</f>
        <v>NDUF_B7 NADH-ubiquinone oxidoreductase B18 subunit</v>
      </c>
      <c r="EK8" s="79">
        <v>1.0000000000000001E-30</v>
      </c>
      <c r="EL8" s="75">
        <v>100</v>
      </c>
      <c r="EM8" s="75" t="s">
        <v>2828</v>
      </c>
      <c r="EN8" s="75" t="s">
        <v>2772</v>
      </c>
      <c r="EO8" s="75" t="str">
        <f>HYPERLINK(".\links\SMART\EEC10234.1-SMART.txt","CDD:214808 smart00761, HDAC_interact, Histone deacetylase")</f>
        <v>CDD:214808 smart00761, HDAC_interact, Histone deacetylase</v>
      </c>
      <c r="EP8" s="75">
        <v>0.59</v>
      </c>
      <c r="EQ8" s="75">
        <v>23.5</v>
      </c>
      <c r="ER8" s="75" t="s">
        <v>2831</v>
      </c>
      <c r="ES8" s="75" t="s">
        <v>2772</v>
      </c>
      <c r="ET8" s="75" t="str">
        <f>HYPERLINK(".\links\TSF\EEC10234.1-TSF.txt","25-413 25-413, Cell adhesion molecule||S|")</f>
        <v>25-413 25-413, Cell adhesion molecule||S|</v>
      </c>
      <c r="EU8" s="75">
        <v>0.81</v>
      </c>
      <c r="EV8" s="75">
        <v>16</v>
      </c>
      <c r="EW8" s="75" t="s">
        <v>2832</v>
      </c>
      <c r="EX8" s="75" t="s">
        <v>2833</v>
      </c>
      <c r="EY8" s="75" t="s">
        <v>2772</v>
      </c>
      <c r="EZ8" s="75" t="s">
        <v>2785</v>
      </c>
      <c r="FA8" s="75" t="s">
        <v>2834</v>
      </c>
    </row>
    <row r="9" spans="1:157" x14ac:dyDescent="0.2">
      <c r="A9" s="75" t="str">
        <f>HYPERLINK(".\links\PEP\EEC02823.1-PEP.txt","EEC02823.1")</f>
        <v>EEC02823.1</v>
      </c>
      <c r="B9" s="75" t="s">
        <v>2768</v>
      </c>
      <c r="C9" s="75">
        <v>377</v>
      </c>
      <c r="D9" s="75" t="s">
        <v>2835</v>
      </c>
      <c r="E9" s="76" t="s">
        <v>2770</v>
      </c>
      <c r="F9" s="75" t="s">
        <v>2771</v>
      </c>
      <c r="G9" s="75" t="str">
        <f>HYPERLINK(".\links\Sigp\EEC02823.1-SigP.txt","CYT")</f>
        <v>CYT</v>
      </c>
      <c r="H9" s="75" t="s">
        <v>2772</v>
      </c>
      <c r="I9" s="75">
        <v>42.877000000000002</v>
      </c>
      <c r="J9" s="75">
        <v>8.74</v>
      </c>
      <c r="K9" s="75" t="s">
        <v>2772</v>
      </c>
      <c r="L9" s="75" t="s">
        <v>2772</v>
      </c>
      <c r="M9" s="75" t="str">
        <f>HYPERLINK(".\links\netoglyc\EEC02823.1-netoglyc.txt","0")</f>
        <v>0</v>
      </c>
      <c r="N9" s="75" t="s">
        <v>2836</v>
      </c>
      <c r="O9" s="75">
        <v>377</v>
      </c>
      <c r="P9" s="75">
        <v>0</v>
      </c>
      <c r="Q9" s="75" t="s">
        <v>2772</v>
      </c>
      <c r="R9" s="75" t="s">
        <v>2772</v>
      </c>
      <c r="S9" s="75" t="s">
        <v>2772</v>
      </c>
      <c r="T9" s="75" t="s">
        <v>2772</v>
      </c>
      <c r="U9" s="75" t="s">
        <v>2772</v>
      </c>
      <c r="V9" s="75" t="s">
        <v>2772</v>
      </c>
      <c r="W9" s="75">
        <v>13.8</v>
      </c>
      <c r="X9" s="75">
        <v>3.6</v>
      </c>
      <c r="Y9" s="75">
        <v>3.1</v>
      </c>
      <c r="Z9" s="75" t="s">
        <v>2774</v>
      </c>
      <c r="AA9" s="77">
        <v>6.8965517241379297</v>
      </c>
      <c r="AB9" s="75">
        <v>0.35</v>
      </c>
      <c r="AD9" s="75">
        <v>5</v>
      </c>
      <c r="AE9" s="75" t="str">
        <f>HYPERLINK(".\links\pep\EEC02823.1-sulf.txt","1")</f>
        <v>1</v>
      </c>
      <c r="AF9" s="75" t="str">
        <f>HYPERLINK(".\links\pep\EEC02823.1-tyr-sulf.txt","Fasta with y")</f>
        <v>Fasta with y</v>
      </c>
      <c r="AG9" s="75" t="s">
        <v>2772</v>
      </c>
      <c r="AH9" s="75" t="s">
        <v>2772</v>
      </c>
      <c r="AI9" s="75">
        <v>1</v>
      </c>
      <c r="AJ9" s="75">
        <v>1</v>
      </c>
      <c r="AK9" s="75" t="s">
        <v>2772</v>
      </c>
      <c r="AL9" s="75" t="s">
        <v>2772</v>
      </c>
      <c r="AM9" s="75" t="s">
        <v>2772</v>
      </c>
      <c r="AN9" s="75" t="s">
        <v>2772</v>
      </c>
      <c r="AO9" s="78" t="str">
        <f>HYPERLINK(".\links\AAM-CEMENT-2018\EEC02823.1-AAM-CEMENT-2018.txt","Extracted CDS")</f>
        <v>Extracted CDS</v>
      </c>
      <c r="AP9" s="75" t="str">
        <f>HYPERLINK("http://www.ncbi.nlm.nih.gov/sutils/blink.cgi?pid=Aam-167007","1.3")</f>
        <v>1.3</v>
      </c>
      <c r="AQ9" s="75" t="str">
        <f>HYPERLINK("http://www.ncbi.nlm.nih.gov/protein/Aam-167007","Aam-167007")</f>
        <v>Aam-167007</v>
      </c>
      <c r="AR9" s="75">
        <v>23.5</v>
      </c>
      <c r="AS9" s="75">
        <v>144</v>
      </c>
      <c r="AT9" s="75">
        <v>231</v>
      </c>
      <c r="AU9" s="75">
        <v>22</v>
      </c>
      <c r="AV9" s="75">
        <v>36</v>
      </c>
      <c r="AW9" s="75">
        <v>62</v>
      </c>
      <c r="AX9" s="75">
        <v>112</v>
      </c>
      <c r="AY9" s="75">
        <v>10</v>
      </c>
      <c r="AZ9" s="75">
        <v>66</v>
      </c>
      <c r="BA9" s="75">
        <v>89</v>
      </c>
      <c r="BB9" s="75">
        <v>1</v>
      </c>
      <c r="BC9" s="75" t="s">
        <v>2775</v>
      </c>
      <c r="BD9" s="78" t="str">
        <f>HYPERLINK(".\links\CDD\EEC02823.1-CDD.txt","PRK06617 2-octaprenyl-6-methoxyphenyl hydroxylase")</f>
        <v>PRK06617 2-octaprenyl-6-methoxyphenyl hydroxylase</v>
      </c>
      <c r="BE9" s="75">
        <v>0</v>
      </c>
      <c r="BF9" s="75">
        <v>99.5</v>
      </c>
      <c r="BG9" s="75" t="s">
        <v>2837</v>
      </c>
      <c r="BH9" s="75" t="s">
        <v>2838</v>
      </c>
      <c r="BI9" s="75" t="str">
        <f>HYPERLINK(".\links\KOG\EEC02823.1-KOG.txt","CDD:223727 COG0654, UbiH, 2-polyprenyl-6-methoxyphenol hydroxylase and related FAD-dependent oxidoreductases")</f>
        <v>CDD:223727 COG0654, UbiH, 2-polyprenyl-6-methoxyphenol hydroxylase and related FAD-dependent oxidoreductases</v>
      </c>
      <c r="BJ9" s="79">
        <v>3.0000000000000001E-100</v>
      </c>
      <c r="BK9" s="75">
        <v>100.3</v>
      </c>
      <c r="BL9" s="75" t="s">
        <v>2839</v>
      </c>
      <c r="BM9" s="75" t="s">
        <v>2779</v>
      </c>
      <c r="BN9" s="78" t="str">
        <f>HYPERLINK(".\links\PFAM\EEC02823.1-PFAM.txt","FAD_binding_3 FAD binding domain")</f>
        <v>FAD_binding_3 FAD binding domain</v>
      </c>
      <c r="BO9" s="79">
        <v>2E-12</v>
      </c>
      <c r="BP9" s="75">
        <v>92.5</v>
      </c>
      <c r="BQ9" s="75" t="s">
        <v>2840</v>
      </c>
      <c r="BR9" s="75" t="s">
        <v>2772</v>
      </c>
      <c r="BS9" s="78" t="str">
        <f>HYPERLINK(".\links\SMART\EEC02823.1-SMART.txt","Despite this cytosolic function, vertebrate formins have been assigned functions within the nucleus")</f>
        <v>Despite this cytosolic function, vertebrate formins have been assigned functions within the nucleus</v>
      </c>
      <c r="BT9" s="75">
        <v>0.16</v>
      </c>
      <c r="BU9" s="75">
        <v>16.100000000000001</v>
      </c>
      <c r="BV9" s="75" t="s">
        <v>2841</v>
      </c>
      <c r="BW9" s="75" t="s">
        <v>2772</v>
      </c>
      <c r="BX9" s="78" t="str">
        <f>HYPERLINK(".\links\TSF\EEC02823.1-TSF.txt","35-492 35-492, M13_peptidase||S|E")</f>
        <v>35-492 35-492, M13_peptidase||S|E</v>
      </c>
      <c r="BY9" s="75">
        <v>1.9E-2</v>
      </c>
      <c r="BZ9" s="75">
        <v>31.3</v>
      </c>
      <c r="CA9" s="75" t="s">
        <v>2842</v>
      </c>
      <c r="CB9" s="75" t="s">
        <v>2843</v>
      </c>
      <c r="CC9" s="75" t="s">
        <v>2772</v>
      </c>
      <c r="CD9" s="75" t="s">
        <v>2785</v>
      </c>
      <c r="CE9" s="75" t="s">
        <v>2844</v>
      </c>
      <c r="CF9" s="75">
        <v>25</v>
      </c>
      <c r="CG9" s="75">
        <v>1</v>
      </c>
      <c r="CH9" s="75">
        <v>30</v>
      </c>
      <c r="CI9" s="75">
        <v>1</v>
      </c>
      <c r="CJ9" s="75">
        <v>30</v>
      </c>
      <c r="CK9" s="75">
        <v>1</v>
      </c>
      <c r="CL9" s="75">
        <v>32</v>
      </c>
      <c r="CM9" s="75">
        <v>1</v>
      </c>
      <c r="CN9" s="75">
        <v>31</v>
      </c>
      <c r="CO9" s="75">
        <v>1</v>
      </c>
      <c r="CP9" s="75">
        <v>32</v>
      </c>
      <c r="CQ9" s="75">
        <v>1</v>
      </c>
      <c r="CR9" s="75">
        <v>33</v>
      </c>
      <c r="CS9" s="75">
        <v>1</v>
      </c>
      <c r="CT9" s="75">
        <v>36</v>
      </c>
      <c r="CU9" s="75">
        <v>1</v>
      </c>
      <c r="CV9" s="75">
        <v>38</v>
      </c>
      <c r="CW9" s="75">
        <v>1</v>
      </c>
      <c r="CX9" s="75">
        <v>40</v>
      </c>
      <c r="CY9" s="75">
        <v>1</v>
      </c>
      <c r="CZ9" s="75">
        <v>41</v>
      </c>
      <c r="DA9" s="75">
        <v>1</v>
      </c>
      <c r="DB9" s="75">
        <v>41</v>
      </c>
      <c r="DC9" s="75">
        <v>1</v>
      </c>
      <c r="DD9" s="75">
        <v>39</v>
      </c>
      <c r="DE9" s="75">
        <v>1</v>
      </c>
      <c r="DF9" s="75">
        <v>38</v>
      </c>
      <c r="DG9" s="75">
        <v>1</v>
      </c>
      <c r="DH9" s="75">
        <v>39</v>
      </c>
      <c r="DI9" s="75">
        <v>1</v>
      </c>
      <c r="DJ9" s="75" t="s">
        <v>62</v>
      </c>
      <c r="DK9" s="75" t="str">
        <f>HYPERLINK(".\links\AAM-CEMENT-2018\EEC02823.1-AAM-CEMENT-2018.txt","Extracted CDS")</f>
        <v>Extracted CDS</v>
      </c>
      <c r="DL9" s="75" t="str">
        <f>HYPERLINK("http://www.ncbi.nlm.nih.gov/sutils/blink.cgi?pid=Aam-167007","1.3")</f>
        <v>1.3</v>
      </c>
      <c r="DM9" s="75" t="str">
        <f>HYPERLINK("http://www.ncbi.nlm.nih.gov/protein/Aam-167007","Aam-167007")</f>
        <v>Aam-167007</v>
      </c>
      <c r="DN9" s="75">
        <v>23.5</v>
      </c>
      <c r="DO9" s="75">
        <v>144</v>
      </c>
      <c r="DP9" s="75">
        <v>231</v>
      </c>
      <c r="DQ9" s="75">
        <v>22</v>
      </c>
      <c r="DR9" s="75">
        <v>36</v>
      </c>
      <c r="DS9" s="75">
        <v>62</v>
      </c>
      <c r="DT9" s="75">
        <v>112</v>
      </c>
      <c r="DU9" s="75">
        <v>10</v>
      </c>
      <c r="DV9" s="75">
        <v>66</v>
      </c>
      <c r="DW9" s="75">
        <v>89</v>
      </c>
      <c r="DX9" s="75">
        <v>1</v>
      </c>
      <c r="DY9" s="75" t="s">
        <v>2775</v>
      </c>
      <c r="DZ9" s="75" t="str">
        <f>HYPERLINK(".\links\CDD\EEC02823.1-CDD.txt","PRK06617 2-octaprenyl-6-methoxyphenyl hydroxylase")</f>
        <v>PRK06617 2-octaprenyl-6-methoxyphenyl hydroxylase</v>
      </c>
      <c r="EA9" s="75">
        <v>0</v>
      </c>
      <c r="EB9" s="75">
        <v>99.5</v>
      </c>
      <c r="EC9" s="75" t="s">
        <v>2837</v>
      </c>
      <c r="ED9" s="75" t="s">
        <v>2838</v>
      </c>
      <c r="EE9" s="75" t="str">
        <f>HYPERLINK(".\links\KOG\EEC02823.1-KOG.txt","CDD:223727 COG0654, UbiH, 2-polyprenyl-6-methoxyphenol hydroxylase and related FAD-dependent oxidoreductases")</f>
        <v>CDD:223727 COG0654, UbiH, 2-polyprenyl-6-methoxyphenol hydroxylase and related FAD-dependent oxidoreductases</v>
      </c>
      <c r="EF9" s="79">
        <v>3.0000000000000001E-100</v>
      </c>
      <c r="EG9" s="75">
        <v>100.3</v>
      </c>
      <c r="EH9" s="75" t="s">
        <v>2839</v>
      </c>
      <c r="EI9" s="75" t="s">
        <v>2779</v>
      </c>
      <c r="EJ9" s="75" t="str">
        <f>HYPERLINK(".\links\PFAM\EEC02823.1-PFAM.txt","FAD_binding_3 FAD binding domain")</f>
        <v>FAD_binding_3 FAD binding domain</v>
      </c>
      <c r="EK9" s="79">
        <v>2E-12</v>
      </c>
      <c r="EL9" s="75">
        <v>92.5</v>
      </c>
      <c r="EM9" s="75" t="s">
        <v>2840</v>
      </c>
      <c r="EN9" s="75" t="s">
        <v>2772</v>
      </c>
      <c r="EO9" s="75" t="str">
        <f>HYPERLINK(".\links\SMART\EEC02823.1-SMART.txt","Despite this cytosolic function, vertebrate formins have been assigned functions within the nucleus")</f>
        <v>Despite this cytosolic function, vertebrate formins have been assigned functions within the nucleus</v>
      </c>
      <c r="EP9" s="75">
        <v>0.16</v>
      </c>
      <c r="EQ9" s="75">
        <v>16.100000000000001</v>
      </c>
      <c r="ER9" s="75" t="s">
        <v>2841</v>
      </c>
      <c r="ES9" s="75" t="s">
        <v>2772</v>
      </c>
      <c r="ET9" s="75" t="str">
        <f>HYPERLINK(".\links\TSF\EEC02823.1-TSF.txt","35-492 35-492, M13_peptidase||S|E")</f>
        <v>35-492 35-492, M13_peptidase||S|E</v>
      </c>
      <c r="EU9" s="75">
        <v>1.9E-2</v>
      </c>
      <c r="EV9" s="75">
        <v>31.3</v>
      </c>
      <c r="EW9" s="75" t="s">
        <v>2842</v>
      </c>
      <c r="EX9" s="75" t="s">
        <v>2843</v>
      </c>
      <c r="EY9" s="75" t="s">
        <v>2772</v>
      </c>
      <c r="EZ9" s="75" t="s">
        <v>2785</v>
      </c>
      <c r="FA9" s="75" t="s">
        <v>2844</v>
      </c>
    </row>
    <row r="10" spans="1:157" x14ac:dyDescent="0.2">
      <c r="A10" s="75" t="str">
        <f>HYPERLINK(".\links\PEP\EEC00993.1-PEP.txt","EEC00993.1")</f>
        <v>EEC00993.1</v>
      </c>
      <c r="B10" s="75" t="s">
        <v>2768</v>
      </c>
      <c r="C10" s="75">
        <v>163</v>
      </c>
      <c r="D10" s="75" t="s">
        <v>2845</v>
      </c>
      <c r="E10" s="76" t="s">
        <v>2846</v>
      </c>
      <c r="F10" s="75" t="s">
        <v>2771</v>
      </c>
      <c r="G10" s="75" t="str">
        <f>HYPERLINK(".\links\Sigp\EEC00993.1-SigP.txt","SIG")</f>
        <v>SIG</v>
      </c>
      <c r="H10" s="75" t="s">
        <v>2847</v>
      </c>
      <c r="I10" s="75">
        <v>17.271999999999998</v>
      </c>
      <c r="J10" s="75">
        <v>5.04</v>
      </c>
      <c r="K10" s="75">
        <v>15.779</v>
      </c>
      <c r="L10" s="75">
        <v>4.83</v>
      </c>
      <c r="M10" s="75" t="str">
        <f>HYPERLINK(".\links\netoglyc\EEC00993.1-netoglyc.txt","1")</f>
        <v>1</v>
      </c>
      <c r="N10" s="75" t="s">
        <v>2848</v>
      </c>
      <c r="O10" s="75">
        <v>163</v>
      </c>
      <c r="P10" s="75">
        <v>0</v>
      </c>
      <c r="Q10" s="75" t="s">
        <v>2772</v>
      </c>
      <c r="R10" s="75" t="s">
        <v>2772</v>
      </c>
      <c r="S10" s="75" t="s">
        <v>2772</v>
      </c>
      <c r="T10" s="75" t="s">
        <v>2772</v>
      </c>
      <c r="U10" s="75" t="s">
        <v>2772</v>
      </c>
      <c r="V10" s="75" t="s">
        <v>2849</v>
      </c>
      <c r="W10" s="75">
        <v>12</v>
      </c>
      <c r="X10" s="75">
        <v>6.6</v>
      </c>
      <c r="Y10" s="75">
        <v>6</v>
      </c>
      <c r="Z10" s="75" t="s">
        <v>2774</v>
      </c>
      <c r="AA10" s="77">
        <v>12.8834355828221</v>
      </c>
      <c r="AB10" s="75">
        <v>0.34</v>
      </c>
      <c r="AD10" s="75">
        <v>6</v>
      </c>
      <c r="AE10" s="75" t="s">
        <v>2772</v>
      </c>
      <c r="AF10" s="75" t="s">
        <v>2772</v>
      </c>
      <c r="AG10" s="75" t="s">
        <v>2772</v>
      </c>
      <c r="AH10" s="75" t="s">
        <v>2772</v>
      </c>
      <c r="AI10" s="75" t="s">
        <v>2772</v>
      </c>
      <c r="AJ10" s="75">
        <v>2</v>
      </c>
      <c r="AK10" s="75" t="s">
        <v>2772</v>
      </c>
      <c r="AL10" s="75" t="s">
        <v>2772</v>
      </c>
      <c r="AM10" s="75" t="s">
        <v>2772</v>
      </c>
      <c r="AN10" s="75" t="s">
        <v>2772</v>
      </c>
      <c r="AO10" s="78" t="str">
        <f>HYPERLINK(".\links\AAM-CEMENT-2018\EEC00993.1-AAM-CEMENT-2018.txt","Extracted CDS")</f>
        <v>Extracted CDS</v>
      </c>
      <c r="AP10" s="75" t="str">
        <f>HYPERLINK("http://www.ncbi.nlm.nih.gov/sutils/blink.cgi?pid=Aam-178084","0.008")</f>
        <v>0.008</v>
      </c>
      <c r="AQ10" s="75" t="str">
        <f>HYPERLINK("http://www.ncbi.nlm.nih.gov/protein/Aam-178084","Aam-178084")</f>
        <v>Aam-178084</v>
      </c>
      <c r="AR10" s="75">
        <v>28.9</v>
      </c>
      <c r="AS10" s="75">
        <v>31</v>
      </c>
      <c r="AT10" s="75">
        <v>376</v>
      </c>
      <c r="AU10" s="75">
        <v>45</v>
      </c>
      <c r="AV10" s="75">
        <v>61</v>
      </c>
      <c r="AW10" s="75">
        <v>8</v>
      </c>
      <c r="AX10" s="75">
        <v>17</v>
      </c>
      <c r="AY10" s="75">
        <v>2</v>
      </c>
      <c r="AZ10" s="75">
        <v>231</v>
      </c>
      <c r="BA10" s="75">
        <v>14</v>
      </c>
      <c r="BB10" s="75">
        <v>1</v>
      </c>
      <c r="BC10" s="75" t="s">
        <v>2775</v>
      </c>
      <c r="BD10" s="78" t="str">
        <f>HYPERLINK(".\links\CDD\EEC00993.1-CDD.txt","CBM_14 Chitin binding Peritrophin-A domain")</f>
        <v>CBM_14 Chitin binding Peritrophin-A domain</v>
      </c>
      <c r="BE10" s="79">
        <v>5.0000000000000004E-6</v>
      </c>
      <c r="BF10" s="75">
        <v>118.9</v>
      </c>
      <c r="BG10" s="75" t="s">
        <v>2850</v>
      </c>
      <c r="BH10" s="75" t="s">
        <v>2851</v>
      </c>
      <c r="BI10" s="75" t="str">
        <f>HYPERLINK(".\links\KOG\EEC00993.1-KOG.txt","CDD:227596 COG5271, MDN1, AAA ATPase containing von Willebrand factor type A")</f>
        <v>CDD:227596 COG5271, MDN1, AAA ATPase containing von Willebrand factor type A</v>
      </c>
      <c r="BJ10" s="75">
        <v>1.7</v>
      </c>
      <c r="BK10" s="75">
        <v>0.8</v>
      </c>
      <c r="BL10" s="75" t="s">
        <v>2852</v>
      </c>
      <c r="BM10" s="75" t="s">
        <v>2779</v>
      </c>
      <c r="BN10" s="78" t="str">
        <f>HYPERLINK(".\links\PFAM\EEC00993.1-PFAM.txt","CBM_14 Chitin binding Peritrophin-A domain")</f>
        <v>CBM_14 Chitin binding Peritrophin-A domain</v>
      </c>
      <c r="BO10" s="79">
        <v>9.9999999999999995E-7</v>
      </c>
      <c r="BP10" s="75">
        <v>118.9</v>
      </c>
      <c r="BQ10" s="75" t="s">
        <v>2850</v>
      </c>
      <c r="BR10" s="75" t="s">
        <v>2772</v>
      </c>
      <c r="BS10" s="78" t="str">
        <f>HYPERLINK(".\links\SMART\EEC00993.1-SMART.txt","CDD:214696 smart00494, ChtBD2, Chitin-binding domain type 2")</f>
        <v>CDD:214696 smart00494, ChtBD2, Chitin-binding domain type 2</v>
      </c>
      <c r="BT10" s="79">
        <v>8.0000000000000007E-5</v>
      </c>
      <c r="BU10" s="75">
        <v>120.4</v>
      </c>
      <c r="BV10" s="75" t="s">
        <v>2853</v>
      </c>
      <c r="BW10" s="75" t="s">
        <v>2772</v>
      </c>
      <c r="BX10" s="78" t="str">
        <f>HYPERLINK(".\links\TSF\EEC00993.1-TSF.txt","30-165 30-165, AlaRich||S|")</f>
        <v>30-165 30-165, AlaRich||S|</v>
      </c>
      <c r="BY10" s="79">
        <v>2E-79</v>
      </c>
      <c r="BZ10" s="75">
        <v>95.3</v>
      </c>
      <c r="CA10" s="75" t="s">
        <v>2854</v>
      </c>
      <c r="CB10" s="75" t="s">
        <v>2855</v>
      </c>
      <c r="CC10" s="75" t="s">
        <v>2772</v>
      </c>
      <c r="CD10" s="75" t="s">
        <v>2785</v>
      </c>
      <c r="CE10" s="75" t="s">
        <v>2856</v>
      </c>
      <c r="CF10" s="75">
        <f>HYPERLINK(".\links\cluster-b\Ixsc-cement-202225-50SimCLU11.txt", 11)</f>
        <v>11</v>
      </c>
      <c r="CG10" s="75">
        <f>HYPERLINK(".\links\cluster-b\Ixsc-cement-202225-50SimCLTL11.txt", 3)</f>
        <v>3</v>
      </c>
      <c r="CH10" s="75">
        <f>HYPERLINK(".\links\cluster-b\Ixsc-cement-202230-50SimCLU10.txt", 10)</f>
        <v>10</v>
      </c>
      <c r="CI10" s="75">
        <f>HYPERLINK(".\links\cluster-b\Ixsc-cement-202230-50SimCLTL10.txt", 3)</f>
        <v>3</v>
      </c>
      <c r="CJ10" s="75">
        <f>HYPERLINK(".\links\cluster-b\Ixsc-cement-202235-50SimCLU9.txt", 9)</f>
        <v>9</v>
      </c>
      <c r="CK10" s="75">
        <f>HYPERLINK(".\links\cluster-b\Ixsc-cement-202235-50SimCLTL9.txt", 3)</f>
        <v>3</v>
      </c>
      <c r="CL10" s="75">
        <f>HYPERLINK(".\links\cluster-b\Ixsc-cement-202240-50SimCLU10.txt", 10)</f>
        <v>10</v>
      </c>
      <c r="CM10" s="75">
        <f>HYPERLINK(".\links\cluster-b\Ixsc-cement-202240-50SimCLTL10.txt", 3)</f>
        <v>3</v>
      </c>
      <c r="CN10" s="75">
        <f>HYPERLINK(".\links\cluster-b\Ixsc-cement-202245-50SimCLU9.txt", 9)</f>
        <v>9</v>
      </c>
      <c r="CO10" s="75">
        <f>HYPERLINK(".\links\cluster-b\Ixsc-cement-202245-50SimCLTL9.txt", 3)</f>
        <v>3</v>
      </c>
      <c r="CP10" s="75">
        <f>HYPERLINK(".\links\cluster-b\Ixsc-cement-202250-50SimCLU9.txt", 9)</f>
        <v>9</v>
      </c>
      <c r="CQ10" s="75">
        <f>HYPERLINK(".\links\cluster-b\Ixsc-cement-202250-50SimCLTL9.txt", 3)</f>
        <v>3</v>
      </c>
      <c r="CR10" s="75">
        <f>HYPERLINK(".\links\cluster-b\Ixsc-cement-202255-50SimCLU8.txt", 8)</f>
        <v>8</v>
      </c>
      <c r="CS10" s="75">
        <f>HYPERLINK(".\links\cluster-b\Ixsc-cement-202255-50SimCLTL8.txt", 3)</f>
        <v>3</v>
      </c>
      <c r="CT10" s="75">
        <f>HYPERLINK(".\links\cluster-b\Ixsc-cement-202260-50SimCLU15.txt", 15)</f>
        <v>15</v>
      </c>
      <c r="CU10" s="75">
        <f>HYPERLINK(".\links\cluster-b\Ixsc-cement-202260-50SimCLTL15.txt", 2)</f>
        <v>2</v>
      </c>
      <c r="CV10" s="75">
        <f>HYPERLINK(".\links\cluster-b\Ixsc-cement-202265-50SimCLU14.txt", 14)</f>
        <v>14</v>
      </c>
      <c r="CW10" s="75">
        <f>HYPERLINK(".\links\cluster-b\Ixsc-cement-202265-50SimCLTL14.txt", 2)</f>
        <v>2</v>
      </c>
      <c r="CX10" s="75">
        <v>28</v>
      </c>
      <c r="CY10" s="75">
        <v>1</v>
      </c>
      <c r="CZ10" s="75">
        <v>28</v>
      </c>
      <c r="DA10" s="75">
        <v>1</v>
      </c>
      <c r="DB10" s="75">
        <v>27</v>
      </c>
      <c r="DC10" s="75">
        <v>1</v>
      </c>
      <c r="DD10" s="75">
        <v>25</v>
      </c>
      <c r="DE10" s="75">
        <v>1</v>
      </c>
      <c r="DF10" s="75">
        <v>24</v>
      </c>
      <c r="DG10" s="75">
        <v>1</v>
      </c>
      <c r="DH10" s="75">
        <v>24</v>
      </c>
      <c r="DI10" s="75">
        <v>1</v>
      </c>
      <c r="DJ10" s="75" t="s">
        <v>150</v>
      </c>
      <c r="DK10" s="75" t="str">
        <f>HYPERLINK(".\links\AAM-CEMENT-2018\EEC00993.1-AAM-CEMENT-2018.txt","Extracted CDS")</f>
        <v>Extracted CDS</v>
      </c>
      <c r="DL10" s="75" t="str">
        <f>HYPERLINK("http://www.ncbi.nlm.nih.gov/sutils/blink.cgi?pid=Aam-178084","0.008")</f>
        <v>0.008</v>
      </c>
      <c r="DM10" s="75" t="str">
        <f>HYPERLINK("http://www.ncbi.nlm.nih.gov/protein/Aam-178084","Aam-178084")</f>
        <v>Aam-178084</v>
      </c>
      <c r="DN10" s="75">
        <v>28.9</v>
      </c>
      <c r="DO10" s="75">
        <v>31</v>
      </c>
      <c r="DP10" s="75">
        <v>376</v>
      </c>
      <c r="DQ10" s="75">
        <v>45</v>
      </c>
      <c r="DR10" s="75">
        <v>61</v>
      </c>
      <c r="DS10" s="75">
        <v>8</v>
      </c>
      <c r="DT10" s="75">
        <v>17</v>
      </c>
      <c r="DU10" s="75">
        <v>2</v>
      </c>
      <c r="DV10" s="75">
        <v>231</v>
      </c>
      <c r="DW10" s="75">
        <v>14</v>
      </c>
      <c r="DX10" s="75">
        <v>1</v>
      </c>
      <c r="DY10" s="75" t="s">
        <v>2775</v>
      </c>
      <c r="DZ10" s="75" t="str">
        <f>HYPERLINK(".\links\CDD\EEC00993.1-CDD.txt","CBM_14 Chitin binding Peritrophin-A domain")</f>
        <v>CBM_14 Chitin binding Peritrophin-A domain</v>
      </c>
      <c r="EA10" s="79">
        <v>5.0000000000000004E-6</v>
      </c>
      <c r="EB10" s="75">
        <v>118.9</v>
      </c>
      <c r="EC10" s="75" t="s">
        <v>2850</v>
      </c>
      <c r="ED10" s="75" t="s">
        <v>2851</v>
      </c>
      <c r="EE10" s="75" t="str">
        <f>HYPERLINK(".\links\KOG\EEC00993.1-KOG.txt","CDD:227596 COG5271, MDN1, AAA ATPase containing von Willebrand factor type A")</f>
        <v>CDD:227596 COG5271, MDN1, AAA ATPase containing von Willebrand factor type A</v>
      </c>
      <c r="EF10" s="75">
        <v>1.7</v>
      </c>
      <c r="EG10" s="75">
        <v>0.8</v>
      </c>
      <c r="EH10" s="75" t="s">
        <v>2852</v>
      </c>
      <c r="EI10" s="75" t="s">
        <v>2779</v>
      </c>
      <c r="EJ10" s="75" t="str">
        <f>HYPERLINK(".\links\PFAM\EEC00993.1-PFAM.txt","CBM_14 Chitin binding Peritrophin-A domain")</f>
        <v>CBM_14 Chitin binding Peritrophin-A domain</v>
      </c>
      <c r="EK10" s="79">
        <v>9.9999999999999995E-7</v>
      </c>
      <c r="EL10" s="75">
        <v>118.9</v>
      </c>
      <c r="EM10" s="75" t="s">
        <v>2850</v>
      </c>
      <c r="EN10" s="75" t="s">
        <v>2772</v>
      </c>
      <c r="EO10" s="75" t="str">
        <f>HYPERLINK(".\links\SMART\EEC00993.1-SMART.txt","CDD:214696 smart00494, ChtBD2, Chitin-binding domain type 2")</f>
        <v>CDD:214696 smart00494, ChtBD2, Chitin-binding domain type 2</v>
      </c>
      <c r="EP10" s="79">
        <v>8.0000000000000007E-5</v>
      </c>
      <c r="EQ10" s="75">
        <v>120.4</v>
      </c>
      <c r="ER10" s="75" t="s">
        <v>2853</v>
      </c>
      <c r="ES10" s="75" t="s">
        <v>2772</v>
      </c>
      <c r="ET10" s="75" t="str">
        <f>HYPERLINK(".\links\TSF\EEC00993.1-TSF.txt","30-165 30-165, AlaRich||S|")</f>
        <v>30-165 30-165, AlaRich||S|</v>
      </c>
      <c r="EU10" s="79">
        <v>2E-79</v>
      </c>
      <c r="EV10" s="75">
        <v>95.3</v>
      </c>
      <c r="EW10" s="75" t="s">
        <v>2854</v>
      </c>
      <c r="EX10" s="75" t="s">
        <v>2855</v>
      </c>
      <c r="EY10" s="75" t="s">
        <v>2772</v>
      </c>
      <c r="EZ10" s="75" t="s">
        <v>2785</v>
      </c>
      <c r="FA10" s="75" t="s">
        <v>2856</v>
      </c>
    </row>
    <row r="11" spans="1:157" x14ac:dyDescent="0.2">
      <c r="A11" s="75" t="str">
        <f>HYPERLINK(".\links\PEP\EEC07075.1-PEP.txt","EEC07075.1")</f>
        <v>EEC07075.1</v>
      </c>
      <c r="B11" s="75" t="s">
        <v>2768</v>
      </c>
      <c r="C11" s="75">
        <v>196</v>
      </c>
      <c r="D11" s="75" t="s">
        <v>2845</v>
      </c>
      <c r="E11" s="76" t="s">
        <v>2846</v>
      </c>
      <c r="F11" s="75" t="s">
        <v>2771</v>
      </c>
      <c r="G11" s="75" t="str">
        <f>HYPERLINK(".\links\Sigp\EEC07075.1-SigP.txt","ANC")</f>
        <v>ANC</v>
      </c>
      <c r="H11" s="75" t="s">
        <v>2772</v>
      </c>
      <c r="I11" s="75">
        <v>21.722999999999999</v>
      </c>
      <c r="J11" s="75">
        <v>9.35</v>
      </c>
      <c r="K11" s="75">
        <v>19.3</v>
      </c>
      <c r="L11" s="75">
        <v>9.65</v>
      </c>
      <c r="M11" s="75" t="str">
        <f>HYPERLINK(".\links\netoglyc\EEC07075.1-netoglyc.txt","5")</f>
        <v>5</v>
      </c>
      <c r="N11" s="75" t="s">
        <v>2857</v>
      </c>
      <c r="O11" s="75">
        <v>196</v>
      </c>
      <c r="P11" s="75">
        <v>0</v>
      </c>
      <c r="Q11" s="75" t="s">
        <v>2772</v>
      </c>
      <c r="R11" s="75" t="s">
        <v>2772</v>
      </c>
      <c r="S11" s="75" t="s">
        <v>2772</v>
      </c>
      <c r="T11" s="75" t="s">
        <v>2772</v>
      </c>
      <c r="U11" s="75" t="s">
        <v>2772</v>
      </c>
      <c r="V11" s="75" t="s">
        <v>2772</v>
      </c>
      <c r="W11" s="75">
        <v>16.5</v>
      </c>
      <c r="X11" s="75">
        <v>7</v>
      </c>
      <c r="Y11" s="75">
        <v>4</v>
      </c>
      <c r="Z11" s="75" t="s">
        <v>2774</v>
      </c>
      <c r="AA11" s="77">
        <v>11.2244897959184</v>
      </c>
      <c r="AB11" s="75">
        <v>0.26</v>
      </c>
      <c r="AD11" s="75">
        <v>2</v>
      </c>
      <c r="AE11" s="75" t="str">
        <f>HYPERLINK(".\links\pep\EEC07075.1-sulf.txt","1")</f>
        <v>1</v>
      </c>
      <c r="AF11" s="75" t="str">
        <f>HYPERLINK(".\links\pep\EEC07075.1-tyr-sulf.txt","Fasta with y")</f>
        <v>Fasta with y</v>
      </c>
      <c r="AG11" s="75" t="s">
        <v>2772</v>
      </c>
      <c r="AH11" s="75" t="s">
        <v>2772</v>
      </c>
      <c r="AI11" s="75" t="s">
        <v>2772</v>
      </c>
      <c r="AJ11" s="75">
        <v>1</v>
      </c>
      <c r="AK11" s="75" t="s">
        <v>2772</v>
      </c>
      <c r="AL11" s="75" t="s">
        <v>2772</v>
      </c>
      <c r="AM11" s="75" t="s">
        <v>2772</v>
      </c>
      <c r="AN11" s="75" t="s">
        <v>2772</v>
      </c>
      <c r="AO11" s="78" t="str">
        <f>HYPERLINK(".\links\AAM-CEMENT-2018\EEC07075.1-AAM-CEMENT-2018.txt","Extracted CDS")</f>
        <v>Extracted CDS</v>
      </c>
      <c r="AP11" s="75" t="str">
        <f>HYPERLINK("http://www.ncbi.nlm.nih.gov/sutils/blink.cgi?pid=Aam-175962","0.44")</f>
        <v>0.44</v>
      </c>
      <c r="AQ11" s="75" t="str">
        <f>HYPERLINK("http://www.ncbi.nlm.nih.gov/protein/Aam-175962","Aam-175962")</f>
        <v>Aam-175962</v>
      </c>
      <c r="AR11" s="75">
        <v>23.5</v>
      </c>
      <c r="AS11" s="75">
        <v>23</v>
      </c>
      <c r="AT11" s="75">
        <v>132</v>
      </c>
      <c r="AU11" s="75">
        <v>43</v>
      </c>
      <c r="AV11" s="75">
        <v>65</v>
      </c>
      <c r="AW11" s="75">
        <v>17</v>
      </c>
      <c r="AX11" s="75">
        <v>13</v>
      </c>
      <c r="AY11" s="75">
        <v>0</v>
      </c>
      <c r="AZ11" s="75">
        <v>4</v>
      </c>
      <c r="BA11" s="75">
        <v>95</v>
      </c>
      <c r="BB11" s="75">
        <v>1</v>
      </c>
      <c r="BC11" s="75" t="s">
        <v>2775</v>
      </c>
      <c r="BD11" s="78" t="str">
        <f>HYPERLINK(".\links\CDD\EEC07075.1-CDD.txt","Chitin_bind_4 Insect cuticle protein")</f>
        <v>Chitin_bind_4 Insect cuticle protein</v>
      </c>
      <c r="BE11" s="79">
        <v>3E-10</v>
      </c>
      <c r="BF11" s="75">
        <v>100</v>
      </c>
      <c r="BG11" s="75" t="s">
        <v>2858</v>
      </c>
      <c r="BH11" s="75" t="s">
        <v>2859</v>
      </c>
      <c r="BI11" s="75" t="str">
        <f>HYPERLINK(".\links\KOG\EEC07075.1-KOG.txt","CDD:224875 COG1964, COG1964, Predicted Fe-S oxidoreductases")</f>
        <v>CDD:224875 COG1964, COG1964, Predicted Fe-S oxidoreductases</v>
      </c>
      <c r="BJ11" s="75">
        <v>0.12</v>
      </c>
      <c r="BK11" s="75">
        <v>5.5</v>
      </c>
      <c r="BL11" s="75" t="s">
        <v>2860</v>
      </c>
      <c r="BM11" s="75" t="s">
        <v>2779</v>
      </c>
      <c r="BN11" s="78" t="str">
        <f>HYPERLINK(".\links\PFAM\EEC07075.1-PFAM.txt","Chitin_bind_4 Insect cuticle protein")</f>
        <v>Chitin_bind_4 Insect cuticle protein</v>
      </c>
      <c r="BO11" s="79">
        <v>6E-11</v>
      </c>
      <c r="BP11" s="75">
        <v>100</v>
      </c>
      <c r="BQ11" s="75" t="s">
        <v>2858</v>
      </c>
      <c r="BR11" s="75" t="s">
        <v>2772</v>
      </c>
      <c r="BS11" s="78" t="str">
        <f>HYPERLINK(".\links\SMART\EEC07075.1-SMART.txt","CDD:214526 smart00129, KISc, Kinesin motor, catalytic domain")</f>
        <v>CDD:214526 smart00129, KISc, Kinesin motor, catalytic domain</v>
      </c>
      <c r="BT11" s="75">
        <v>0.11</v>
      </c>
      <c r="BU11" s="75">
        <v>6.6</v>
      </c>
      <c r="BV11" s="75" t="s">
        <v>2861</v>
      </c>
      <c r="BW11" s="75" t="s">
        <v>2772</v>
      </c>
      <c r="BX11" s="78" t="str">
        <f>HYPERLINK(".\links\TSF\EEC07075.1-TSF.txt","35-48 35-48, GRP|Chitin binding|S|")</f>
        <v>35-48 35-48, GRP|Chitin binding|S|</v>
      </c>
      <c r="BY11" s="79">
        <v>6.9999999999999999E-36</v>
      </c>
      <c r="BZ11" s="75">
        <v>59.3</v>
      </c>
      <c r="CA11" s="75" t="s">
        <v>2862</v>
      </c>
      <c r="CB11" s="75" t="s">
        <v>2863</v>
      </c>
      <c r="CC11" s="75" t="s">
        <v>2864</v>
      </c>
      <c r="CD11" s="75" t="s">
        <v>2785</v>
      </c>
      <c r="CE11" s="75" t="s">
        <v>2865</v>
      </c>
      <c r="CF11" s="75">
        <v>34</v>
      </c>
      <c r="CG11" s="75">
        <v>1</v>
      </c>
      <c r="CH11" s="75">
        <v>39</v>
      </c>
      <c r="CI11" s="75">
        <v>1</v>
      </c>
      <c r="CJ11" s="75">
        <v>40</v>
      </c>
      <c r="CK11" s="75">
        <v>1</v>
      </c>
      <c r="CL11" s="75">
        <v>44</v>
      </c>
      <c r="CM11" s="75">
        <v>1</v>
      </c>
      <c r="CN11" s="75">
        <v>45</v>
      </c>
      <c r="CO11" s="75">
        <v>1</v>
      </c>
      <c r="CP11" s="75">
        <v>46</v>
      </c>
      <c r="CQ11" s="75">
        <v>1</v>
      </c>
      <c r="CR11" s="75">
        <v>47</v>
      </c>
      <c r="CS11" s="75">
        <v>1</v>
      </c>
      <c r="CT11" s="75">
        <v>51</v>
      </c>
      <c r="CU11" s="75">
        <v>1</v>
      </c>
      <c r="CV11" s="75">
        <v>53</v>
      </c>
      <c r="CW11" s="75">
        <v>1</v>
      </c>
      <c r="CX11" s="75">
        <v>56</v>
      </c>
      <c r="CY11" s="75">
        <v>1</v>
      </c>
      <c r="CZ11" s="75">
        <v>58</v>
      </c>
      <c r="DA11" s="75">
        <v>1</v>
      </c>
      <c r="DB11" s="75">
        <v>60</v>
      </c>
      <c r="DC11" s="75">
        <v>1</v>
      </c>
      <c r="DD11" s="75">
        <v>61</v>
      </c>
      <c r="DE11" s="75">
        <v>1</v>
      </c>
      <c r="DF11" s="75">
        <v>62</v>
      </c>
      <c r="DG11" s="75">
        <v>1</v>
      </c>
      <c r="DH11" s="75">
        <v>63</v>
      </c>
      <c r="DI11" s="75">
        <v>1</v>
      </c>
      <c r="DJ11" s="75" t="s">
        <v>151</v>
      </c>
      <c r="DK11" s="75" t="str">
        <f>HYPERLINK(".\links\AAM-CEMENT-2018\EEC07075.1-AAM-CEMENT-2018.txt","Extracted CDS")</f>
        <v>Extracted CDS</v>
      </c>
      <c r="DL11" s="75" t="str">
        <f>HYPERLINK("http://www.ncbi.nlm.nih.gov/sutils/blink.cgi?pid=Aam-175962","0.44")</f>
        <v>0.44</v>
      </c>
      <c r="DM11" s="75" t="str">
        <f>HYPERLINK("http://www.ncbi.nlm.nih.gov/protein/Aam-175962","Aam-175962")</f>
        <v>Aam-175962</v>
      </c>
      <c r="DN11" s="75">
        <v>23.5</v>
      </c>
      <c r="DO11" s="75">
        <v>23</v>
      </c>
      <c r="DP11" s="75">
        <v>132</v>
      </c>
      <c r="DQ11" s="75">
        <v>43</v>
      </c>
      <c r="DR11" s="75">
        <v>65</v>
      </c>
      <c r="DS11" s="75">
        <v>17</v>
      </c>
      <c r="DT11" s="75">
        <v>13</v>
      </c>
      <c r="DU11" s="75">
        <v>0</v>
      </c>
      <c r="DV11" s="75">
        <v>4</v>
      </c>
      <c r="DW11" s="75">
        <v>95</v>
      </c>
      <c r="DX11" s="75">
        <v>1</v>
      </c>
      <c r="DY11" s="75" t="s">
        <v>2775</v>
      </c>
      <c r="DZ11" s="75" t="str">
        <f>HYPERLINK(".\links\CDD\EEC07075.1-CDD.txt","Chitin_bind_4 Insect cuticle protein")</f>
        <v>Chitin_bind_4 Insect cuticle protein</v>
      </c>
      <c r="EA11" s="79">
        <v>3E-10</v>
      </c>
      <c r="EB11" s="75">
        <v>100</v>
      </c>
      <c r="EC11" s="75" t="s">
        <v>2858</v>
      </c>
      <c r="ED11" s="75" t="s">
        <v>2859</v>
      </c>
      <c r="EE11" s="75" t="str">
        <f>HYPERLINK(".\links\KOG\EEC07075.1-KOG.txt","CDD:224875 COG1964, COG1964, Predicted Fe-S oxidoreductases")</f>
        <v>CDD:224875 COG1964, COG1964, Predicted Fe-S oxidoreductases</v>
      </c>
      <c r="EF11" s="75">
        <v>0.12</v>
      </c>
      <c r="EG11" s="75">
        <v>5.5</v>
      </c>
      <c r="EH11" s="75" t="s">
        <v>2860</v>
      </c>
      <c r="EI11" s="75" t="s">
        <v>2779</v>
      </c>
      <c r="EJ11" s="75" t="str">
        <f>HYPERLINK(".\links\PFAM\EEC07075.1-PFAM.txt","Chitin_bind_4 Insect cuticle protein")</f>
        <v>Chitin_bind_4 Insect cuticle protein</v>
      </c>
      <c r="EK11" s="79">
        <v>6E-11</v>
      </c>
      <c r="EL11" s="75">
        <v>100</v>
      </c>
      <c r="EM11" s="75" t="s">
        <v>2858</v>
      </c>
      <c r="EN11" s="75" t="s">
        <v>2772</v>
      </c>
      <c r="EO11" s="75" t="str">
        <f>HYPERLINK(".\links\SMART\EEC07075.1-SMART.txt","CDD:214526 smart00129, KISc, Kinesin motor, catalytic domain")</f>
        <v>CDD:214526 smart00129, KISc, Kinesin motor, catalytic domain</v>
      </c>
      <c r="EP11" s="75">
        <v>0.11</v>
      </c>
      <c r="EQ11" s="75">
        <v>6.6</v>
      </c>
      <c r="ER11" s="75" t="s">
        <v>2861</v>
      </c>
      <c r="ES11" s="75" t="s">
        <v>2772</v>
      </c>
      <c r="ET11" s="75" t="str">
        <f>HYPERLINK(".\links\TSF\EEC07075.1-TSF.txt","35-48 35-48, GRP|Chitin binding|S|")</f>
        <v>35-48 35-48, GRP|Chitin binding|S|</v>
      </c>
      <c r="EU11" s="79">
        <v>6.9999999999999999E-36</v>
      </c>
      <c r="EV11" s="75">
        <v>59.3</v>
      </c>
      <c r="EW11" s="75" t="s">
        <v>2862</v>
      </c>
      <c r="EX11" s="75" t="s">
        <v>2863</v>
      </c>
      <c r="EY11" s="75" t="s">
        <v>2864</v>
      </c>
      <c r="EZ11" s="75" t="s">
        <v>2785</v>
      </c>
      <c r="FA11" s="75" t="s">
        <v>2865</v>
      </c>
    </row>
    <row r="12" spans="1:157" x14ac:dyDescent="0.2">
      <c r="A12" s="75" t="str">
        <f>HYPERLINK(".\links\PEP\EEC04674.1-PEP.txt","EEC04674.1")</f>
        <v>EEC04674.1</v>
      </c>
      <c r="B12" s="75" t="s">
        <v>2768</v>
      </c>
      <c r="C12" s="75">
        <v>161</v>
      </c>
      <c r="D12" s="75" t="s">
        <v>2845</v>
      </c>
      <c r="E12" s="76" t="s">
        <v>2846</v>
      </c>
      <c r="F12" s="75" t="s">
        <v>2771</v>
      </c>
      <c r="G12" s="75" t="str">
        <f>HYPERLINK(".\links\Sigp\EEC04674.1-SigP.txt","SIG")</f>
        <v>SIG</v>
      </c>
      <c r="H12" s="75" t="s">
        <v>2866</v>
      </c>
      <c r="I12" s="75">
        <v>17.530999999999999</v>
      </c>
      <c r="J12" s="75">
        <v>8.49</v>
      </c>
      <c r="K12" s="75">
        <v>15.617000000000001</v>
      </c>
      <c r="L12" s="75">
        <v>8.23</v>
      </c>
      <c r="M12" s="75" t="str">
        <f>HYPERLINK(".\links\netoglyc\EEC04674.1-netoglyc.txt","10")</f>
        <v>10</v>
      </c>
      <c r="N12" s="75" t="s">
        <v>2867</v>
      </c>
      <c r="O12" s="75">
        <v>161</v>
      </c>
      <c r="P12" s="75">
        <v>0</v>
      </c>
      <c r="Q12" s="75" t="s">
        <v>2772</v>
      </c>
      <c r="R12" s="75" t="s">
        <v>2772</v>
      </c>
      <c r="S12" s="75" t="s">
        <v>2772</v>
      </c>
      <c r="T12" s="75" t="s">
        <v>2772</v>
      </c>
      <c r="U12" s="75" t="s">
        <v>2772</v>
      </c>
      <c r="V12" s="75" t="s">
        <v>2772</v>
      </c>
      <c r="W12" s="75">
        <v>18.8</v>
      </c>
      <c r="X12" s="75">
        <v>7.3</v>
      </c>
      <c r="Y12" s="75">
        <v>7.3</v>
      </c>
      <c r="Z12" s="75" t="s">
        <v>2774</v>
      </c>
      <c r="AA12" s="77">
        <v>14.906832298136599</v>
      </c>
      <c r="AB12" s="75">
        <v>0.5</v>
      </c>
      <c r="AD12" s="75">
        <v>3</v>
      </c>
      <c r="AE12" s="75" t="s">
        <v>2772</v>
      </c>
      <c r="AF12" s="75" t="s">
        <v>2772</v>
      </c>
      <c r="AG12" s="75" t="s">
        <v>2772</v>
      </c>
      <c r="AH12" s="75" t="s">
        <v>2772</v>
      </c>
      <c r="AI12" s="75" t="s">
        <v>2772</v>
      </c>
      <c r="AJ12" s="75">
        <v>1</v>
      </c>
      <c r="AK12" s="75" t="s">
        <v>2772</v>
      </c>
      <c r="AL12" s="75" t="s">
        <v>2772</v>
      </c>
      <c r="AM12" s="75" t="s">
        <v>2772</v>
      </c>
      <c r="AN12" s="75" t="s">
        <v>2772</v>
      </c>
      <c r="AO12" s="78" t="str">
        <f>HYPERLINK(".\links\AAM-CEMENT-2018\EEC04674.1-AAM-CEMENT-2018.txt","Extracted CDS")</f>
        <v>Extracted CDS</v>
      </c>
      <c r="AP12" s="75" t="str">
        <f>HYPERLINK("http://www.ncbi.nlm.nih.gov/sutils/blink.cgi?pid=Aam-20","0.74")</f>
        <v>0.74</v>
      </c>
      <c r="AQ12" s="75" t="str">
        <f>HYPERLINK("http://www.ncbi.nlm.nih.gov/protein/Aam-20","Aam-20")</f>
        <v>Aam-20</v>
      </c>
      <c r="AR12" s="75">
        <v>22.7</v>
      </c>
      <c r="AS12" s="75">
        <v>21</v>
      </c>
      <c r="AT12" s="75">
        <v>652</v>
      </c>
      <c r="AU12" s="75">
        <v>42</v>
      </c>
      <c r="AV12" s="75">
        <v>57</v>
      </c>
      <c r="AW12" s="75">
        <v>3</v>
      </c>
      <c r="AX12" s="75">
        <v>12</v>
      </c>
      <c r="AY12" s="75">
        <v>0</v>
      </c>
      <c r="AZ12" s="75">
        <v>60</v>
      </c>
      <c r="BA12" s="75">
        <v>68</v>
      </c>
      <c r="BB12" s="75">
        <v>1</v>
      </c>
      <c r="BC12" s="75" t="s">
        <v>2775</v>
      </c>
      <c r="BD12" s="78" t="str">
        <f>HYPERLINK(".\links\CDD\EEC04674.1-CDD.txt","Chitin_bind_4 Insect cuticle protein")</f>
        <v>Chitin_bind_4 Insect cuticle protein</v>
      </c>
      <c r="BE12" s="79">
        <v>6E-10</v>
      </c>
      <c r="BF12" s="75">
        <v>103.8</v>
      </c>
      <c r="BG12" s="75" t="s">
        <v>2858</v>
      </c>
      <c r="BH12" s="75" t="s">
        <v>2868</v>
      </c>
      <c r="BI12" s="75" t="str">
        <f>HYPERLINK(".\links\KOG\EEC04674.1-KOG.txt","CDD:227952 COG5665, NOT5, CCR4-NOT transcriptional regulation complex, NOT5 subunit")</f>
        <v>CDD:227952 COG5665, NOT5, CCR4-NOT transcriptional regulation complex, NOT5 subunit</v>
      </c>
      <c r="BJ12" s="75">
        <v>0.16</v>
      </c>
      <c r="BK12" s="75">
        <v>21</v>
      </c>
      <c r="BL12" s="75" t="s">
        <v>2869</v>
      </c>
      <c r="BM12" s="75" t="s">
        <v>2779</v>
      </c>
      <c r="BN12" s="78" t="str">
        <f>HYPERLINK(".\links\PFAM\EEC04674.1-PFAM.txt","Chitin_bind_4 Insect cuticle protein")</f>
        <v>Chitin_bind_4 Insect cuticle protein</v>
      </c>
      <c r="BO12" s="79">
        <v>1E-10</v>
      </c>
      <c r="BP12" s="75">
        <v>103.8</v>
      </c>
      <c r="BQ12" s="75" t="s">
        <v>2858</v>
      </c>
      <c r="BR12" s="75" t="s">
        <v>2772</v>
      </c>
      <c r="BS12" s="78" t="str">
        <f>HYPERLINK(".\links\SMART\EEC04674.1-SMART.txt","CDD:214483 smart00042, CUB, Domain first found in C1r, C1s, uEGF, and bone morphogenetic protein")</f>
        <v>CDD:214483 smart00042, CUB, Domain first found in C1r, C1s, uEGF, and bone morphogenetic protein</v>
      </c>
      <c r="BT12" s="75">
        <v>0.46</v>
      </c>
      <c r="BU12" s="75">
        <v>46.1</v>
      </c>
      <c r="BV12" s="75" t="s">
        <v>2870</v>
      </c>
      <c r="BW12" s="75" t="s">
        <v>2772</v>
      </c>
      <c r="BX12" s="78" t="str">
        <f>HYPERLINK(".\links\TSF\EEC04674.1-TSF.txt","35-48 35-48, GRP|Chitin binding|S|")</f>
        <v>35-48 35-48, GRP|Chitin binding|S|</v>
      </c>
      <c r="BY12" s="79">
        <v>2.0000000000000001E-27</v>
      </c>
      <c r="BZ12" s="75">
        <v>64.3</v>
      </c>
      <c r="CA12" s="75" t="s">
        <v>2862</v>
      </c>
      <c r="CB12" s="75" t="s">
        <v>2863</v>
      </c>
      <c r="CC12" s="75" t="s">
        <v>2864</v>
      </c>
      <c r="CD12" s="75" t="s">
        <v>2785</v>
      </c>
      <c r="CE12" s="75" t="s">
        <v>2865</v>
      </c>
      <c r="CF12" s="75">
        <f>HYPERLINK(".\links\cluster-b\Ixsc-cement-202225-50SimCLU1.txt", 1)</f>
        <v>1</v>
      </c>
      <c r="CG12" s="75">
        <f>HYPERLINK(".\links\cluster-b\Ixsc-cement-202225-50SimCLTL1.txt", 20)</f>
        <v>20</v>
      </c>
      <c r="CH12" s="75">
        <f>HYPERLINK(".\links\cluster-b\Ixsc-cement-202230-50SimCLU1.txt", 1)</f>
        <v>1</v>
      </c>
      <c r="CI12" s="75">
        <f>HYPERLINK(".\links\cluster-b\Ixsc-cement-202230-50SimCLTL1.txt", 14)</f>
        <v>14</v>
      </c>
      <c r="CJ12" s="75">
        <f>HYPERLINK(".\links\cluster-b\Ixsc-cement-202235-50SimCLU1.txt", 1)</f>
        <v>1</v>
      </c>
      <c r="CK12" s="75">
        <f>HYPERLINK(".\links\cluster-b\Ixsc-cement-202235-50SimCLTL1.txt", 14)</f>
        <v>14</v>
      </c>
      <c r="CL12" s="75">
        <f>HYPERLINK(".\links\cluster-b\Ixsc-cement-202240-50SimCLU3.txt", 3)</f>
        <v>3</v>
      </c>
      <c r="CM12" s="75">
        <f>HYPERLINK(".\links\cluster-b\Ixsc-cement-202240-50SimCLTL3.txt", 6)</f>
        <v>6</v>
      </c>
      <c r="CN12" s="75">
        <v>39</v>
      </c>
      <c r="CO12" s="75">
        <v>1</v>
      </c>
      <c r="CP12" s="75">
        <v>40</v>
      </c>
      <c r="CQ12" s="75">
        <v>1</v>
      </c>
      <c r="CR12" s="75">
        <v>41</v>
      </c>
      <c r="CS12" s="75">
        <v>1</v>
      </c>
      <c r="CT12" s="75">
        <v>45</v>
      </c>
      <c r="CU12" s="75">
        <v>1</v>
      </c>
      <c r="CV12" s="75">
        <v>47</v>
      </c>
      <c r="CW12" s="75">
        <v>1</v>
      </c>
      <c r="CX12" s="75">
        <v>49</v>
      </c>
      <c r="CY12" s="75">
        <v>1</v>
      </c>
      <c r="CZ12" s="75">
        <v>50</v>
      </c>
      <c r="DA12" s="75">
        <v>1</v>
      </c>
      <c r="DB12" s="75">
        <v>50</v>
      </c>
      <c r="DC12" s="75">
        <v>1</v>
      </c>
      <c r="DD12" s="75">
        <v>51</v>
      </c>
      <c r="DE12" s="75">
        <v>1</v>
      </c>
      <c r="DF12" s="75">
        <v>50</v>
      </c>
      <c r="DG12" s="75">
        <v>1</v>
      </c>
      <c r="DH12" s="75">
        <v>51</v>
      </c>
      <c r="DI12" s="75">
        <v>1</v>
      </c>
      <c r="DJ12" s="75" t="s">
        <v>215</v>
      </c>
      <c r="DK12" s="75" t="str">
        <f>HYPERLINK(".\links\AAM-CEMENT-2018\EEC04674.1-AAM-CEMENT-2018.txt","Extracted CDS")</f>
        <v>Extracted CDS</v>
      </c>
      <c r="DL12" s="75" t="str">
        <f>HYPERLINK("http://www.ncbi.nlm.nih.gov/sutils/blink.cgi?pid=Aam-20","0.74")</f>
        <v>0.74</v>
      </c>
      <c r="DM12" s="75" t="str">
        <f>HYPERLINK("http://www.ncbi.nlm.nih.gov/protein/Aam-20","Aam-20")</f>
        <v>Aam-20</v>
      </c>
      <c r="DN12" s="75">
        <v>22.7</v>
      </c>
      <c r="DO12" s="75">
        <v>21</v>
      </c>
      <c r="DP12" s="75">
        <v>652</v>
      </c>
      <c r="DQ12" s="75">
        <v>42</v>
      </c>
      <c r="DR12" s="75">
        <v>57</v>
      </c>
      <c r="DS12" s="75">
        <v>3</v>
      </c>
      <c r="DT12" s="75">
        <v>12</v>
      </c>
      <c r="DU12" s="75">
        <v>0</v>
      </c>
      <c r="DV12" s="75">
        <v>60</v>
      </c>
      <c r="DW12" s="75">
        <v>68</v>
      </c>
      <c r="DX12" s="75">
        <v>1</v>
      </c>
      <c r="DY12" s="75" t="s">
        <v>2775</v>
      </c>
      <c r="DZ12" s="75" t="str">
        <f>HYPERLINK(".\links\CDD\EEC04674.1-CDD.txt","Chitin_bind_4 Insect cuticle protein")</f>
        <v>Chitin_bind_4 Insect cuticle protein</v>
      </c>
      <c r="EA12" s="79">
        <v>6E-10</v>
      </c>
      <c r="EB12" s="75">
        <v>103.8</v>
      </c>
      <c r="EC12" s="75" t="s">
        <v>2858</v>
      </c>
      <c r="ED12" s="75" t="s">
        <v>2868</v>
      </c>
      <c r="EE12" s="75" t="str">
        <f>HYPERLINK(".\links\KOG\EEC04674.1-KOG.txt","CDD:227952 COG5665, NOT5, CCR4-NOT transcriptional regulation complex, NOT5 subunit")</f>
        <v>CDD:227952 COG5665, NOT5, CCR4-NOT transcriptional regulation complex, NOT5 subunit</v>
      </c>
      <c r="EF12" s="75">
        <v>0.16</v>
      </c>
      <c r="EG12" s="75">
        <v>21</v>
      </c>
      <c r="EH12" s="75" t="s">
        <v>2869</v>
      </c>
      <c r="EI12" s="75" t="s">
        <v>2779</v>
      </c>
      <c r="EJ12" s="75" t="str">
        <f>HYPERLINK(".\links\PFAM\EEC04674.1-PFAM.txt","Chitin_bind_4 Insect cuticle protein")</f>
        <v>Chitin_bind_4 Insect cuticle protein</v>
      </c>
      <c r="EK12" s="79">
        <v>1E-10</v>
      </c>
      <c r="EL12" s="75">
        <v>103.8</v>
      </c>
      <c r="EM12" s="75" t="s">
        <v>2858</v>
      </c>
      <c r="EN12" s="75" t="s">
        <v>2772</v>
      </c>
      <c r="EO12" s="75" t="str">
        <f>HYPERLINK(".\links\SMART\EEC04674.1-SMART.txt","CDD:214483 smart00042, CUB, Domain first found in C1r, C1s, uEGF, and bone morphogenetic protein")</f>
        <v>CDD:214483 smart00042, CUB, Domain first found in C1r, C1s, uEGF, and bone morphogenetic protein</v>
      </c>
      <c r="EP12" s="75">
        <v>0.46</v>
      </c>
      <c r="EQ12" s="75">
        <v>46.1</v>
      </c>
      <c r="ER12" s="75" t="s">
        <v>2870</v>
      </c>
      <c r="ES12" s="75" t="s">
        <v>2772</v>
      </c>
      <c r="ET12" s="75" t="str">
        <f>HYPERLINK(".\links\TSF\EEC04674.1-TSF.txt","35-48 35-48, GRP|Chitin binding|S|")</f>
        <v>35-48 35-48, GRP|Chitin binding|S|</v>
      </c>
      <c r="EU12" s="79">
        <v>2.0000000000000001E-27</v>
      </c>
      <c r="EV12" s="75">
        <v>64.3</v>
      </c>
      <c r="EW12" s="75" t="s">
        <v>2862</v>
      </c>
      <c r="EX12" s="75" t="s">
        <v>2863</v>
      </c>
      <c r="EY12" s="75" t="s">
        <v>2864</v>
      </c>
      <c r="EZ12" s="75" t="s">
        <v>2785</v>
      </c>
      <c r="FA12" s="75" t="s">
        <v>2865</v>
      </c>
    </row>
    <row r="13" spans="1:157" x14ac:dyDescent="0.2">
      <c r="A13" s="75" t="str">
        <f>HYPERLINK(".\links\PEP\EEC12627.1-PEP.txt","EEC12627.1")</f>
        <v>EEC12627.1</v>
      </c>
      <c r="B13" s="75" t="s">
        <v>2768</v>
      </c>
      <c r="C13" s="75">
        <v>523</v>
      </c>
      <c r="D13" s="75" t="s">
        <v>2871</v>
      </c>
      <c r="E13" s="76" t="s">
        <v>2846</v>
      </c>
      <c r="F13" s="75" t="s">
        <v>2771</v>
      </c>
      <c r="G13" s="75" t="str">
        <f>HYPERLINK(".\links\Sigp\EEC12627.1-SigP.txt","ANC")</f>
        <v>ANC</v>
      </c>
      <c r="H13" s="75" t="s">
        <v>2772</v>
      </c>
      <c r="I13" s="75">
        <v>57.768000000000001</v>
      </c>
      <c r="J13" s="75">
        <v>9.4600000000000009</v>
      </c>
      <c r="K13" s="75">
        <v>45.087000000000003</v>
      </c>
      <c r="L13" s="75">
        <v>9.02</v>
      </c>
      <c r="M13" s="75" t="str">
        <f>HYPERLINK(".\links\netoglyc\EEC12627.1-netoglyc.txt","13")</f>
        <v>13</v>
      </c>
      <c r="N13" s="75" t="s">
        <v>2872</v>
      </c>
      <c r="O13" s="75">
        <v>523</v>
      </c>
      <c r="P13" s="75">
        <v>0</v>
      </c>
      <c r="Q13" s="75" t="s">
        <v>2772</v>
      </c>
      <c r="R13" s="75" t="s">
        <v>2772</v>
      </c>
      <c r="S13" s="75" t="s">
        <v>2772</v>
      </c>
      <c r="T13" s="75" t="s">
        <v>2772</v>
      </c>
      <c r="U13" s="75" t="s">
        <v>2772</v>
      </c>
      <c r="V13" s="75" t="s">
        <v>2772</v>
      </c>
      <c r="W13" s="75">
        <v>13.3</v>
      </c>
      <c r="X13" s="75">
        <v>6.8</v>
      </c>
      <c r="Y13" s="75">
        <v>12.6</v>
      </c>
      <c r="Z13" s="75" t="s">
        <v>2774</v>
      </c>
      <c r="AA13" s="77">
        <v>19.694072657743799</v>
      </c>
      <c r="AB13" s="75">
        <v>0.4</v>
      </c>
      <c r="AD13" s="75">
        <v>10</v>
      </c>
      <c r="AE13" s="75" t="s">
        <v>2772</v>
      </c>
      <c r="AF13" s="75" t="s">
        <v>2772</v>
      </c>
      <c r="AG13" s="75" t="s">
        <v>2772</v>
      </c>
      <c r="AH13" s="75">
        <v>1</v>
      </c>
      <c r="AI13" s="75">
        <v>2</v>
      </c>
      <c r="AJ13" s="75">
        <v>4</v>
      </c>
      <c r="AK13" s="75" t="s">
        <v>2772</v>
      </c>
      <c r="AL13" s="75" t="s">
        <v>2772</v>
      </c>
      <c r="AM13" s="75" t="s">
        <v>2772</v>
      </c>
      <c r="AN13" s="75" t="s">
        <v>2772</v>
      </c>
      <c r="AO13" s="78" t="str">
        <f>HYPERLINK(".\links\AAM-CEMENT-2018\EEC12627.1-AAM-CEMENT-2018.txt","Extracted CDS")</f>
        <v>Extracted CDS</v>
      </c>
      <c r="AP13" s="75" t="str">
        <f>HYPERLINK("http://www.ncbi.nlm.nih.gov/sutils/blink.cgi?pid=Aam-177919","0.78")</f>
        <v>0.78</v>
      </c>
      <c r="AQ13" s="75" t="str">
        <f>HYPERLINK("http://www.ncbi.nlm.nih.gov/protein/Aam-177919","Aam-177919")</f>
        <v>Aam-177919</v>
      </c>
      <c r="AR13" s="75">
        <v>25</v>
      </c>
      <c r="AS13" s="75">
        <v>34</v>
      </c>
      <c r="AT13" s="75">
        <v>561</v>
      </c>
      <c r="AU13" s="75">
        <v>41</v>
      </c>
      <c r="AV13" s="75">
        <v>55</v>
      </c>
      <c r="AW13" s="75">
        <v>6</v>
      </c>
      <c r="AX13" s="75">
        <v>20</v>
      </c>
      <c r="AY13" s="75">
        <v>0</v>
      </c>
      <c r="AZ13" s="75">
        <v>142</v>
      </c>
      <c r="BA13" s="75">
        <v>417</v>
      </c>
      <c r="BB13" s="75">
        <v>1</v>
      </c>
      <c r="BC13" s="75" t="s">
        <v>2775</v>
      </c>
      <c r="BD13" s="78" t="str">
        <f>HYPERLINK(".\links\CDD\EEC12627.1-CDD.txt","CBM_14 Chitin binding Peritrophin-A domain")</f>
        <v>CBM_14 Chitin binding Peritrophin-A domain</v>
      </c>
      <c r="BE13" s="79">
        <v>6E-10</v>
      </c>
      <c r="BF13" s="75">
        <v>94.3</v>
      </c>
      <c r="BG13" s="75" t="s">
        <v>2850</v>
      </c>
      <c r="BH13" s="75" t="s">
        <v>2873</v>
      </c>
      <c r="BI13" s="75" t="str">
        <f>HYPERLINK(".\links\KOG\EEC12627.1-KOG.txt","CDD:226699 COG4248, COG4248, Uncharacterized protein with protein kinase and helix-hairpin-helix DNA-binding domains")</f>
        <v>CDD:226699 COG4248, COG4248, Uncharacterized protein with protein kinase and helix-hairpin-helix DNA-binding domains</v>
      </c>
      <c r="BJ13" s="75">
        <v>0.18</v>
      </c>
      <c r="BK13" s="75">
        <v>11.6</v>
      </c>
      <c r="BL13" s="75" t="s">
        <v>2874</v>
      </c>
      <c r="BM13" s="75" t="s">
        <v>2779</v>
      </c>
      <c r="BN13" s="78" t="str">
        <f>HYPERLINK(".\links\PFAM\EEC12627.1-PFAM.txt","CBM_14 Chitin binding Peritrophin-A domain")</f>
        <v>CBM_14 Chitin binding Peritrophin-A domain</v>
      </c>
      <c r="BO13" s="79">
        <v>1E-10</v>
      </c>
      <c r="BP13" s="75">
        <v>94.3</v>
      </c>
      <c r="BQ13" s="75" t="s">
        <v>2850</v>
      </c>
      <c r="BR13" s="75" t="s">
        <v>2772</v>
      </c>
      <c r="BS13" s="78" t="str">
        <f>HYPERLINK(".\links\SMART\EEC12627.1-SMART.txt","CDD:214696 smart00494, ChtBD2, Chitin-binding domain type 2")</f>
        <v>CDD:214696 smart00494, ChtBD2, Chitin-binding domain type 2</v>
      </c>
      <c r="BT13" s="79">
        <v>1.0000000000000001E-9</v>
      </c>
      <c r="BU13" s="75">
        <v>104.1</v>
      </c>
      <c r="BV13" s="75" t="s">
        <v>2853</v>
      </c>
      <c r="BW13" s="75" t="s">
        <v>2772</v>
      </c>
      <c r="BX13" s="78" t="str">
        <f>HYPERLINK(".\links\TSF\EEC12627.1-TSF.txt","30-165 30-165, AlaRich||S|")</f>
        <v>30-165 30-165, AlaRich||S|</v>
      </c>
      <c r="BY13" s="79">
        <v>2.0000000000000002E-15</v>
      </c>
      <c r="BZ13" s="75">
        <v>75.8</v>
      </c>
      <c r="CA13" s="75" t="s">
        <v>2854</v>
      </c>
      <c r="CB13" s="75" t="s">
        <v>2855</v>
      </c>
      <c r="CC13" s="75" t="s">
        <v>2772</v>
      </c>
      <c r="CD13" s="75" t="s">
        <v>2785</v>
      </c>
      <c r="CE13" s="75" t="s">
        <v>2856</v>
      </c>
      <c r="CF13" s="75">
        <v>49</v>
      </c>
      <c r="CG13" s="75">
        <v>1</v>
      </c>
      <c r="CH13" s="75">
        <v>57</v>
      </c>
      <c r="CI13" s="75">
        <v>1</v>
      </c>
      <c r="CJ13" s="75">
        <v>58</v>
      </c>
      <c r="CK13" s="75">
        <v>1</v>
      </c>
      <c r="CL13" s="75">
        <v>62</v>
      </c>
      <c r="CM13" s="75">
        <v>1</v>
      </c>
      <c r="CN13" s="75">
        <v>66</v>
      </c>
      <c r="CO13" s="75">
        <v>1</v>
      </c>
      <c r="CP13" s="75">
        <v>68</v>
      </c>
      <c r="CQ13" s="75">
        <v>1</v>
      </c>
      <c r="CR13" s="75">
        <v>69</v>
      </c>
      <c r="CS13" s="75">
        <v>1</v>
      </c>
      <c r="CT13" s="75">
        <v>73</v>
      </c>
      <c r="CU13" s="75">
        <v>1</v>
      </c>
      <c r="CV13" s="75">
        <v>76</v>
      </c>
      <c r="CW13" s="75">
        <v>1</v>
      </c>
      <c r="CX13" s="75">
        <v>80</v>
      </c>
      <c r="CY13" s="75">
        <v>1</v>
      </c>
      <c r="CZ13" s="75">
        <v>82</v>
      </c>
      <c r="DA13" s="75">
        <v>1</v>
      </c>
      <c r="DB13" s="75">
        <v>88</v>
      </c>
      <c r="DC13" s="75">
        <v>1</v>
      </c>
      <c r="DD13" s="75">
        <v>91</v>
      </c>
      <c r="DE13" s="75">
        <v>1</v>
      </c>
      <c r="DF13" s="75">
        <v>93</v>
      </c>
      <c r="DG13" s="75">
        <v>1</v>
      </c>
      <c r="DH13" s="75">
        <v>94</v>
      </c>
      <c r="DI13" s="75">
        <v>1</v>
      </c>
      <c r="DJ13" s="75" t="s">
        <v>1</v>
      </c>
      <c r="DK13" s="75" t="str">
        <f>HYPERLINK(".\links\AAM-CEMENT-2018\EEC12627.1-AAM-CEMENT-2018.txt","Extracted CDS")</f>
        <v>Extracted CDS</v>
      </c>
      <c r="DL13" s="75" t="str">
        <f>HYPERLINK("http://www.ncbi.nlm.nih.gov/sutils/blink.cgi?pid=Aam-177919","0.78")</f>
        <v>0.78</v>
      </c>
      <c r="DM13" s="75" t="str">
        <f>HYPERLINK("http://www.ncbi.nlm.nih.gov/protein/Aam-177919","Aam-177919")</f>
        <v>Aam-177919</v>
      </c>
      <c r="DN13" s="75">
        <v>25</v>
      </c>
      <c r="DO13" s="75">
        <v>34</v>
      </c>
      <c r="DP13" s="75">
        <v>561</v>
      </c>
      <c r="DQ13" s="75">
        <v>41</v>
      </c>
      <c r="DR13" s="75">
        <v>55</v>
      </c>
      <c r="DS13" s="75">
        <v>6</v>
      </c>
      <c r="DT13" s="75">
        <v>20</v>
      </c>
      <c r="DU13" s="75">
        <v>0</v>
      </c>
      <c r="DV13" s="75">
        <v>142</v>
      </c>
      <c r="DW13" s="75">
        <v>417</v>
      </c>
      <c r="DX13" s="75">
        <v>1</v>
      </c>
      <c r="DY13" s="75" t="s">
        <v>2775</v>
      </c>
      <c r="DZ13" s="75" t="str">
        <f>HYPERLINK(".\links\CDD\EEC12627.1-CDD.txt","CBM_14 Chitin binding Peritrophin-A domain")</f>
        <v>CBM_14 Chitin binding Peritrophin-A domain</v>
      </c>
      <c r="EA13" s="79">
        <v>6E-10</v>
      </c>
      <c r="EB13" s="75">
        <v>94.3</v>
      </c>
      <c r="EC13" s="75" t="s">
        <v>2850</v>
      </c>
      <c r="ED13" s="75" t="s">
        <v>2873</v>
      </c>
      <c r="EE13" s="75" t="str">
        <f>HYPERLINK(".\links\KOG\EEC12627.1-KOG.txt","CDD:226699 COG4248, COG4248, Uncharacterized protein with protein kinase and helix-hairpin-helix DNA-binding domains")</f>
        <v>CDD:226699 COG4248, COG4248, Uncharacterized protein with protein kinase and helix-hairpin-helix DNA-binding domains</v>
      </c>
      <c r="EF13" s="75">
        <v>0.18</v>
      </c>
      <c r="EG13" s="75">
        <v>11.6</v>
      </c>
      <c r="EH13" s="75" t="s">
        <v>2874</v>
      </c>
      <c r="EI13" s="75" t="s">
        <v>2779</v>
      </c>
      <c r="EJ13" s="75" t="str">
        <f>HYPERLINK(".\links\PFAM\EEC12627.1-PFAM.txt","CBM_14 Chitin binding Peritrophin-A domain")</f>
        <v>CBM_14 Chitin binding Peritrophin-A domain</v>
      </c>
      <c r="EK13" s="79">
        <v>1E-10</v>
      </c>
      <c r="EL13" s="75">
        <v>94.3</v>
      </c>
      <c r="EM13" s="75" t="s">
        <v>2850</v>
      </c>
      <c r="EN13" s="75" t="s">
        <v>2772</v>
      </c>
      <c r="EO13" s="75" t="str">
        <f>HYPERLINK(".\links\SMART\EEC12627.1-SMART.txt","CDD:214696 smart00494, ChtBD2, Chitin-binding domain type 2")</f>
        <v>CDD:214696 smart00494, ChtBD2, Chitin-binding domain type 2</v>
      </c>
      <c r="EP13" s="79">
        <v>1.0000000000000001E-9</v>
      </c>
      <c r="EQ13" s="75">
        <v>104.1</v>
      </c>
      <c r="ER13" s="75" t="s">
        <v>2853</v>
      </c>
      <c r="ES13" s="75" t="s">
        <v>2772</v>
      </c>
      <c r="ET13" s="75" t="str">
        <f>HYPERLINK(".\links\TSF\EEC12627.1-TSF.txt","30-165 30-165, AlaRich||S|")</f>
        <v>30-165 30-165, AlaRich||S|</v>
      </c>
      <c r="EU13" s="79">
        <v>2.0000000000000002E-15</v>
      </c>
      <c r="EV13" s="75">
        <v>75.8</v>
      </c>
      <c r="EW13" s="75" t="s">
        <v>2854</v>
      </c>
      <c r="EX13" s="75" t="s">
        <v>2855</v>
      </c>
      <c r="EY13" s="75" t="s">
        <v>2772</v>
      </c>
      <c r="EZ13" s="75" t="s">
        <v>2785</v>
      </c>
      <c r="FA13" s="75" t="s">
        <v>2856</v>
      </c>
    </row>
    <row r="14" spans="1:157" x14ac:dyDescent="0.2">
      <c r="A14" s="75" t="str">
        <f>HYPERLINK(".\links\PEP\EEC14149.1-PEP.txt","EEC14149.1")</f>
        <v>EEC14149.1</v>
      </c>
      <c r="B14" s="75" t="s">
        <v>2768</v>
      </c>
      <c r="C14" s="75">
        <v>374</v>
      </c>
      <c r="D14" s="75" t="s">
        <v>2875</v>
      </c>
      <c r="E14" s="76" t="s">
        <v>2846</v>
      </c>
      <c r="F14" s="75" t="s">
        <v>2771</v>
      </c>
      <c r="G14" s="75" t="str">
        <f>HYPERLINK(".\links\Sigp\EEC14149.1-SigP.txt","CYT")</f>
        <v>CYT</v>
      </c>
      <c r="H14" s="75" t="s">
        <v>2772</v>
      </c>
      <c r="I14" s="75">
        <v>39.067999999999998</v>
      </c>
      <c r="J14" s="75">
        <v>9.51</v>
      </c>
      <c r="K14" s="75" t="s">
        <v>2772</v>
      </c>
      <c r="L14" s="75" t="s">
        <v>2772</v>
      </c>
      <c r="M14" s="75" t="str">
        <f>HYPERLINK(".\links\netoglyc\EEC14149.1-netoglyc.txt","4")</f>
        <v>4</v>
      </c>
      <c r="N14" s="75" t="s">
        <v>2876</v>
      </c>
      <c r="O14" s="75">
        <v>374</v>
      </c>
      <c r="P14" s="75">
        <v>0</v>
      </c>
      <c r="Q14" s="75" t="s">
        <v>2772</v>
      </c>
      <c r="R14" s="75" t="s">
        <v>2772</v>
      </c>
      <c r="S14" s="75" t="s">
        <v>2772</v>
      </c>
      <c r="T14" s="75" t="s">
        <v>2772</v>
      </c>
      <c r="U14" s="75" t="s">
        <v>2772</v>
      </c>
      <c r="V14" s="75" t="s">
        <v>2772</v>
      </c>
      <c r="W14" s="75">
        <v>10.5</v>
      </c>
      <c r="X14" s="75">
        <v>10.5</v>
      </c>
      <c r="Y14" s="75">
        <v>10.199999999999999</v>
      </c>
      <c r="Z14" s="75" t="s">
        <v>2774</v>
      </c>
      <c r="AA14" s="77">
        <v>21.122994652406401</v>
      </c>
      <c r="AB14" s="75">
        <v>0.38</v>
      </c>
      <c r="AD14" s="75">
        <v>3</v>
      </c>
      <c r="AE14" s="75" t="str">
        <f>HYPERLINK(".\links\pep\EEC14149.1-sulf.txt","1")</f>
        <v>1</v>
      </c>
      <c r="AF14" s="75" t="str">
        <f>HYPERLINK(".\links\pep\EEC14149.1-tyr-sulf.txt","Fasta with y")</f>
        <v>Fasta with y</v>
      </c>
      <c r="AG14" s="75" t="s">
        <v>2772</v>
      </c>
      <c r="AH14" s="75">
        <v>2</v>
      </c>
      <c r="AI14" s="75">
        <v>1</v>
      </c>
      <c r="AJ14" s="75">
        <v>2</v>
      </c>
      <c r="AK14" s="75" t="s">
        <v>2772</v>
      </c>
      <c r="AL14" s="75" t="s">
        <v>2772</v>
      </c>
      <c r="AM14" s="75" t="s">
        <v>2772</v>
      </c>
      <c r="AN14" s="75" t="s">
        <v>2772</v>
      </c>
      <c r="AO14" s="78" t="str">
        <f>HYPERLINK(".\links\AAM-CEMENT-2018\EEC14149.1-AAM-CEMENT-2018.txt","Extracted CDS")</f>
        <v>Extracted CDS</v>
      </c>
      <c r="AP14" s="75" t="str">
        <f>HYPERLINK("http://www.ncbi.nlm.nih.gov/sutils/blink.cgi?pid=Aam-179349","8.7")</f>
        <v>8.7</v>
      </c>
      <c r="AQ14" s="75" t="str">
        <f>HYPERLINK("http://www.ncbi.nlm.nih.gov/protein/Aam-179349","Aam-179349")</f>
        <v>Aam-179349</v>
      </c>
      <c r="AR14" s="75">
        <v>20.399999999999999</v>
      </c>
      <c r="AS14" s="75">
        <v>32</v>
      </c>
      <c r="AT14" s="75">
        <v>119</v>
      </c>
      <c r="AU14" s="75">
        <v>40</v>
      </c>
      <c r="AV14" s="75">
        <v>53</v>
      </c>
      <c r="AW14" s="75">
        <v>27</v>
      </c>
      <c r="AX14" s="75">
        <v>19</v>
      </c>
      <c r="AY14" s="75">
        <v>1</v>
      </c>
      <c r="AZ14" s="75">
        <v>48</v>
      </c>
      <c r="BA14" s="75">
        <v>253</v>
      </c>
      <c r="BB14" s="75">
        <v>1</v>
      </c>
      <c r="BC14" s="75" t="s">
        <v>2775</v>
      </c>
      <c r="BD14" s="78" t="str">
        <f>HYPERLINK(".\links\CDD\EEC14149.1-CDD.txt","Chitin_bind_4 Insect cuticle protein")</f>
        <v>Chitin_bind_4 Insect cuticle protein</v>
      </c>
      <c r="BE14" s="79">
        <v>7.0000000000000005E-14</v>
      </c>
      <c r="BF14" s="75">
        <v>100</v>
      </c>
      <c r="BG14" s="75" t="s">
        <v>2858</v>
      </c>
      <c r="BH14" s="75" t="s">
        <v>2877</v>
      </c>
      <c r="BI14" s="75" t="str">
        <f>HYPERLINK(".\links\KOG\EEC14149.1-KOG.txt","CDD:226714 COG4263, NosZ, Nitrous oxide reductase")</f>
        <v>CDD:226714 COG4263, NosZ, Nitrous oxide reductase</v>
      </c>
      <c r="BJ14" s="75">
        <v>0.8</v>
      </c>
      <c r="BK14" s="75">
        <v>16.2</v>
      </c>
      <c r="BL14" s="75" t="s">
        <v>2878</v>
      </c>
      <c r="BM14" s="75" t="s">
        <v>2779</v>
      </c>
      <c r="BN14" s="78" t="str">
        <f>HYPERLINK(".\links\PFAM\EEC14149.1-PFAM.txt","Chitin_bind_4 Insect cuticle protein")</f>
        <v>Chitin_bind_4 Insect cuticle protein</v>
      </c>
      <c r="BO14" s="79">
        <v>2E-14</v>
      </c>
      <c r="BP14" s="75">
        <v>100</v>
      </c>
      <c r="BQ14" s="75" t="s">
        <v>2858</v>
      </c>
      <c r="BR14" s="75" t="s">
        <v>2772</v>
      </c>
      <c r="BS14" s="78" t="str">
        <f>HYPERLINK(".\links\SMART\EEC14149.1-SMART.txt","CDD:214699 smart00503, SynN, Syntaxin N-terminal domain")</f>
        <v>CDD:214699 smart00503, SynN, Syntaxin N-terminal domain</v>
      </c>
      <c r="BT14" s="75">
        <v>1.9</v>
      </c>
      <c r="BU14" s="75">
        <v>23.9</v>
      </c>
      <c r="BV14" s="75" t="s">
        <v>2879</v>
      </c>
      <c r="BW14" s="75" t="s">
        <v>2772</v>
      </c>
      <c r="BX14" s="78" t="str">
        <f>HYPERLINK(".\links\TSF\EEC14149.1-TSF.txt","35-48 35-48, GRP|Chitin binding|S|")</f>
        <v>35-48 35-48, GRP|Chitin binding|S|</v>
      </c>
      <c r="BY14" s="79">
        <v>5.0000000000000003E-34</v>
      </c>
      <c r="BZ14" s="75">
        <v>85.2</v>
      </c>
      <c r="CA14" s="75" t="s">
        <v>2862</v>
      </c>
      <c r="CB14" s="75" t="s">
        <v>2863</v>
      </c>
      <c r="CC14" s="75" t="s">
        <v>2864</v>
      </c>
      <c r="CD14" s="75" t="s">
        <v>2785</v>
      </c>
      <c r="CE14" s="75" t="s">
        <v>2865</v>
      </c>
      <c r="CF14" s="75">
        <v>55</v>
      </c>
      <c r="CG14" s="75">
        <v>1</v>
      </c>
      <c r="CH14" s="75">
        <v>64</v>
      </c>
      <c r="CI14" s="75">
        <v>1</v>
      </c>
      <c r="CJ14" s="75">
        <v>65</v>
      </c>
      <c r="CK14" s="75">
        <v>1</v>
      </c>
      <c r="CL14" s="75">
        <v>69</v>
      </c>
      <c r="CM14" s="75">
        <v>1</v>
      </c>
      <c r="CN14" s="75">
        <v>73</v>
      </c>
      <c r="CO14" s="75">
        <v>1</v>
      </c>
      <c r="CP14" s="75">
        <v>75</v>
      </c>
      <c r="CQ14" s="75">
        <v>1</v>
      </c>
      <c r="CR14" s="75">
        <v>76</v>
      </c>
      <c r="CS14" s="75">
        <v>1</v>
      </c>
      <c r="CT14" s="75">
        <v>80</v>
      </c>
      <c r="CU14" s="75">
        <v>1</v>
      </c>
      <c r="CV14" s="75">
        <v>83</v>
      </c>
      <c r="CW14" s="75">
        <v>1</v>
      </c>
      <c r="CX14" s="75">
        <v>87</v>
      </c>
      <c r="CY14" s="75">
        <v>1</v>
      </c>
      <c r="CZ14" s="75">
        <v>89</v>
      </c>
      <c r="DA14" s="75">
        <v>1</v>
      </c>
      <c r="DB14" s="75">
        <v>95</v>
      </c>
      <c r="DC14" s="75">
        <v>1</v>
      </c>
      <c r="DD14" s="75">
        <v>98</v>
      </c>
      <c r="DE14" s="75">
        <v>1</v>
      </c>
      <c r="DF14" s="75">
        <v>100</v>
      </c>
      <c r="DG14" s="75">
        <v>1</v>
      </c>
      <c r="DH14" s="75">
        <v>101</v>
      </c>
      <c r="DI14" s="75">
        <v>1</v>
      </c>
      <c r="DJ14" s="75" t="s">
        <v>220</v>
      </c>
      <c r="DK14" s="75" t="str">
        <f>HYPERLINK(".\links\AAM-CEMENT-2018\EEC14149.1-AAM-CEMENT-2018.txt","Extracted CDS")</f>
        <v>Extracted CDS</v>
      </c>
      <c r="DL14" s="75" t="str">
        <f>HYPERLINK("http://www.ncbi.nlm.nih.gov/sutils/blink.cgi?pid=Aam-179349","8.7")</f>
        <v>8.7</v>
      </c>
      <c r="DM14" s="75" t="str">
        <f>HYPERLINK("http://www.ncbi.nlm.nih.gov/protein/Aam-179349","Aam-179349")</f>
        <v>Aam-179349</v>
      </c>
      <c r="DN14" s="75">
        <v>20.399999999999999</v>
      </c>
      <c r="DO14" s="75">
        <v>32</v>
      </c>
      <c r="DP14" s="75">
        <v>119</v>
      </c>
      <c r="DQ14" s="75">
        <v>40</v>
      </c>
      <c r="DR14" s="75">
        <v>53</v>
      </c>
      <c r="DS14" s="75">
        <v>27</v>
      </c>
      <c r="DT14" s="75">
        <v>19</v>
      </c>
      <c r="DU14" s="75">
        <v>1</v>
      </c>
      <c r="DV14" s="75">
        <v>48</v>
      </c>
      <c r="DW14" s="75">
        <v>253</v>
      </c>
      <c r="DX14" s="75">
        <v>1</v>
      </c>
      <c r="DY14" s="75" t="s">
        <v>2775</v>
      </c>
      <c r="DZ14" s="75" t="str">
        <f>HYPERLINK(".\links\CDD\EEC14149.1-CDD.txt","Chitin_bind_4 Insect cuticle protein")</f>
        <v>Chitin_bind_4 Insect cuticle protein</v>
      </c>
      <c r="EA14" s="79">
        <v>7.0000000000000005E-14</v>
      </c>
      <c r="EB14" s="75">
        <v>100</v>
      </c>
      <c r="EC14" s="75" t="s">
        <v>2858</v>
      </c>
      <c r="ED14" s="75" t="s">
        <v>2877</v>
      </c>
      <c r="EE14" s="75" t="str">
        <f>HYPERLINK(".\links\KOG\EEC14149.1-KOG.txt","CDD:226714 COG4263, NosZ, Nitrous oxide reductase")</f>
        <v>CDD:226714 COG4263, NosZ, Nitrous oxide reductase</v>
      </c>
      <c r="EF14" s="75">
        <v>0.8</v>
      </c>
      <c r="EG14" s="75">
        <v>16.2</v>
      </c>
      <c r="EH14" s="75" t="s">
        <v>2878</v>
      </c>
      <c r="EI14" s="75" t="s">
        <v>2779</v>
      </c>
      <c r="EJ14" s="75" t="str">
        <f>HYPERLINK(".\links\PFAM\EEC14149.1-PFAM.txt","Chitin_bind_4 Insect cuticle protein")</f>
        <v>Chitin_bind_4 Insect cuticle protein</v>
      </c>
      <c r="EK14" s="79">
        <v>2E-14</v>
      </c>
      <c r="EL14" s="75">
        <v>100</v>
      </c>
      <c r="EM14" s="75" t="s">
        <v>2858</v>
      </c>
      <c r="EN14" s="75" t="s">
        <v>2772</v>
      </c>
      <c r="EO14" s="75" t="str">
        <f>HYPERLINK(".\links\SMART\EEC14149.1-SMART.txt","CDD:214699 smart00503, SynN, Syntaxin N-terminal domain")</f>
        <v>CDD:214699 smart00503, SynN, Syntaxin N-terminal domain</v>
      </c>
      <c r="EP14" s="75">
        <v>1.9</v>
      </c>
      <c r="EQ14" s="75">
        <v>23.9</v>
      </c>
      <c r="ER14" s="75" t="s">
        <v>2879</v>
      </c>
      <c r="ES14" s="75" t="s">
        <v>2772</v>
      </c>
      <c r="ET14" s="75" t="str">
        <f>HYPERLINK(".\links\TSF\EEC14149.1-TSF.txt","35-48 35-48, GRP|Chitin binding|S|")</f>
        <v>35-48 35-48, GRP|Chitin binding|S|</v>
      </c>
      <c r="EU14" s="79">
        <v>5.0000000000000003E-34</v>
      </c>
      <c r="EV14" s="75">
        <v>85.2</v>
      </c>
      <c r="EW14" s="75" t="s">
        <v>2862</v>
      </c>
      <c r="EX14" s="75" t="s">
        <v>2863</v>
      </c>
      <c r="EY14" s="75" t="s">
        <v>2864</v>
      </c>
      <c r="EZ14" s="75" t="s">
        <v>2785</v>
      </c>
      <c r="FA14" s="75" t="s">
        <v>2865</v>
      </c>
    </row>
    <row r="15" spans="1:157" x14ac:dyDescent="0.2">
      <c r="A15" s="75" t="str">
        <f>HYPERLINK(".\links\PEP\EEC09165.1-PEP.txt","EEC09165.1")</f>
        <v>EEC09165.1</v>
      </c>
      <c r="B15" s="75" t="s">
        <v>2768</v>
      </c>
      <c r="C15" s="75">
        <v>114</v>
      </c>
      <c r="D15" s="75" t="s">
        <v>2845</v>
      </c>
      <c r="E15" s="76" t="s">
        <v>2846</v>
      </c>
      <c r="F15" s="75" t="s">
        <v>2771</v>
      </c>
      <c r="G15" s="75" t="str">
        <f>HYPERLINK(".\links\Sigp\EEC09165.1-SigP.txt","CYT")</f>
        <v>CYT</v>
      </c>
      <c r="H15" s="75" t="s">
        <v>2772</v>
      </c>
      <c r="I15" s="75">
        <v>12.153</v>
      </c>
      <c r="J15" s="75">
        <v>4.71</v>
      </c>
      <c r="K15" s="75" t="s">
        <v>2772</v>
      </c>
      <c r="L15" s="75" t="s">
        <v>2772</v>
      </c>
      <c r="M15" s="75" t="str">
        <f>HYPERLINK(".\links\netoglyc\EEC09165.1-netoglyc.txt","6")</f>
        <v>6</v>
      </c>
      <c r="N15" s="75" t="s">
        <v>2817</v>
      </c>
      <c r="O15" s="75">
        <v>114</v>
      </c>
      <c r="P15" s="75">
        <v>0</v>
      </c>
      <c r="Q15" s="75" t="s">
        <v>2772</v>
      </c>
      <c r="R15" s="75" t="s">
        <v>2772</v>
      </c>
      <c r="S15" s="75" t="s">
        <v>2772</v>
      </c>
      <c r="T15" s="75" t="s">
        <v>2772</v>
      </c>
      <c r="U15" s="75" t="s">
        <v>2772</v>
      </c>
      <c r="V15" s="75" t="s">
        <v>2772</v>
      </c>
      <c r="W15" s="75">
        <v>16.2</v>
      </c>
      <c r="X15" s="75">
        <v>12</v>
      </c>
      <c r="Y15" s="75">
        <v>6</v>
      </c>
      <c r="Z15" s="75" t="s">
        <v>2774</v>
      </c>
      <c r="AA15" s="77">
        <v>18.421052631578899</v>
      </c>
      <c r="AB15" s="75">
        <v>0.39</v>
      </c>
      <c r="AD15" s="75">
        <v>0</v>
      </c>
      <c r="AE15" s="75" t="s">
        <v>2772</v>
      </c>
      <c r="AF15" s="75" t="s">
        <v>2772</v>
      </c>
      <c r="AG15" s="75" t="s">
        <v>2772</v>
      </c>
      <c r="AH15" s="75" t="s">
        <v>2772</v>
      </c>
      <c r="AI15" s="75" t="s">
        <v>2772</v>
      </c>
      <c r="AJ15" s="75">
        <v>1</v>
      </c>
      <c r="AK15" s="75" t="s">
        <v>2772</v>
      </c>
      <c r="AL15" s="75" t="s">
        <v>2772</v>
      </c>
      <c r="AM15" s="75" t="s">
        <v>2772</v>
      </c>
      <c r="AN15" s="75" t="s">
        <v>2772</v>
      </c>
      <c r="AO15" s="78" t="str">
        <f>HYPERLINK(".\links\AAM-CEMENT-2018\EEC09165.1-AAM-CEMENT-2018.txt","Extracted CDS")</f>
        <v>Extracted CDS</v>
      </c>
      <c r="AP15" s="75" t="str">
        <f>HYPERLINK("http://www.ncbi.nlm.nih.gov/sutils/blink.cgi?pid=Aam-177863","1.1")</f>
        <v>1.1</v>
      </c>
      <c r="AQ15" s="75" t="str">
        <f>HYPERLINK("http://www.ncbi.nlm.nih.gov/protein/Aam-177863","Aam-177863")</f>
        <v>Aam-177863</v>
      </c>
      <c r="AR15" s="75">
        <v>21.6</v>
      </c>
      <c r="AS15" s="75">
        <v>35</v>
      </c>
      <c r="AT15" s="75">
        <v>273</v>
      </c>
      <c r="AU15" s="75">
        <v>37</v>
      </c>
      <c r="AV15" s="75">
        <v>48</v>
      </c>
      <c r="AW15" s="75">
        <v>13</v>
      </c>
      <c r="AX15" s="75">
        <v>22</v>
      </c>
      <c r="AY15" s="75">
        <v>5</v>
      </c>
      <c r="AZ15" s="75">
        <v>69</v>
      </c>
      <c r="BA15" s="75">
        <v>83</v>
      </c>
      <c r="BB15" s="75">
        <v>1</v>
      </c>
      <c r="BC15" s="75" t="s">
        <v>2775</v>
      </c>
      <c r="BD15" s="78" t="str">
        <f>HYPERLINK(".\links\CDD\EEC09165.1-CDD.txt","Chitin_bind_4 Insect cuticle protein")</f>
        <v>Chitin_bind_4 Insect cuticle protein</v>
      </c>
      <c r="BE15" s="79">
        <v>1.9999999999999999E-11</v>
      </c>
      <c r="BF15" s="75">
        <v>103.8</v>
      </c>
      <c r="BG15" s="75" t="s">
        <v>2858</v>
      </c>
      <c r="BH15" s="75" t="s">
        <v>2880</v>
      </c>
      <c r="BI15" s="75" t="str">
        <f>HYPERLINK(".\links\KOG\EEC09165.1-KOG.txt","CDD:226571 COG4086, COG4086, Predicted secreted protein")</f>
        <v>CDD:226571 COG4086, COG4086, Predicted secreted protein</v>
      </c>
      <c r="BJ15" s="75">
        <v>6.6000000000000003E-2</v>
      </c>
      <c r="BK15" s="75">
        <v>27.1</v>
      </c>
      <c r="BL15" s="75" t="s">
        <v>2881</v>
      </c>
      <c r="BM15" s="75" t="s">
        <v>2779</v>
      </c>
      <c r="BN15" s="78" t="str">
        <f>HYPERLINK(".\links\PFAM\EEC09165.1-PFAM.txt","Chitin_bind_4 Insect cuticle protein")</f>
        <v>Chitin_bind_4 Insect cuticle protein</v>
      </c>
      <c r="BO15" s="79">
        <v>4.9999999999999997E-12</v>
      </c>
      <c r="BP15" s="75">
        <v>103.8</v>
      </c>
      <c r="BQ15" s="75" t="s">
        <v>2858</v>
      </c>
      <c r="BR15" s="75" t="s">
        <v>2772</v>
      </c>
      <c r="BS15" s="78" t="str">
        <f>HYPERLINK(".\links\SMART\EEC09165.1-SMART.txt","CDD:214774 smart00682, G2F, G2 nidogen domain and fibulin")</f>
        <v>CDD:214774 smart00682, G2F, G2 nidogen domain and fibulin</v>
      </c>
      <c r="BT15" s="75">
        <v>2</v>
      </c>
      <c r="BU15" s="75">
        <v>17.2</v>
      </c>
      <c r="BV15" s="75" t="s">
        <v>2882</v>
      </c>
      <c r="BW15" s="75" t="s">
        <v>2772</v>
      </c>
      <c r="BX15" s="78" t="str">
        <f>HYPERLINK(".\links\TSF\EEC09165.1-TSF.txt","55-383 55-383, GRP|Chitin binding|S|")</f>
        <v>55-383 55-383, GRP|Chitin binding|S|</v>
      </c>
      <c r="BY15" s="79">
        <v>1.9999999999999999E-39</v>
      </c>
      <c r="BZ15" s="75">
        <v>59.2</v>
      </c>
      <c r="CA15" s="75" t="s">
        <v>2883</v>
      </c>
      <c r="CB15" s="75" t="s">
        <v>2863</v>
      </c>
      <c r="CC15" s="75" t="s">
        <v>2864</v>
      </c>
      <c r="CD15" s="75" t="s">
        <v>2785</v>
      </c>
      <c r="CE15" s="75" t="s">
        <v>2884</v>
      </c>
      <c r="CF15" s="75">
        <f>HYPERLINK(".\links\cluster-b\Ixsc-cement-202225-50SimCLU1.txt", 1)</f>
        <v>1</v>
      </c>
      <c r="CG15" s="75">
        <f>HYPERLINK(".\links\cluster-b\Ixsc-cement-202225-50SimCLTL1.txt", 20)</f>
        <v>20</v>
      </c>
      <c r="CH15" s="75">
        <f>HYPERLINK(".\links\cluster-b\Ixsc-cement-202230-50SimCLU1.txt", 1)</f>
        <v>1</v>
      </c>
      <c r="CI15" s="75">
        <f>HYPERLINK(".\links\cluster-b\Ixsc-cement-202230-50SimCLTL1.txt", 14)</f>
        <v>14</v>
      </c>
      <c r="CJ15" s="75">
        <f>HYPERLINK(".\links\cluster-b\Ixsc-cement-202235-50SimCLU1.txt", 1)</f>
        <v>1</v>
      </c>
      <c r="CK15" s="75">
        <f>HYPERLINK(".\links\cluster-b\Ixsc-cement-202235-50SimCLTL1.txt", 14)</f>
        <v>14</v>
      </c>
      <c r="CL15" s="75">
        <f>HYPERLINK(".\links\cluster-b\Ixsc-cement-202240-50SimCLU3.txt", 3)</f>
        <v>3</v>
      </c>
      <c r="CM15" s="75">
        <f>HYPERLINK(".\links\cluster-b\Ixsc-cement-202240-50SimCLTL3.txt", 6)</f>
        <v>6</v>
      </c>
      <c r="CN15" s="75">
        <f>HYPERLINK(".\links\cluster-b\Ixsc-cement-202245-50SimCLU3.txt", 3)</f>
        <v>3</v>
      </c>
      <c r="CO15" s="75">
        <f>HYPERLINK(".\links\cluster-b\Ixsc-cement-202245-50SimCLTL3.txt", 5)</f>
        <v>5</v>
      </c>
      <c r="CP15" s="75">
        <f>HYPERLINK(".\links\cluster-b\Ixsc-cement-202250-50SimCLU3.txt", 3)</f>
        <v>3</v>
      </c>
      <c r="CQ15" s="75">
        <f>HYPERLINK(".\links\cluster-b\Ixsc-cement-202250-50SimCLTL3.txt", 5)</f>
        <v>5</v>
      </c>
      <c r="CR15" s="75">
        <f>HYPERLINK(".\links\cluster-b\Ixsc-cement-202255-50SimCLU3.txt", 3)</f>
        <v>3</v>
      </c>
      <c r="CS15" s="75">
        <f>HYPERLINK(".\links\cluster-b\Ixsc-cement-202255-50SimCLTL3.txt", 5)</f>
        <v>5</v>
      </c>
      <c r="CT15" s="75">
        <f>HYPERLINK(".\links\cluster-b\Ixsc-cement-202260-50SimCLU3.txt", 3)</f>
        <v>3</v>
      </c>
      <c r="CU15" s="75">
        <f>HYPERLINK(".\links\cluster-b\Ixsc-cement-202260-50SimCLTL3.txt", 5)</f>
        <v>5</v>
      </c>
      <c r="CV15" s="75">
        <f>HYPERLINK(".\links\cluster-b\Ixsc-cement-202265-50SimCLU3.txt", 3)</f>
        <v>3</v>
      </c>
      <c r="CW15" s="75">
        <f>HYPERLINK(".\links\cluster-b\Ixsc-cement-202265-50SimCLTL3.txt", 5)</f>
        <v>5</v>
      </c>
      <c r="CX15" s="75">
        <f>HYPERLINK(".\links\cluster-b\Ixsc-cement-202270-50SimCLU2.txt", 2)</f>
        <v>2</v>
      </c>
      <c r="CY15" s="75">
        <f>HYPERLINK(".\links\cluster-b\Ixsc-cement-202270-50SimCLTL2.txt", 5)</f>
        <v>5</v>
      </c>
      <c r="CZ15" s="75">
        <f>HYPERLINK(".\links\cluster-b\Ixsc-cement-202275-50SimCLU1.txt", 1)</f>
        <v>1</v>
      </c>
      <c r="DA15" s="75">
        <f>HYPERLINK(".\links\cluster-b\Ixsc-cement-202275-50SimCLTL1.txt", 5)</f>
        <v>5</v>
      </c>
      <c r="DB15" s="75">
        <f>HYPERLINK(".\links\cluster-b\Ixsc-cement-202280-50SimCLU1.txt", 1)</f>
        <v>1</v>
      </c>
      <c r="DC15" s="75">
        <f>HYPERLINK(".\links\cluster-b\Ixsc-cement-202280-50SimCLTL1.txt", 4)</f>
        <v>4</v>
      </c>
      <c r="DD15" s="75">
        <v>67</v>
      </c>
      <c r="DE15" s="75">
        <v>1</v>
      </c>
      <c r="DF15" s="75">
        <v>68</v>
      </c>
      <c r="DG15" s="75">
        <v>1</v>
      </c>
      <c r="DH15" s="75">
        <v>69</v>
      </c>
      <c r="DI15" s="75">
        <v>1</v>
      </c>
      <c r="DJ15" s="75" t="s">
        <v>218</v>
      </c>
      <c r="DK15" s="75" t="str">
        <f>HYPERLINK(".\links\AAM-CEMENT-2018\EEC09165.1-AAM-CEMENT-2018.txt","Extracted CDS")</f>
        <v>Extracted CDS</v>
      </c>
      <c r="DL15" s="75" t="str">
        <f>HYPERLINK("http://www.ncbi.nlm.nih.gov/sutils/blink.cgi?pid=Aam-177863","1.1")</f>
        <v>1.1</v>
      </c>
      <c r="DM15" s="75" t="str">
        <f>HYPERLINK("http://www.ncbi.nlm.nih.gov/protein/Aam-177863","Aam-177863")</f>
        <v>Aam-177863</v>
      </c>
      <c r="DN15" s="75">
        <v>21.6</v>
      </c>
      <c r="DO15" s="75">
        <v>35</v>
      </c>
      <c r="DP15" s="75">
        <v>273</v>
      </c>
      <c r="DQ15" s="75">
        <v>37</v>
      </c>
      <c r="DR15" s="75">
        <v>48</v>
      </c>
      <c r="DS15" s="75">
        <v>13</v>
      </c>
      <c r="DT15" s="75">
        <v>22</v>
      </c>
      <c r="DU15" s="75">
        <v>5</v>
      </c>
      <c r="DV15" s="75">
        <v>69</v>
      </c>
      <c r="DW15" s="75">
        <v>83</v>
      </c>
      <c r="DX15" s="75">
        <v>1</v>
      </c>
      <c r="DY15" s="75" t="s">
        <v>2775</v>
      </c>
      <c r="DZ15" s="75" t="str">
        <f>HYPERLINK(".\links\CDD\EEC09165.1-CDD.txt","Chitin_bind_4 Insect cuticle protein")</f>
        <v>Chitin_bind_4 Insect cuticle protein</v>
      </c>
      <c r="EA15" s="79">
        <v>1.9999999999999999E-11</v>
      </c>
      <c r="EB15" s="75">
        <v>103.8</v>
      </c>
      <c r="EC15" s="75" t="s">
        <v>2858</v>
      </c>
      <c r="ED15" s="75" t="s">
        <v>2880</v>
      </c>
      <c r="EE15" s="75" t="str">
        <f>HYPERLINK(".\links\KOG\EEC09165.1-KOG.txt","CDD:226571 COG4086, COG4086, Predicted secreted protein")</f>
        <v>CDD:226571 COG4086, COG4086, Predicted secreted protein</v>
      </c>
      <c r="EF15" s="75">
        <v>6.6000000000000003E-2</v>
      </c>
      <c r="EG15" s="75">
        <v>27.1</v>
      </c>
      <c r="EH15" s="75" t="s">
        <v>2881</v>
      </c>
      <c r="EI15" s="75" t="s">
        <v>2779</v>
      </c>
      <c r="EJ15" s="75" t="str">
        <f>HYPERLINK(".\links\PFAM\EEC09165.1-PFAM.txt","Chitin_bind_4 Insect cuticle protein")</f>
        <v>Chitin_bind_4 Insect cuticle protein</v>
      </c>
      <c r="EK15" s="79">
        <v>4.9999999999999997E-12</v>
      </c>
      <c r="EL15" s="75">
        <v>103.8</v>
      </c>
      <c r="EM15" s="75" t="s">
        <v>2858</v>
      </c>
      <c r="EN15" s="75" t="s">
        <v>2772</v>
      </c>
      <c r="EO15" s="75" t="str">
        <f>HYPERLINK(".\links\SMART\EEC09165.1-SMART.txt","CDD:214774 smart00682, G2F, G2 nidogen domain and fibulin")</f>
        <v>CDD:214774 smart00682, G2F, G2 nidogen domain and fibulin</v>
      </c>
      <c r="EP15" s="75">
        <v>2</v>
      </c>
      <c r="EQ15" s="75">
        <v>17.2</v>
      </c>
      <c r="ER15" s="75" t="s">
        <v>2882</v>
      </c>
      <c r="ES15" s="75" t="s">
        <v>2772</v>
      </c>
      <c r="ET15" s="75" t="str">
        <f>HYPERLINK(".\links\TSF\EEC09165.1-TSF.txt","55-383 55-383, GRP|Chitin binding|S|")</f>
        <v>55-383 55-383, GRP|Chitin binding|S|</v>
      </c>
      <c r="EU15" s="79">
        <v>1.9999999999999999E-39</v>
      </c>
      <c r="EV15" s="75">
        <v>59.2</v>
      </c>
      <c r="EW15" s="75" t="s">
        <v>2883</v>
      </c>
      <c r="EX15" s="75" t="s">
        <v>2863</v>
      </c>
      <c r="EY15" s="75" t="s">
        <v>2864</v>
      </c>
      <c r="EZ15" s="75" t="s">
        <v>2785</v>
      </c>
      <c r="FA15" s="75" t="s">
        <v>2884</v>
      </c>
    </row>
    <row r="16" spans="1:157" x14ac:dyDescent="0.2">
      <c r="A16" s="75" t="str">
        <f>HYPERLINK(".\links\PEP\EEC04043.1-PEP.txt","EEC04043.1")</f>
        <v>EEC04043.1</v>
      </c>
      <c r="B16" s="75" t="s">
        <v>2768</v>
      </c>
      <c r="C16" s="75">
        <v>159</v>
      </c>
      <c r="D16" s="75" t="s">
        <v>2875</v>
      </c>
      <c r="E16" s="76" t="s">
        <v>2846</v>
      </c>
      <c r="F16" s="75" t="s">
        <v>2771</v>
      </c>
      <c r="G16" s="75" t="str">
        <f>HYPERLINK(".\links\Sigp\EEC04043.1-SigP.txt","CYT")</f>
        <v>CYT</v>
      </c>
      <c r="H16" s="75" t="s">
        <v>2772</v>
      </c>
      <c r="I16" s="75">
        <v>16.824999999999999</v>
      </c>
      <c r="J16" s="75">
        <v>4.33</v>
      </c>
      <c r="K16" s="75" t="s">
        <v>2772</v>
      </c>
      <c r="L16" s="75" t="s">
        <v>2772</v>
      </c>
      <c r="M16" s="75" t="str">
        <f>HYPERLINK(".\links\netoglyc\EEC04043.1-netoglyc.txt","12")</f>
        <v>12</v>
      </c>
      <c r="N16" s="75" t="s">
        <v>2817</v>
      </c>
      <c r="O16" s="75">
        <v>159</v>
      </c>
      <c r="P16" s="75">
        <v>0</v>
      </c>
      <c r="Q16" s="75" t="s">
        <v>2772</v>
      </c>
      <c r="R16" s="75" t="s">
        <v>2772</v>
      </c>
      <c r="S16" s="75" t="s">
        <v>2772</v>
      </c>
      <c r="T16" s="75" t="s">
        <v>2772</v>
      </c>
      <c r="U16" s="75" t="s">
        <v>2772</v>
      </c>
      <c r="V16" s="75" t="s">
        <v>2772</v>
      </c>
      <c r="W16" s="75">
        <v>16</v>
      </c>
      <c r="X16" s="75">
        <v>9.1999999999999993</v>
      </c>
      <c r="Y16" s="75">
        <v>8.6</v>
      </c>
      <c r="Z16" s="75" t="s">
        <v>2774</v>
      </c>
      <c r="AA16" s="77">
        <v>18.238993710691801</v>
      </c>
      <c r="AB16" s="75">
        <v>0.48</v>
      </c>
      <c r="AD16" s="75">
        <v>0</v>
      </c>
      <c r="AE16" s="75" t="str">
        <f>HYPERLINK(".\links\pep\EEC04043.1-sulf.txt","3")</f>
        <v>3</v>
      </c>
      <c r="AF16" s="75" t="str">
        <f>HYPERLINK(".\links\pep\EEC04043.1-tyr-sulf.txt","Fasta with y")</f>
        <v>Fasta with y</v>
      </c>
      <c r="AG16" s="75" t="s">
        <v>2772</v>
      </c>
      <c r="AH16" s="75" t="s">
        <v>2772</v>
      </c>
      <c r="AI16" s="75">
        <v>1</v>
      </c>
      <c r="AJ16" s="75">
        <v>2</v>
      </c>
      <c r="AK16" s="75" t="s">
        <v>2772</v>
      </c>
      <c r="AL16" s="75" t="s">
        <v>2772</v>
      </c>
      <c r="AM16" s="75" t="s">
        <v>2772</v>
      </c>
      <c r="AN16" s="75" t="s">
        <v>2772</v>
      </c>
      <c r="AO16" s="78" t="str">
        <f>HYPERLINK(".\links\AAM-CEMENT-2018\EEC04043.1-AAM-CEMENT-2018.txt","Extracted CDS")</f>
        <v>Extracted CDS</v>
      </c>
      <c r="AP16" s="75" t="str">
        <f>HYPERLINK("http://www.ncbi.nlm.nih.gov/sutils/blink.cgi?pid=Aam-18230","10")</f>
        <v>10</v>
      </c>
      <c r="AQ16" s="75" t="str">
        <f>HYPERLINK("http://www.ncbi.nlm.nih.gov/protein/Aam-18230","Aam-18230")</f>
        <v>Aam-18230</v>
      </c>
      <c r="AR16" s="75">
        <v>19.2</v>
      </c>
      <c r="AS16" s="75">
        <v>25</v>
      </c>
      <c r="AT16" s="75">
        <v>199</v>
      </c>
      <c r="AU16" s="75">
        <v>36</v>
      </c>
      <c r="AV16" s="75">
        <v>56</v>
      </c>
      <c r="AW16" s="75">
        <v>13</v>
      </c>
      <c r="AX16" s="75">
        <v>16</v>
      </c>
      <c r="AY16" s="75">
        <v>1</v>
      </c>
      <c r="AZ16" s="75">
        <v>136</v>
      </c>
      <c r="BA16" s="75">
        <v>2</v>
      </c>
      <c r="BB16" s="75">
        <v>1</v>
      </c>
      <c r="BC16" s="75" t="s">
        <v>2775</v>
      </c>
      <c r="BD16" s="78" t="str">
        <f>HYPERLINK(".\links\CDD\EEC04043.1-CDD.txt","Chitin_bind_4 Insect cuticle protein")</f>
        <v>Chitin_bind_4 Insect cuticle protein</v>
      </c>
      <c r="BE16" s="79">
        <v>2.0000000000000001E-13</v>
      </c>
      <c r="BF16" s="75">
        <v>100</v>
      </c>
      <c r="BG16" s="75" t="s">
        <v>2858</v>
      </c>
      <c r="BH16" s="75" t="s">
        <v>2885</v>
      </c>
      <c r="BI16" s="75" t="str">
        <f>HYPERLINK(".\links\KOG\EEC04043.1-KOG.txt","CDD:225787 COG3248, Tsx, Nucleoside-binding outer membrane protein")</f>
        <v>CDD:225787 COG3248, Tsx, Nucleoside-binding outer membrane protein</v>
      </c>
      <c r="BJ16" s="75">
        <v>0.77</v>
      </c>
      <c r="BK16" s="75">
        <v>24.3</v>
      </c>
      <c r="BL16" s="75" t="s">
        <v>2886</v>
      </c>
      <c r="BM16" s="75" t="s">
        <v>2779</v>
      </c>
      <c r="BN16" s="78" t="str">
        <f>HYPERLINK(".\links\PFAM\EEC04043.1-PFAM.txt","Chitin_bind_4 Insect cuticle protein")</f>
        <v>Chitin_bind_4 Insect cuticle protein</v>
      </c>
      <c r="BO16" s="79">
        <v>5.0000000000000002E-14</v>
      </c>
      <c r="BP16" s="75">
        <v>100</v>
      </c>
      <c r="BQ16" s="75" t="s">
        <v>2858</v>
      </c>
      <c r="BR16" s="75" t="s">
        <v>2772</v>
      </c>
      <c r="BS16" s="78" t="str">
        <f>HYPERLINK(".\links\SMART\EEC04043.1-SMART.txt","CDD:214751 smart00634, BID_1, Bacterial Ig-like domain")</f>
        <v>CDD:214751 smart00634, BID_1, Bacterial Ig-like domain</v>
      </c>
      <c r="BT16" s="75">
        <v>0.28999999999999998</v>
      </c>
      <c r="BU16" s="75">
        <v>43.5</v>
      </c>
      <c r="BV16" s="75" t="s">
        <v>2887</v>
      </c>
      <c r="BW16" s="75" t="s">
        <v>2772</v>
      </c>
      <c r="BX16" s="78" t="str">
        <f>HYPERLINK(".\links\TSF\EEC04043.1-TSF.txt","35-48 35-48, GRP|Chitin binding|S|")</f>
        <v>35-48 35-48, GRP|Chitin binding|S|</v>
      </c>
      <c r="BY16" s="79">
        <v>8.0000000000000004E-33</v>
      </c>
      <c r="BZ16" s="75">
        <v>47.3</v>
      </c>
      <c r="CA16" s="75" t="s">
        <v>2862</v>
      </c>
      <c r="CB16" s="75" t="s">
        <v>2863</v>
      </c>
      <c r="CC16" s="75" t="s">
        <v>2864</v>
      </c>
      <c r="CD16" s="75" t="s">
        <v>2785</v>
      </c>
      <c r="CE16" s="75" t="s">
        <v>2865</v>
      </c>
      <c r="CF16" s="75">
        <f>HYPERLINK(".\links\cluster-b\Ixsc-cement-202225-50SimCLU1.txt", 1)</f>
        <v>1</v>
      </c>
      <c r="CG16" s="75">
        <f>HYPERLINK(".\links\cluster-b\Ixsc-cement-202225-50SimCLTL1.txt", 20)</f>
        <v>20</v>
      </c>
      <c r="CH16" s="75">
        <f>HYPERLINK(".\links\cluster-b\Ixsc-cement-202230-50SimCLU1.txt", 1)</f>
        <v>1</v>
      </c>
      <c r="CI16" s="75">
        <f>HYPERLINK(".\links\cluster-b\Ixsc-cement-202230-50SimCLTL1.txt", 14)</f>
        <v>14</v>
      </c>
      <c r="CJ16" s="75">
        <f>HYPERLINK(".\links\cluster-b\Ixsc-cement-202235-50SimCLU1.txt", 1)</f>
        <v>1</v>
      </c>
      <c r="CK16" s="75">
        <f>HYPERLINK(".\links\cluster-b\Ixsc-cement-202235-50SimCLTL1.txt", 14)</f>
        <v>14</v>
      </c>
      <c r="CL16" s="75">
        <f>HYPERLINK(".\links\cluster-b\Ixsc-cement-202240-50SimCLU7.txt", 7)</f>
        <v>7</v>
      </c>
      <c r="CM16" s="75">
        <f>HYPERLINK(".\links\cluster-b\Ixsc-cement-202240-50SimCLTL7.txt", 4)</f>
        <v>4</v>
      </c>
      <c r="CN16" s="75">
        <v>35</v>
      </c>
      <c r="CO16" s="75">
        <v>1</v>
      </c>
      <c r="CP16" s="75">
        <v>36</v>
      </c>
      <c r="CQ16" s="75">
        <v>1</v>
      </c>
      <c r="CR16" s="75">
        <v>37</v>
      </c>
      <c r="CS16" s="75">
        <v>1</v>
      </c>
      <c r="CT16" s="75">
        <v>40</v>
      </c>
      <c r="CU16" s="75">
        <v>1</v>
      </c>
      <c r="CV16" s="75">
        <v>42</v>
      </c>
      <c r="CW16" s="75">
        <v>1</v>
      </c>
      <c r="CX16" s="75">
        <v>44</v>
      </c>
      <c r="CY16" s="75">
        <v>1</v>
      </c>
      <c r="CZ16" s="75">
        <v>45</v>
      </c>
      <c r="DA16" s="75">
        <v>1</v>
      </c>
      <c r="DB16" s="75">
        <v>45</v>
      </c>
      <c r="DC16" s="75">
        <v>1</v>
      </c>
      <c r="DD16" s="75">
        <v>46</v>
      </c>
      <c r="DE16" s="75">
        <v>1</v>
      </c>
      <c r="DF16" s="75">
        <v>45</v>
      </c>
      <c r="DG16" s="75">
        <v>1</v>
      </c>
      <c r="DH16" s="75">
        <v>46</v>
      </c>
      <c r="DI16" s="75">
        <v>1</v>
      </c>
      <c r="DJ16" s="75" t="s">
        <v>213</v>
      </c>
      <c r="DK16" s="75" t="str">
        <f>HYPERLINK(".\links\AAM-CEMENT-2018\EEC04043.1-AAM-CEMENT-2018.txt","Extracted CDS")</f>
        <v>Extracted CDS</v>
      </c>
      <c r="DL16" s="75" t="str">
        <f>HYPERLINK("http://www.ncbi.nlm.nih.gov/sutils/blink.cgi?pid=Aam-18230","10")</f>
        <v>10</v>
      </c>
      <c r="DM16" s="75" t="str">
        <f>HYPERLINK("http://www.ncbi.nlm.nih.gov/protein/Aam-18230","Aam-18230")</f>
        <v>Aam-18230</v>
      </c>
      <c r="DN16" s="75">
        <v>19.2</v>
      </c>
      <c r="DO16" s="75">
        <v>25</v>
      </c>
      <c r="DP16" s="75">
        <v>199</v>
      </c>
      <c r="DQ16" s="75">
        <v>36</v>
      </c>
      <c r="DR16" s="75">
        <v>56</v>
      </c>
      <c r="DS16" s="75">
        <v>13</v>
      </c>
      <c r="DT16" s="75">
        <v>16</v>
      </c>
      <c r="DU16" s="75">
        <v>1</v>
      </c>
      <c r="DV16" s="75">
        <v>136</v>
      </c>
      <c r="DW16" s="75">
        <v>2</v>
      </c>
      <c r="DX16" s="75">
        <v>1</v>
      </c>
      <c r="DY16" s="75" t="s">
        <v>2775</v>
      </c>
      <c r="DZ16" s="75" t="str">
        <f>HYPERLINK(".\links\CDD\EEC04043.1-CDD.txt","Chitin_bind_4 Insect cuticle protein")</f>
        <v>Chitin_bind_4 Insect cuticle protein</v>
      </c>
      <c r="EA16" s="79">
        <v>2.0000000000000001E-13</v>
      </c>
      <c r="EB16" s="75">
        <v>100</v>
      </c>
      <c r="EC16" s="75" t="s">
        <v>2858</v>
      </c>
      <c r="ED16" s="75" t="s">
        <v>2885</v>
      </c>
      <c r="EE16" s="75" t="str">
        <f>HYPERLINK(".\links\KOG\EEC04043.1-KOG.txt","CDD:225787 COG3248, Tsx, Nucleoside-binding outer membrane protein")</f>
        <v>CDD:225787 COG3248, Tsx, Nucleoside-binding outer membrane protein</v>
      </c>
      <c r="EF16" s="75">
        <v>0.77</v>
      </c>
      <c r="EG16" s="75">
        <v>24.3</v>
      </c>
      <c r="EH16" s="75" t="s">
        <v>2886</v>
      </c>
      <c r="EI16" s="75" t="s">
        <v>2779</v>
      </c>
      <c r="EJ16" s="75" t="str">
        <f>HYPERLINK(".\links\PFAM\EEC04043.1-PFAM.txt","Chitin_bind_4 Insect cuticle protein")</f>
        <v>Chitin_bind_4 Insect cuticle protein</v>
      </c>
      <c r="EK16" s="79">
        <v>5.0000000000000002E-14</v>
      </c>
      <c r="EL16" s="75">
        <v>100</v>
      </c>
      <c r="EM16" s="75" t="s">
        <v>2858</v>
      </c>
      <c r="EN16" s="75" t="s">
        <v>2772</v>
      </c>
      <c r="EO16" s="75" t="str">
        <f>HYPERLINK(".\links\SMART\EEC04043.1-SMART.txt","CDD:214751 smart00634, BID_1, Bacterial Ig-like domain")</f>
        <v>CDD:214751 smart00634, BID_1, Bacterial Ig-like domain</v>
      </c>
      <c r="EP16" s="75">
        <v>0.28999999999999998</v>
      </c>
      <c r="EQ16" s="75">
        <v>43.5</v>
      </c>
      <c r="ER16" s="75" t="s">
        <v>2887</v>
      </c>
      <c r="ES16" s="75" t="s">
        <v>2772</v>
      </c>
      <c r="ET16" s="75" t="str">
        <f>HYPERLINK(".\links\TSF\EEC04043.1-TSF.txt","35-48 35-48, GRP|Chitin binding|S|")</f>
        <v>35-48 35-48, GRP|Chitin binding|S|</v>
      </c>
      <c r="EU16" s="79">
        <v>8.0000000000000004E-33</v>
      </c>
      <c r="EV16" s="75">
        <v>47.3</v>
      </c>
      <c r="EW16" s="75" t="s">
        <v>2862</v>
      </c>
      <c r="EX16" s="75" t="s">
        <v>2863</v>
      </c>
      <c r="EY16" s="75" t="s">
        <v>2864</v>
      </c>
      <c r="EZ16" s="75" t="s">
        <v>2785</v>
      </c>
      <c r="FA16" s="75" t="s">
        <v>2865</v>
      </c>
    </row>
    <row r="17" spans="1:157" x14ac:dyDescent="0.2">
      <c r="A17" s="75" t="str">
        <f>HYPERLINK(".\links\PEP\EEC04044.1-PEP.txt","EEC04044.1")</f>
        <v>EEC04044.1</v>
      </c>
      <c r="B17" s="75" t="s">
        <v>2768</v>
      </c>
      <c r="C17" s="75">
        <v>194</v>
      </c>
      <c r="D17" s="75" t="s">
        <v>2888</v>
      </c>
      <c r="E17" s="76" t="s">
        <v>2846</v>
      </c>
      <c r="F17" s="75" t="s">
        <v>2771</v>
      </c>
      <c r="G17" s="75" t="str">
        <f>HYPERLINK(".\links\Sigp\EEC04044.1-SigP.txt","SIG")</f>
        <v>SIG</v>
      </c>
      <c r="H17" s="75" t="s">
        <v>2799</v>
      </c>
      <c r="I17" s="75">
        <v>20.378</v>
      </c>
      <c r="J17" s="75">
        <v>5.25</v>
      </c>
      <c r="K17" s="75">
        <v>18.77</v>
      </c>
      <c r="L17" s="75">
        <v>5.09</v>
      </c>
      <c r="M17" s="75" t="str">
        <f>HYPERLINK(".\links\netoglyc\EEC04044.1-netoglyc.txt","1")</f>
        <v>1</v>
      </c>
      <c r="N17" s="75" t="s">
        <v>2817</v>
      </c>
      <c r="O17" s="75">
        <v>194</v>
      </c>
      <c r="P17" s="75">
        <v>0</v>
      </c>
      <c r="Q17" s="75" t="s">
        <v>2772</v>
      </c>
      <c r="R17" s="75" t="s">
        <v>2772</v>
      </c>
      <c r="S17" s="75" t="s">
        <v>2772</v>
      </c>
      <c r="T17" s="75" t="s">
        <v>2772</v>
      </c>
      <c r="U17" s="75" t="s">
        <v>2772</v>
      </c>
      <c r="V17" s="75" t="s">
        <v>2772</v>
      </c>
      <c r="W17" s="75">
        <v>13.6</v>
      </c>
      <c r="X17" s="75">
        <v>12.6</v>
      </c>
      <c r="Y17" s="75">
        <v>5.6</v>
      </c>
      <c r="Z17" s="75" t="s">
        <v>2774</v>
      </c>
      <c r="AA17" s="77">
        <v>18.556701030927801</v>
      </c>
      <c r="AB17" s="75">
        <v>0.35</v>
      </c>
      <c r="AD17" s="75">
        <v>0</v>
      </c>
      <c r="AE17" s="75" t="s">
        <v>2772</v>
      </c>
      <c r="AF17" s="75" t="s">
        <v>2772</v>
      </c>
      <c r="AG17" s="75" t="s">
        <v>2772</v>
      </c>
      <c r="AH17" s="75">
        <v>1</v>
      </c>
      <c r="AI17" s="75">
        <v>1</v>
      </c>
      <c r="AJ17" s="75">
        <v>3</v>
      </c>
      <c r="AK17" s="75" t="s">
        <v>2772</v>
      </c>
      <c r="AL17" s="75" t="s">
        <v>2772</v>
      </c>
      <c r="AM17" s="75" t="s">
        <v>2772</v>
      </c>
      <c r="AN17" s="75" t="s">
        <v>2772</v>
      </c>
      <c r="AO17" s="78" t="str">
        <f>HYPERLINK(".\links\AAM-CEMENT-2018\EEC04044.1-AAM-CEMENT-2018.txt","Extracted CDS")</f>
        <v>Extracted CDS</v>
      </c>
      <c r="AP17" s="75" t="str">
        <f>HYPERLINK("http://www.ncbi.nlm.nih.gov/sutils/blink.cgi?pid=Aam-175892","0.19")</f>
        <v>0.19</v>
      </c>
      <c r="AQ17" s="75" t="str">
        <f>HYPERLINK("http://www.ncbi.nlm.nih.gov/protein/Aam-175892","Aam-175892")</f>
        <v>Aam-175892</v>
      </c>
      <c r="AR17" s="75">
        <v>25</v>
      </c>
      <c r="AS17" s="75">
        <v>62</v>
      </c>
      <c r="AT17" s="75">
        <v>332</v>
      </c>
      <c r="AU17" s="75">
        <v>35</v>
      </c>
      <c r="AV17" s="75">
        <v>48</v>
      </c>
      <c r="AW17" s="75">
        <v>19</v>
      </c>
      <c r="AX17" s="75">
        <v>40</v>
      </c>
      <c r="AY17" s="75">
        <v>6</v>
      </c>
      <c r="AZ17" s="75">
        <v>132</v>
      </c>
      <c r="BA17" s="75">
        <v>25</v>
      </c>
      <c r="BB17" s="75">
        <v>1</v>
      </c>
      <c r="BC17" s="75" t="s">
        <v>2775</v>
      </c>
      <c r="BD17" s="78" t="str">
        <f>HYPERLINK(".\links\CDD\EEC04044.1-CDD.txt","Chitin_bind_4 Insect cuticle protein")</f>
        <v>Chitin_bind_4 Insect cuticle protein</v>
      </c>
      <c r="BE17" s="79">
        <v>5.9999999999999997E-13</v>
      </c>
      <c r="BF17" s="75">
        <v>100</v>
      </c>
      <c r="BG17" s="75" t="s">
        <v>2858</v>
      </c>
      <c r="BH17" s="75" t="s">
        <v>2889</v>
      </c>
      <c r="BI17" s="75" t="str">
        <f>HYPERLINK(".\links\KOG\EEC04044.1-KOG.txt","CDD:225771 COG3231, Aph, Aminoglycoside phosphotransferase")</f>
        <v>CDD:225771 COG3231, Aph, Aminoglycoside phosphotransferase</v>
      </c>
      <c r="BJ17" s="75">
        <v>0.48</v>
      </c>
      <c r="BK17" s="75">
        <v>22.6</v>
      </c>
      <c r="BL17" s="75" t="s">
        <v>2890</v>
      </c>
      <c r="BM17" s="75" t="s">
        <v>2779</v>
      </c>
      <c r="BN17" s="78" t="str">
        <f>HYPERLINK(".\links\PFAM\EEC04044.1-PFAM.txt","Chitin_bind_4 Insect cuticle protein")</f>
        <v>Chitin_bind_4 Insect cuticle protein</v>
      </c>
      <c r="BO17" s="79">
        <v>1E-13</v>
      </c>
      <c r="BP17" s="75">
        <v>100</v>
      </c>
      <c r="BQ17" s="75" t="s">
        <v>2858</v>
      </c>
      <c r="BR17" s="75" t="s">
        <v>2772</v>
      </c>
      <c r="BS17" s="78" t="str">
        <f>HYPERLINK(".\links\SMART\EEC04044.1-SMART.txt","CDD:214504 smart00072, GuKc, Guanylate kinase homologues")</f>
        <v>CDD:214504 smart00072, GuKc, Guanylate kinase homologues</v>
      </c>
      <c r="BT17" s="75">
        <v>1.7</v>
      </c>
      <c r="BU17" s="75">
        <v>15.5</v>
      </c>
      <c r="BV17" s="75" t="s">
        <v>2891</v>
      </c>
      <c r="BW17" s="75" t="s">
        <v>2772</v>
      </c>
      <c r="BX17" s="78" t="str">
        <f>HYPERLINK(".\links\TSF\EEC04044.1-TSF.txt","35-48 35-48, GRP|Chitin binding|S|")</f>
        <v>35-48 35-48, GRP|Chitin binding|S|</v>
      </c>
      <c r="BY17" s="79">
        <v>9.9999999999999994E-37</v>
      </c>
      <c r="BZ17" s="75">
        <v>70.900000000000006</v>
      </c>
      <c r="CA17" s="75" t="s">
        <v>2862</v>
      </c>
      <c r="CB17" s="75" t="s">
        <v>2863</v>
      </c>
      <c r="CC17" s="75" t="s">
        <v>2864</v>
      </c>
      <c r="CD17" s="75" t="s">
        <v>2785</v>
      </c>
      <c r="CE17" s="75" t="s">
        <v>2865</v>
      </c>
      <c r="CF17" s="75">
        <f>HYPERLINK(".\links\cluster-b\Ixsc-cement-202225-50SimCLU1.txt", 1)</f>
        <v>1</v>
      </c>
      <c r="CG17" s="75">
        <f>HYPERLINK(".\links\cluster-b\Ixsc-cement-202225-50SimCLTL1.txt", 20)</f>
        <v>20</v>
      </c>
      <c r="CH17" s="75">
        <f>HYPERLINK(".\links\cluster-b\Ixsc-cement-202230-50SimCLU1.txt", 1)</f>
        <v>1</v>
      </c>
      <c r="CI17" s="75">
        <f>HYPERLINK(".\links\cluster-b\Ixsc-cement-202230-50SimCLTL1.txt", 14)</f>
        <v>14</v>
      </c>
      <c r="CJ17" s="75">
        <f>HYPERLINK(".\links\cluster-b\Ixsc-cement-202235-50SimCLU1.txt", 1)</f>
        <v>1</v>
      </c>
      <c r="CK17" s="75">
        <f>HYPERLINK(".\links\cluster-b\Ixsc-cement-202235-50SimCLTL1.txt", 14)</f>
        <v>14</v>
      </c>
      <c r="CL17" s="75">
        <v>36</v>
      </c>
      <c r="CM17" s="75">
        <v>1</v>
      </c>
      <c r="CN17" s="75">
        <v>36</v>
      </c>
      <c r="CO17" s="75">
        <v>1</v>
      </c>
      <c r="CP17" s="75">
        <v>37</v>
      </c>
      <c r="CQ17" s="75">
        <v>1</v>
      </c>
      <c r="CR17" s="75">
        <v>38</v>
      </c>
      <c r="CS17" s="75">
        <v>1</v>
      </c>
      <c r="CT17" s="75">
        <v>41</v>
      </c>
      <c r="CU17" s="75">
        <v>1</v>
      </c>
      <c r="CV17" s="75">
        <v>43</v>
      </c>
      <c r="CW17" s="75">
        <v>1</v>
      </c>
      <c r="CX17" s="75">
        <v>45</v>
      </c>
      <c r="CY17" s="75">
        <v>1</v>
      </c>
      <c r="CZ17" s="75">
        <v>46</v>
      </c>
      <c r="DA17" s="75">
        <v>1</v>
      </c>
      <c r="DB17" s="75">
        <v>46</v>
      </c>
      <c r="DC17" s="75">
        <v>1</v>
      </c>
      <c r="DD17" s="75">
        <v>47</v>
      </c>
      <c r="DE17" s="75">
        <v>1</v>
      </c>
      <c r="DF17" s="75">
        <v>46</v>
      </c>
      <c r="DG17" s="75">
        <v>1</v>
      </c>
      <c r="DH17" s="75">
        <v>47</v>
      </c>
      <c r="DI17" s="75">
        <v>1</v>
      </c>
      <c r="DJ17" s="75" t="s">
        <v>214</v>
      </c>
      <c r="DK17" s="75" t="str">
        <f>HYPERLINK(".\links\AAM-CEMENT-2018\EEC04044.1-AAM-CEMENT-2018.txt","Extracted CDS")</f>
        <v>Extracted CDS</v>
      </c>
      <c r="DL17" s="75" t="str">
        <f>HYPERLINK("http://www.ncbi.nlm.nih.gov/sutils/blink.cgi?pid=Aam-175892","0.19")</f>
        <v>0.19</v>
      </c>
      <c r="DM17" s="75" t="str">
        <f>HYPERLINK("http://www.ncbi.nlm.nih.gov/protein/Aam-175892","Aam-175892")</f>
        <v>Aam-175892</v>
      </c>
      <c r="DN17" s="75">
        <v>25</v>
      </c>
      <c r="DO17" s="75">
        <v>62</v>
      </c>
      <c r="DP17" s="75">
        <v>332</v>
      </c>
      <c r="DQ17" s="75">
        <v>35</v>
      </c>
      <c r="DR17" s="75">
        <v>48</v>
      </c>
      <c r="DS17" s="75">
        <v>19</v>
      </c>
      <c r="DT17" s="75">
        <v>40</v>
      </c>
      <c r="DU17" s="75">
        <v>6</v>
      </c>
      <c r="DV17" s="75">
        <v>132</v>
      </c>
      <c r="DW17" s="75">
        <v>25</v>
      </c>
      <c r="DX17" s="75">
        <v>1</v>
      </c>
      <c r="DY17" s="75" t="s">
        <v>2775</v>
      </c>
      <c r="DZ17" s="75" t="str">
        <f>HYPERLINK(".\links\CDD\EEC04044.1-CDD.txt","Chitin_bind_4 Insect cuticle protein")</f>
        <v>Chitin_bind_4 Insect cuticle protein</v>
      </c>
      <c r="EA17" s="79">
        <v>5.9999999999999997E-13</v>
      </c>
      <c r="EB17" s="75">
        <v>100</v>
      </c>
      <c r="EC17" s="75" t="s">
        <v>2858</v>
      </c>
      <c r="ED17" s="75" t="s">
        <v>2889</v>
      </c>
      <c r="EE17" s="75" t="str">
        <f>HYPERLINK(".\links\KOG\EEC04044.1-KOG.txt","CDD:225771 COG3231, Aph, Aminoglycoside phosphotransferase")</f>
        <v>CDD:225771 COG3231, Aph, Aminoglycoside phosphotransferase</v>
      </c>
      <c r="EF17" s="75">
        <v>0.48</v>
      </c>
      <c r="EG17" s="75">
        <v>22.6</v>
      </c>
      <c r="EH17" s="75" t="s">
        <v>2890</v>
      </c>
      <c r="EI17" s="75" t="s">
        <v>2779</v>
      </c>
      <c r="EJ17" s="75" t="str">
        <f>HYPERLINK(".\links\PFAM\EEC04044.1-PFAM.txt","Chitin_bind_4 Insect cuticle protein")</f>
        <v>Chitin_bind_4 Insect cuticle protein</v>
      </c>
      <c r="EK17" s="79">
        <v>1E-13</v>
      </c>
      <c r="EL17" s="75">
        <v>100</v>
      </c>
      <c r="EM17" s="75" t="s">
        <v>2858</v>
      </c>
      <c r="EN17" s="75" t="s">
        <v>2772</v>
      </c>
      <c r="EO17" s="75" t="str">
        <f>HYPERLINK(".\links\SMART\EEC04044.1-SMART.txt","CDD:214504 smart00072, GuKc, Guanylate kinase homologues")</f>
        <v>CDD:214504 smart00072, GuKc, Guanylate kinase homologues</v>
      </c>
      <c r="EP17" s="75">
        <v>1.7</v>
      </c>
      <c r="EQ17" s="75">
        <v>15.5</v>
      </c>
      <c r="ER17" s="75" t="s">
        <v>2891</v>
      </c>
      <c r="ES17" s="75" t="s">
        <v>2772</v>
      </c>
      <c r="ET17" s="75" t="str">
        <f>HYPERLINK(".\links\TSF\EEC04044.1-TSF.txt","35-48 35-48, GRP|Chitin binding|S|")</f>
        <v>35-48 35-48, GRP|Chitin binding|S|</v>
      </c>
      <c r="EU17" s="79">
        <v>9.9999999999999994E-37</v>
      </c>
      <c r="EV17" s="75">
        <v>70.900000000000006</v>
      </c>
      <c r="EW17" s="75" t="s">
        <v>2862</v>
      </c>
      <c r="EX17" s="75" t="s">
        <v>2863</v>
      </c>
      <c r="EY17" s="75" t="s">
        <v>2864</v>
      </c>
      <c r="EZ17" s="75" t="s">
        <v>2785</v>
      </c>
      <c r="FA17" s="75" t="s">
        <v>2865</v>
      </c>
    </row>
    <row r="18" spans="1:157" x14ac:dyDescent="0.2">
      <c r="A18" s="75" t="str">
        <f>HYPERLINK(".\links\PEP\EEC01928.1-PEP.txt","EEC01928.1")</f>
        <v>EEC01928.1</v>
      </c>
      <c r="B18" s="75" t="s">
        <v>2768</v>
      </c>
      <c r="C18" s="75">
        <v>162</v>
      </c>
      <c r="D18" s="75" t="s">
        <v>2875</v>
      </c>
      <c r="E18" s="76" t="s">
        <v>2846</v>
      </c>
      <c r="F18" s="75" t="s">
        <v>2771</v>
      </c>
      <c r="G18" s="75" t="str">
        <f>HYPERLINK(".\links\Sigp\EEC01928.1-SigP.txt","CYT")</f>
        <v>CYT</v>
      </c>
      <c r="H18" s="75" t="s">
        <v>2772</v>
      </c>
      <c r="I18" s="75">
        <v>17.07</v>
      </c>
      <c r="J18" s="75">
        <v>7.98</v>
      </c>
      <c r="K18" s="75" t="s">
        <v>2772</v>
      </c>
      <c r="L18" s="75" t="s">
        <v>2772</v>
      </c>
      <c r="M18" s="75" t="str">
        <f>HYPERLINK(".\links\netoglyc\EEC01928.1-netoglyc.txt","2")</f>
        <v>2</v>
      </c>
      <c r="N18" s="75" t="s">
        <v>2892</v>
      </c>
      <c r="O18" s="75">
        <v>162</v>
      </c>
      <c r="P18" s="75">
        <v>0</v>
      </c>
      <c r="Q18" s="75" t="s">
        <v>2772</v>
      </c>
      <c r="R18" s="75" t="s">
        <v>2772</v>
      </c>
      <c r="S18" s="75" t="s">
        <v>2772</v>
      </c>
      <c r="T18" s="75" t="s">
        <v>2772</v>
      </c>
      <c r="U18" s="75" t="s">
        <v>2772</v>
      </c>
      <c r="V18" s="75" t="s">
        <v>2772</v>
      </c>
      <c r="W18" s="75">
        <v>9.6</v>
      </c>
      <c r="X18" s="75">
        <v>12</v>
      </c>
      <c r="Y18" s="75">
        <v>5.4</v>
      </c>
      <c r="Z18" s="75" t="s">
        <v>2774</v>
      </c>
      <c r="AA18" s="77">
        <v>17.901234567901199</v>
      </c>
      <c r="AB18" s="75">
        <v>0.62</v>
      </c>
      <c r="AC18" s="75" t="s">
        <v>2893</v>
      </c>
      <c r="AD18" s="75">
        <v>0</v>
      </c>
      <c r="AE18" s="75" t="str">
        <f>HYPERLINK(".\links\pep\EEC01928.1-sulf.txt","2")</f>
        <v>2</v>
      </c>
      <c r="AF18" s="75" t="str">
        <f>HYPERLINK(".\links\pep\EEC01928.1-tyr-sulf.txt","Fasta with y")</f>
        <v>Fasta with y</v>
      </c>
      <c r="AG18" s="75" t="s">
        <v>2772</v>
      </c>
      <c r="AH18" s="75" t="s">
        <v>2772</v>
      </c>
      <c r="AI18" s="75" t="s">
        <v>2772</v>
      </c>
      <c r="AJ18" s="75">
        <v>1</v>
      </c>
      <c r="AK18" s="75" t="s">
        <v>2772</v>
      </c>
      <c r="AL18" s="75" t="s">
        <v>2772</v>
      </c>
      <c r="AM18" s="75" t="s">
        <v>2772</v>
      </c>
      <c r="AN18" s="75" t="s">
        <v>2772</v>
      </c>
      <c r="AO18" s="78" t="str">
        <f>HYPERLINK(".\links\AAM-CEMENT-2018\EEC01928.1-AAM-CEMENT-2018.txt","Extracted CDS")</f>
        <v>Extracted CDS</v>
      </c>
      <c r="AP18" s="75" t="str">
        <f>HYPERLINK("http://www.ncbi.nlm.nih.gov/sutils/blink.cgi?pid=Aam-176270","0.003")</f>
        <v>0.003</v>
      </c>
      <c r="AQ18" s="75" t="str">
        <f>HYPERLINK("http://www.ncbi.nlm.nih.gov/protein/Aam-176270","Aam-176270")</f>
        <v>Aam-176270</v>
      </c>
      <c r="AR18" s="75">
        <v>29.6</v>
      </c>
      <c r="AS18" s="75">
        <v>52</v>
      </c>
      <c r="AT18" s="75">
        <v>201</v>
      </c>
      <c r="AU18" s="75">
        <v>34</v>
      </c>
      <c r="AV18" s="75">
        <v>51</v>
      </c>
      <c r="AW18" s="75">
        <v>26</v>
      </c>
      <c r="AX18" s="75">
        <v>34</v>
      </c>
      <c r="AY18" s="75">
        <v>2</v>
      </c>
      <c r="AZ18" s="75">
        <v>125</v>
      </c>
      <c r="BA18" s="75">
        <v>82</v>
      </c>
      <c r="BB18" s="75">
        <v>1</v>
      </c>
      <c r="BC18" s="75" t="s">
        <v>2775</v>
      </c>
      <c r="BD18" s="78" t="str">
        <f>HYPERLINK(".\links\CDD\EEC01928.1-CDD.txt","Chitin_bind_4 Insect cuticle protein")</f>
        <v>Chitin_bind_4 Insect cuticle protein</v>
      </c>
      <c r="BE18" s="79">
        <v>2E-8</v>
      </c>
      <c r="BF18" s="75">
        <v>100</v>
      </c>
      <c r="BG18" s="75" t="s">
        <v>2858</v>
      </c>
      <c r="BH18" s="75" t="s">
        <v>2894</v>
      </c>
      <c r="BI18" s="75" t="str">
        <f>HYPERLINK(".\links\KOG\EEC01928.1-KOG.txt","CDD:225358 COG2768, COG2768, Uncharacterized Fe-S center protein")</f>
        <v>CDD:225358 COG2768, COG2768, Uncharacterized Fe-S center protein</v>
      </c>
      <c r="BJ18" s="75">
        <v>2.2000000000000002</v>
      </c>
      <c r="BK18" s="75">
        <v>24</v>
      </c>
      <c r="BL18" s="75" t="s">
        <v>2895</v>
      </c>
      <c r="BM18" s="75" t="s">
        <v>2779</v>
      </c>
      <c r="BN18" s="78" t="str">
        <f>HYPERLINK(".\links\PFAM\EEC01928.1-PFAM.txt","Chitin_bind_4 Insect cuticle protein")</f>
        <v>Chitin_bind_4 Insect cuticle protein</v>
      </c>
      <c r="BO18" s="79">
        <v>4.0000000000000002E-9</v>
      </c>
      <c r="BP18" s="75">
        <v>100</v>
      </c>
      <c r="BQ18" s="75" t="s">
        <v>2858</v>
      </c>
      <c r="BR18" s="75" t="s">
        <v>2772</v>
      </c>
      <c r="BS18" s="78" t="str">
        <f>HYPERLINK(".\links\SMART\EEC01928.1-SMART.txt","CDD:214527 smart00130, KR, Kringle domain")</f>
        <v>CDD:214527 smart00130, KR, Kringle domain</v>
      </c>
      <c r="BT18" s="75">
        <v>1.1000000000000001</v>
      </c>
      <c r="BU18" s="75">
        <v>21.7</v>
      </c>
      <c r="BV18" s="75" t="s">
        <v>2896</v>
      </c>
      <c r="BW18" s="75" t="s">
        <v>2772</v>
      </c>
      <c r="BX18" s="78" t="str">
        <f>HYPERLINK(".\links\TSF\EEC01928.1-TSF.txt","35-48 35-48, GRP|Chitin binding|S|")</f>
        <v>35-48 35-48, GRP|Chitin binding|S|</v>
      </c>
      <c r="BY18" s="79">
        <v>6.0000000000000001E-32</v>
      </c>
      <c r="BZ18" s="75">
        <v>49.5</v>
      </c>
      <c r="CA18" s="75" t="s">
        <v>2862</v>
      </c>
      <c r="CB18" s="75" t="s">
        <v>2863</v>
      </c>
      <c r="CC18" s="75" t="s">
        <v>2864</v>
      </c>
      <c r="CD18" s="75" t="s">
        <v>2785</v>
      </c>
      <c r="CE18" s="75" t="s">
        <v>2865</v>
      </c>
      <c r="CF18" s="75">
        <f>HYPERLINK(".\links\cluster-b\Ixsc-cement-202225-50SimCLU1.txt", 1)</f>
        <v>1</v>
      </c>
      <c r="CG18" s="75">
        <f>HYPERLINK(".\links\cluster-b\Ixsc-cement-202225-50SimCLTL1.txt", 20)</f>
        <v>20</v>
      </c>
      <c r="CH18" s="75">
        <f>HYPERLINK(".\links\cluster-b\Ixsc-cement-202230-50SimCLU1.txt", 1)</f>
        <v>1</v>
      </c>
      <c r="CI18" s="75">
        <f>HYPERLINK(".\links\cluster-b\Ixsc-cement-202230-50SimCLTL1.txt", 14)</f>
        <v>14</v>
      </c>
      <c r="CJ18" s="75">
        <f>HYPERLINK(".\links\cluster-b\Ixsc-cement-202235-50SimCLU1.txt", 1)</f>
        <v>1</v>
      </c>
      <c r="CK18" s="75">
        <f>HYPERLINK(".\links\cluster-b\Ixsc-cement-202235-50SimCLTL1.txt", 14)</f>
        <v>14</v>
      </c>
      <c r="CL18" s="75">
        <f>HYPERLINK(".\links\cluster-b\Ixsc-cement-202240-50SimCLU7.txt", 7)</f>
        <v>7</v>
      </c>
      <c r="CM18" s="75">
        <f>HYPERLINK(".\links\cluster-b\Ixsc-cement-202240-50SimCLTL7.txt", 4)</f>
        <v>4</v>
      </c>
      <c r="CN18" s="75">
        <f>HYPERLINK(".\links\cluster-b\Ixsc-cement-202245-50SimCLU10.txt", 10)</f>
        <v>10</v>
      </c>
      <c r="CO18" s="75">
        <f>HYPERLINK(".\links\cluster-b\Ixsc-cement-202245-50SimCLTL10.txt", 3)</f>
        <v>3</v>
      </c>
      <c r="CP18" s="75">
        <f>HYPERLINK(".\links\cluster-b\Ixsc-cement-202250-50SimCLU14.txt", 14)</f>
        <v>14</v>
      </c>
      <c r="CQ18" s="75">
        <f>HYPERLINK(".\links\cluster-b\Ixsc-cement-202250-50SimCLTL14.txt", 2)</f>
        <v>2</v>
      </c>
      <c r="CR18" s="75">
        <f>HYPERLINK(".\links\cluster-b\Ixsc-cement-202255-50SimCLU15.txt", 15)</f>
        <v>15</v>
      </c>
      <c r="CS18" s="75">
        <f>HYPERLINK(".\links\cluster-b\Ixsc-cement-202255-50SimCLTL15.txt", 2)</f>
        <v>2</v>
      </c>
      <c r="CT18" s="75">
        <f>HYPERLINK(".\links\cluster-b\Ixsc-cement-202260-50SimCLU16.txt", 16)</f>
        <v>16</v>
      </c>
      <c r="CU18" s="75">
        <f>HYPERLINK(".\links\cluster-b\Ixsc-cement-202260-50SimCLTL16.txt", 2)</f>
        <v>2</v>
      </c>
      <c r="CV18" s="75">
        <v>35</v>
      </c>
      <c r="CW18" s="75">
        <v>1</v>
      </c>
      <c r="CX18" s="75">
        <v>36</v>
      </c>
      <c r="CY18" s="75">
        <v>1</v>
      </c>
      <c r="CZ18" s="75">
        <v>36</v>
      </c>
      <c r="DA18" s="75">
        <v>1</v>
      </c>
      <c r="DB18" s="75">
        <v>36</v>
      </c>
      <c r="DC18" s="75">
        <v>1</v>
      </c>
      <c r="DD18" s="75">
        <v>34</v>
      </c>
      <c r="DE18" s="75">
        <v>1</v>
      </c>
      <c r="DF18" s="75">
        <v>33</v>
      </c>
      <c r="DG18" s="75">
        <v>1</v>
      </c>
      <c r="DH18" s="75">
        <v>33</v>
      </c>
      <c r="DI18" s="75">
        <v>1</v>
      </c>
      <c r="DJ18" s="75" t="s">
        <v>210</v>
      </c>
      <c r="DK18" s="75" t="str">
        <f>HYPERLINK(".\links\AAM-CEMENT-2018\EEC01928.1-AAM-CEMENT-2018.txt","Extracted CDS")</f>
        <v>Extracted CDS</v>
      </c>
      <c r="DL18" s="75" t="str">
        <f>HYPERLINK("http://www.ncbi.nlm.nih.gov/sutils/blink.cgi?pid=Aam-176270","0.003")</f>
        <v>0.003</v>
      </c>
      <c r="DM18" s="75" t="str">
        <f>HYPERLINK("http://www.ncbi.nlm.nih.gov/protein/Aam-176270","Aam-176270")</f>
        <v>Aam-176270</v>
      </c>
      <c r="DN18" s="75">
        <v>29.6</v>
      </c>
      <c r="DO18" s="75">
        <v>52</v>
      </c>
      <c r="DP18" s="75">
        <v>201</v>
      </c>
      <c r="DQ18" s="75">
        <v>34</v>
      </c>
      <c r="DR18" s="75">
        <v>51</v>
      </c>
      <c r="DS18" s="75">
        <v>26</v>
      </c>
      <c r="DT18" s="75">
        <v>34</v>
      </c>
      <c r="DU18" s="75">
        <v>2</v>
      </c>
      <c r="DV18" s="75">
        <v>125</v>
      </c>
      <c r="DW18" s="75">
        <v>82</v>
      </c>
      <c r="DX18" s="75">
        <v>1</v>
      </c>
      <c r="DY18" s="75" t="s">
        <v>2775</v>
      </c>
      <c r="DZ18" s="75" t="str">
        <f>HYPERLINK(".\links\CDD\EEC01928.1-CDD.txt","Chitin_bind_4 Insect cuticle protein")</f>
        <v>Chitin_bind_4 Insect cuticle protein</v>
      </c>
      <c r="EA18" s="79">
        <v>2E-8</v>
      </c>
      <c r="EB18" s="75">
        <v>100</v>
      </c>
      <c r="EC18" s="75" t="s">
        <v>2858</v>
      </c>
      <c r="ED18" s="75" t="s">
        <v>2894</v>
      </c>
      <c r="EE18" s="75" t="str">
        <f>HYPERLINK(".\links\KOG\EEC01928.1-KOG.txt","CDD:225358 COG2768, COG2768, Uncharacterized Fe-S center protein")</f>
        <v>CDD:225358 COG2768, COG2768, Uncharacterized Fe-S center protein</v>
      </c>
      <c r="EF18" s="75">
        <v>2.2000000000000002</v>
      </c>
      <c r="EG18" s="75">
        <v>24</v>
      </c>
      <c r="EH18" s="75" t="s">
        <v>2895</v>
      </c>
      <c r="EI18" s="75" t="s">
        <v>2779</v>
      </c>
      <c r="EJ18" s="75" t="str">
        <f>HYPERLINK(".\links\PFAM\EEC01928.1-PFAM.txt","Chitin_bind_4 Insect cuticle protein")</f>
        <v>Chitin_bind_4 Insect cuticle protein</v>
      </c>
      <c r="EK18" s="79">
        <v>4.0000000000000002E-9</v>
      </c>
      <c r="EL18" s="75">
        <v>100</v>
      </c>
      <c r="EM18" s="75" t="s">
        <v>2858</v>
      </c>
      <c r="EN18" s="75" t="s">
        <v>2772</v>
      </c>
      <c r="EO18" s="75" t="str">
        <f>HYPERLINK(".\links\SMART\EEC01928.1-SMART.txt","CDD:214527 smart00130, KR, Kringle domain")</f>
        <v>CDD:214527 smart00130, KR, Kringle domain</v>
      </c>
      <c r="EP18" s="75">
        <v>1.1000000000000001</v>
      </c>
      <c r="EQ18" s="75">
        <v>21.7</v>
      </c>
      <c r="ER18" s="75" t="s">
        <v>2896</v>
      </c>
      <c r="ES18" s="75" t="s">
        <v>2772</v>
      </c>
      <c r="ET18" s="75" t="str">
        <f>HYPERLINK(".\links\TSF\EEC01928.1-TSF.txt","35-48 35-48, GRP|Chitin binding|S|")</f>
        <v>35-48 35-48, GRP|Chitin binding|S|</v>
      </c>
      <c r="EU18" s="79">
        <v>6.0000000000000001E-32</v>
      </c>
      <c r="EV18" s="75">
        <v>49.5</v>
      </c>
      <c r="EW18" s="75" t="s">
        <v>2862</v>
      </c>
      <c r="EX18" s="75" t="s">
        <v>2863</v>
      </c>
      <c r="EY18" s="75" t="s">
        <v>2864</v>
      </c>
      <c r="EZ18" s="75" t="s">
        <v>2785</v>
      </c>
      <c r="FA18" s="75" t="s">
        <v>2865</v>
      </c>
    </row>
    <row r="19" spans="1:157" x14ac:dyDescent="0.2">
      <c r="A19" s="75" t="str">
        <f>HYPERLINK(".\links\PEP\EEC07402.1-PEP.txt","EEC07402.1")</f>
        <v>EEC07402.1</v>
      </c>
      <c r="B19" s="75" t="s">
        <v>2768</v>
      </c>
      <c r="C19" s="75">
        <v>135</v>
      </c>
      <c r="D19" s="75" t="s">
        <v>2845</v>
      </c>
      <c r="E19" s="76" t="s">
        <v>2846</v>
      </c>
      <c r="F19" s="75" t="s">
        <v>2771</v>
      </c>
      <c r="G19" s="75" t="str">
        <f>HYPERLINK(".\links\Sigp\EEC07402.1-SigP.txt","CYT")</f>
        <v>CYT</v>
      </c>
      <c r="H19" s="75" t="s">
        <v>2772</v>
      </c>
      <c r="I19" s="75">
        <v>15.108000000000001</v>
      </c>
      <c r="J19" s="75">
        <v>4.7</v>
      </c>
      <c r="K19" s="75" t="s">
        <v>2772</v>
      </c>
      <c r="L19" s="75" t="s">
        <v>2772</v>
      </c>
      <c r="M19" s="75" t="str">
        <f>HYPERLINK(".\links\netoglyc\EEC07402.1-netoglyc.txt","0")</f>
        <v>0</v>
      </c>
      <c r="N19" s="75" t="s">
        <v>2826</v>
      </c>
      <c r="O19" s="75">
        <v>135</v>
      </c>
      <c r="P19" s="75">
        <v>0</v>
      </c>
      <c r="Q19" s="75" t="s">
        <v>2772</v>
      </c>
      <c r="R19" s="75" t="s">
        <v>2772</v>
      </c>
      <c r="S19" s="75" t="s">
        <v>2772</v>
      </c>
      <c r="T19" s="75" t="s">
        <v>2772</v>
      </c>
      <c r="U19" s="75" t="s">
        <v>2772</v>
      </c>
      <c r="V19" s="75" t="s">
        <v>2772</v>
      </c>
      <c r="W19" s="75">
        <v>10.1</v>
      </c>
      <c r="X19" s="75">
        <v>5.8</v>
      </c>
      <c r="Y19" s="75">
        <v>5.8</v>
      </c>
      <c r="Z19" s="75" t="s">
        <v>2774</v>
      </c>
      <c r="AA19" s="77">
        <v>11.851851851851899</v>
      </c>
      <c r="AB19" s="75">
        <v>0.35</v>
      </c>
      <c r="AD19" s="75">
        <v>6</v>
      </c>
      <c r="AE19" s="75" t="s">
        <v>2772</v>
      </c>
      <c r="AF19" s="75" t="s">
        <v>2772</v>
      </c>
      <c r="AG19" s="75" t="s">
        <v>2772</v>
      </c>
      <c r="AH19" s="75" t="s">
        <v>2772</v>
      </c>
      <c r="AI19" s="75" t="s">
        <v>2772</v>
      </c>
      <c r="AJ19" s="75" t="s">
        <v>2772</v>
      </c>
      <c r="AK19" s="75" t="s">
        <v>2772</v>
      </c>
      <c r="AL19" s="75" t="s">
        <v>2772</v>
      </c>
      <c r="AM19" s="75" t="s">
        <v>2772</v>
      </c>
      <c r="AN19" s="75" t="s">
        <v>2772</v>
      </c>
      <c r="AO19" s="78" t="str">
        <f>HYPERLINK(".\links\AAM-CEMENT-2018\EEC07402.1-AAM-CEMENT-2018.txt","Extracted CDS")</f>
        <v>Extracted CDS</v>
      </c>
      <c r="AP19" s="75" t="str">
        <f>HYPERLINK("http://www.ncbi.nlm.nih.gov/sutils/blink.cgi?pid=Aam-177863","2.2")</f>
        <v>2.2</v>
      </c>
      <c r="AQ19" s="75" t="str">
        <f>HYPERLINK("http://www.ncbi.nlm.nih.gov/protein/Aam-177863","Aam-177863")</f>
        <v>Aam-177863</v>
      </c>
      <c r="AR19" s="75">
        <v>20.8</v>
      </c>
      <c r="AS19" s="75">
        <v>23</v>
      </c>
      <c r="AT19" s="75">
        <v>273</v>
      </c>
      <c r="AU19" s="75">
        <v>34</v>
      </c>
      <c r="AV19" s="75">
        <v>56</v>
      </c>
      <c r="AW19" s="75">
        <v>8</v>
      </c>
      <c r="AX19" s="75">
        <v>15</v>
      </c>
      <c r="AY19" s="75">
        <v>0</v>
      </c>
      <c r="AZ19" s="75">
        <v>73</v>
      </c>
      <c r="BA19" s="75">
        <v>52</v>
      </c>
      <c r="BB19" s="75">
        <v>1</v>
      </c>
      <c r="BC19" s="75" t="s">
        <v>2775</v>
      </c>
      <c r="BD19" s="78" t="str">
        <f>HYPERLINK(".\links\CDD\EEC07402.1-CDD.txt","CBM_14 Chitin binding Peritrophin-A domain")</f>
        <v>CBM_14 Chitin binding Peritrophin-A domain</v>
      </c>
      <c r="BE19" s="79">
        <v>6.9999999999999999E-6</v>
      </c>
      <c r="BF19" s="75">
        <v>111.3</v>
      </c>
      <c r="BG19" s="75" t="s">
        <v>2850</v>
      </c>
      <c r="BH19" s="75" t="s">
        <v>2897</v>
      </c>
      <c r="BI19" s="75" t="str">
        <f>HYPERLINK(".\links\KOG\EEC07402.1-KOG.txt","CDD:227705 COG5418, COG5418, Predicted secreted protein")</f>
        <v>CDD:227705 COG5418, COG5418, Predicted secreted protein</v>
      </c>
      <c r="BJ19" s="75">
        <v>2.4</v>
      </c>
      <c r="BK19" s="75">
        <v>26.8</v>
      </c>
      <c r="BL19" s="75" t="s">
        <v>2898</v>
      </c>
      <c r="BM19" s="75" t="s">
        <v>2779</v>
      </c>
      <c r="BN19" s="78" t="str">
        <f>HYPERLINK(".\links\PFAM\EEC07402.1-PFAM.txt","CBM_14 Chitin binding Peritrophin-A domain")</f>
        <v>CBM_14 Chitin binding Peritrophin-A domain</v>
      </c>
      <c r="BO19" s="79">
        <v>1.9999999999999999E-6</v>
      </c>
      <c r="BP19" s="75">
        <v>111.3</v>
      </c>
      <c r="BQ19" s="75" t="s">
        <v>2850</v>
      </c>
      <c r="BR19" s="75" t="s">
        <v>2772</v>
      </c>
      <c r="BS19" s="78" t="str">
        <f>HYPERLINK(".\links\SMART\EEC07402.1-SMART.txt","CDD:214696 smart00494, ChtBD2, Chitin-binding domain type 2")</f>
        <v>CDD:214696 smart00494, ChtBD2, Chitin-binding domain type 2</v>
      </c>
      <c r="BT19" s="79">
        <v>2.9999999999999997E-4</v>
      </c>
      <c r="BU19" s="75">
        <v>120.4</v>
      </c>
      <c r="BV19" s="75" t="s">
        <v>2853</v>
      </c>
      <c r="BW19" s="75" t="s">
        <v>2772</v>
      </c>
      <c r="BX19" s="78" t="str">
        <f>HYPERLINK(".\links\TSF\EEC07402.1-TSF.txt","30-165 30-165, AlaRich||S|")</f>
        <v>30-165 30-165, AlaRich||S|</v>
      </c>
      <c r="BY19" s="79">
        <v>9.9999999999999992E-72</v>
      </c>
      <c r="BZ19" s="75">
        <v>84.6</v>
      </c>
      <c r="CA19" s="75" t="s">
        <v>2854</v>
      </c>
      <c r="CB19" s="75" t="s">
        <v>2855</v>
      </c>
      <c r="CC19" s="75" t="s">
        <v>2772</v>
      </c>
      <c r="CD19" s="75" t="s">
        <v>2785</v>
      </c>
      <c r="CE19" s="75" t="s">
        <v>2856</v>
      </c>
      <c r="CF19" s="75">
        <f>HYPERLINK(".\links\cluster-b\Ixsc-cement-202225-50SimCLU11.txt", 11)</f>
        <v>11</v>
      </c>
      <c r="CG19" s="75">
        <f>HYPERLINK(".\links\cluster-b\Ixsc-cement-202225-50SimCLTL11.txt", 3)</f>
        <v>3</v>
      </c>
      <c r="CH19" s="75">
        <f>HYPERLINK(".\links\cluster-b\Ixsc-cement-202230-50SimCLU10.txt", 10)</f>
        <v>10</v>
      </c>
      <c r="CI19" s="75">
        <f>HYPERLINK(".\links\cluster-b\Ixsc-cement-202230-50SimCLTL10.txt", 3)</f>
        <v>3</v>
      </c>
      <c r="CJ19" s="75">
        <f>HYPERLINK(".\links\cluster-b\Ixsc-cement-202235-50SimCLU9.txt", 9)</f>
        <v>9</v>
      </c>
      <c r="CK19" s="75">
        <f>HYPERLINK(".\links\cluster-b\Ixsc-cement-202235-50SimCLTL9.txt", 3)</f>
        <v>3</v>
      </c>
      <c r="CL19" s="75">
        <f>HYPERLINK(".\links\cluster-b\Ixsc-cement-202240-50SimCLU10.txt", 10)</f>
        <v>10</v>
      </c>
      <c r="CM19" s="75">
        <f>HYPERLINK(".\links\cluster-b\Ixsc-cement-202240-50SimCLTL10.txt", 3)</f>
        <v>3</v>
      </c>
      <c r="CN19" s="75">
        <f>HYPERLINK(".\links\cluster-b\Ixsc-cement-202245-50SimCLU9.txt", 9)</f>
        <v>9</v>
      </c>
      <c r="CO19" s="75">
        <f>HYPERLINK(".\links\cluster-b\Ixsc-cement-202245-50SimCLTL9.txt", 3)</f>
        <v>3</v>
      </c>
      <c r="CP19" s="75">
        <f>HYPERLINK(".\links\cluster-b\Ixsc-cement-202250-50SimCLU9.txt", 9)</f>
        <v>9</v>
      </c>
      <c r="CQ19" s="75">
        <f>HYPERLINK(".\links\cluster-b\Ixsc-cement-202250-50SimCLTL9.txt", 3)</f>
        <v>3</v>
      </c>
      <c r="CR19" s="75">
        <f>HYPERLINK(".\links\cluster-b\Ixsc-cement-202255-50SimCLU8.txt", 8)</f>
        <v>8</v>
      </c>
      <c r="CS19" s="75">
        <f>HYPERLINK(".\links\cluster-b\Ixsc-cement-202255-50SimCLTL8.txt", 3)</f>
        <v>3</v>
      </c>
      <c r="CT19" s="75">
        <f>HYPERLINK(".\links\cluster-b\Ixsc-cement-202260-50SimCLU15.txt", 15)</f>
        <v>15</v>
      </c>
      <c r="CU19" s="75">
        <f>HYPERLINK(".\links\cluster-b\Ixsc-cement-202260-50SimCLTL15.txt", 2)</f>
        <v>2</v>
      </c>
      <c r="CV19" s="75">
        <f>HYPERLINK(".\links\cluster-b\Ixsc-cement-202265-50SimCLU14.txt", 14)</f>
        <v>14</v>
      </c>
      <c r="CW19" s="75">
        <f>HYPERLINK(".\links\cluster-b\Ixsc-cement-202265-50SimCLTL14.txt", 2)</f>
        <v>2</v>
      </c>
      <c r="CX19" s="75">
        <v>58</v>
      </c>
      <c r="CY19" s="75">
        <v>1</v>
      </c>
      <c r="CZ19" s="75">
        <v>60</v>
      </c>
      <c r="DA19" s="75">
        <v>1</v>
      </c>
      <c r="DB19" s="75">
        <v>63</v>
      </c>
      <c r="DC19" s="75">
        <v>1</v>
      </c>
      <c r="DD19" s="75">
        <v>64</v>
      </c>
      <c r="DE19" s="75">
        <v>1</v>
      </c>
      <c r="DF19" s="75">
        <v>65</v>
      </c>
      <c r="DG19" s="75">
        <v>1</v>
      </c>
      <c r="DH19" s="75">
        <v>66</v>
      </c>
      <c r="DI19" s="75">
        <v>1</v>
      </c>
      <c r="DJ19" s="75" t="s">
        <v>152</v>
      </c>
      <c r="DK19" s="75" t="str">
        <f>HYPERLINK(".\links\AAM-CEMENT-2018\EEC07402.1-AAM-CEMENT-2018.txt","Extracted CDS")</f>
        <v>Extracted CDS</v>
      </c>
      <c r="DL19" s="75" t="str">
        <f>HYPERLINK("http://www.ncbi.nlm.nih.gov/sutils/blink.cgi?pid=Aam-177863","2.2")</f>
        <v>2.2</v>
      </c>
      <c r="DM19" s="75" t="str">
        <f>HYPERLINK("http://www.ncbi.nlm.nih.gov/protein/Aam-177863","Aam-177863")</f>
        <v>Aam-177863</v>
      </c>
      <c r="DN19" s="75">
        <v>20.8</v>
      </c>
      <c r="DO19" s="75">
        <v>23</v>
      </c>
      <c r="DP19" s="75">
        <v>273</v>
      </c>
      <c r="DQ19" s="75">
        <v>34</v>
      </c>
      <c r="DR19" s="75">
        <v>56</v>
      </c>
      <c r="DS19" s="75">
        <v>8</v>
      </c>
      <c r="DT19" s="75">
        <v>15</v>
      </c>
      <c r="DU19" s="75">
        <v>0</v>
      </c>
      <c r="DV19" s="75">
        <v>73</v>
      </c>
      <c r="DW19" s="75">
        <v>52</v>
      </c>
      <c r="DX19" s="75">
        <v>1</v>
      </c>
      <c r="DY19" s="75" t="s">
        <v>2775</v>
      </c>
      <c r="DZ19" s="75" t="str">
        <f>HYPERLINK(".\links\CDD\EEC07402.1-CDD.txt","CBM_14 Chitin binding Peritrophin-A domain")</f>
        <v>CBM_14 Chitin binding Peritrophin-A domain</v>
      </c>
      <c r="EA19" s="79">
        <v>6.9999999999999999E-6</v>
      </c>
      <c r="EB19" s="75">
        <v>111.3</v>
      </c>
      <c r="EC19" s="75" t="s">
        <v>2850</v>
      </c>
      <c r="ED19" s="75" t="s">
        <v>2897</v>
      </c>
      <c r="EE19" s="75" t="str">
        <f>HYPERLINK(".\links\KOG\EEC07402.1-KOG.txt","CDD:227705 COG5418, COG5418, Predicted secreted protein")</f>
        <v>CDD:227705 COG5418, COG5418, Predicted secreted protein</v>
      </c>
      <c r="EF19" s="75">
        <v>2.4</v>
      </c>
      <c r="EG19" s="75">
        <v>26.8</v>
      </c>
      <c r="EH19" s="75" t="s">
        <v>2898</v>
      </c>
      <c r="EI19" s="75" t="s">
        <v>2779</v>
      </c>
      <c r="EJ19" s="75" t="str">
        <f>HYPERLINK(".\links\PFAM\EEC07402.1-PFAM.txt","CBM_14 Chitin binding Peritrophin-A domain")</f>
        <v>CBM_14 Chitin binding Peritrophin-A domain</v>
      </c>
      <c r="EK19" s="79">
        <v>1.9999999999999999E-6</v>
      </c>
      <c r="EL19" s="75">
        <v>111.3</v>
      </c>
      <c r="EM19" s="75" t="s">
        <v>2850</v>
      </c>
      <c r="EN19" s="75" t="s">
        <v>2772</v>
      </c>
      <c r="EO19" s="75" t="str">
        <f>HYPERLINK(".\links\SMART\EEC07402.1-SMART.txt","CDD:214696 smart00494, ChtBD2, Chitin-binding domain type 2")</f>
        <v>CDD:214696 smart00494, ChtBD2, Chitin-binding domain type 2</v>
      </c>
      <c r="EP19" s="79">
        <v>2.9999999999999997E-4</v>
      </c>
      <c r="EQ19" s="75">
        <v>120.4</v>
      </c>
      <c r="ER19" s="75" t="s">
        <v>2853</v>
      </c>
      <c r="ES19" s="75" t="s">
        <v>2772</v>
      </c>
      <c r="ET19" s="75" t="str">
        <f>HYPERLINK(".\links\TSF\EEC07402.1-TSF.txt","30-165 30-165, AlaRich||S|")</f>
        <v>30-165 30-165, AlaRich||S|</v>
      </c>
      <c r="EU19" s="79">
        <v>9.9999999999999992E-72</v>
      </c>
      <c r="EV19" s="75">
        <v>84.6</v>
      </c>
      <c r="EW19" s="75" t="s">
        <v>2854</v>
      </c>
      <c r="EX19" s="75" t="s">
        <v>2855</v>
      </c>
      <c r="EY19" s="75" t="s">
        <v>2772</v>
      </c>
      <c r="EZ19" s="75" t="s">
        <v>2785</v>
      </c>
      <c r="FA19" s="75" t="s">
        <v>2856</v>
      </c>
    </row>
    <row r="20" spans="1:157" x14ac:dyDescent="0.2">
      <c r="A20" s="75" t="str">
        <f>HYPERLINK(".\links\PEP\EEC04675.1-PEP.txt","EEC04675.1")</f>
        <v>EEC04675.1</v>
      </c>
      <c r="B20" s="75" t="s">
        <v>2899</v>
      </c>
      <c r="C20" s="75">
        <v>166</v>
      </c>
      <c r="D20" s="75" t="s">
        <v>2900</v>
      </c>
      <c r="E20" s="76" t="s">
        <v>2846</v>
      </c>
      <c r="F20" s="75" t="s">
        <v>2771</v>
      </c>
      <c r="G20" s="75" t="str">
        <f>HYPERLINK(".\links\Sigp\EEC04675.1-SigP.txt","CYT")</f>
        <v>CYT</v>
      </c>
      <c r="H20" s="75" t="s">
        <v>2772</v>
      </c>
      <c r="I20" s="75">
        <v>15.602</v>
      </c>
      <c r="J20" s="75">
        <v>6.31</v>
      </c>
      <c r="K20" s="75" t="s">
        <v>2772</v>
      </c>
      <c r="L20" s="75" t="s">
        <v>2772</v>
      </c>
      <c r="M20" s="75" t="str">
        <f>HYPERLINK(".\links\netoglyc\EEC04675.1-netoglyc.txt","9")</f>
        <v>9</v>
      </c>
      <c r="N20" s="75" t="s">
        <v>2901</v>
      </c>
      <c r="O20" s="75">
        <v>166</v>
      </c>
      <c r="P20" s="75">
        <v>0</v>
      </c>
      <c r="Q20" s="75" t="s">
        <v>2772</v>
      </c>
      <c r="R20" s="75" t="s">
        <v>2772</v>
      </c>
      <c r="S20" s="75" t="s">
        <v>2772</v>
      </c>
      <c r="T20" s="75" t="s">
        <v>2772</v>
      </c>
      <c r="U20" s="75" t="s">
        <v>2772</v>
      </c>
      <c r="V20" s="75" t="s">
        <v>2772</v>
      </c>
      <c r="W20" s="75">
        <v>12.4</v>
      </c>
      <c r="X20" s="75">
        <v>37.6</v>
      </c>
      <c r="Y20" s="75">
        <v>2.9</v>
      </c>
      <c r="Z20" s="75">
        <v>10.6</v>
      </c>
      <c r="AA20" s="77">
        <v>41.566265060241001</v>
      </c>
      <c r="AB20" s="75">
        <v>0.72</v>
      </c>
      <c r="AC20" s="75" t="s">
        <v>2902</v>
      </c>
      <c r="AD20" s="75">
        <v>0</v>
      </c>
      <c r="AE20" s="75" t="s">
        <v>2772</v>
      </c>
      <c r="AF20" s="75" t="s">
        <v>2772</v>
      </c>
      <c r="AG20" s="75" t="s">
        <v>2772</v>
      </c>
      <c r="AH20" s="75" t="s">
        <v>2772</v>
      </c>
      <c r="AI20" s="75" t="s">
        <v>2772</v>
      </c>
      <c r="AJ20" s="75">
        <v>1</v>
      </c>
      <c r="AK20" s="75" t="s">
        <v>2772</v>
      </c>
      <c r="AL20" s="75" t="s">
        <v>2772</v>
      </c>
      <c r="AM20" s="75" t="s">
        <v>2772</v>
      </c>
      <c r="AN20" s="75" t="s">
        <v>2772</v>
      </c>
      <c r="AO20" s="78" t="str">
        <f>HYPERLINK(".\links\AAM-CEMENT-2018\EEC04675.1-AAM-CEMENT-2018.txt","Extracted CDS")</f>
        <v>Extracted CDS</v>
      </c>
      <c r="AP20" s="75" t="str">
        <f>HYPERLINK("http://www.ncbi.nlm.nih.gov/sutils/blink.cgi?pid=Aam-10038","0.56")</f>
        <v>0.56</v>
      </c>
      <c r="AQ20" s="75" t="str">
        <f>HYPERLINK("http://www.ncbi.nlm.nih.gov/protein/Aam-10038","Aam-10038")</f>
        <v>Aam-10038</v>
      </c>
      <c r="AR20" s="75">
        <v>23.1</v>
      </c>
      <c r="AS20" s="75">
        <v>99</v>
      </c>
      <c r="AT20" s="75">
        <v>249</v>
      </c>
      <c r="AU20" s="75">
        <v>34</v>
      </c>
      <c r="AV20" s="75">
        <v>45</v>
      </c>
      <c r="AW20" s="75">
        <v>40</v>
      </c>
      <c r="AX20" s="75">
        <v>65</v>
      </c>
      <c r="AY20" s="75">
        <v>5</v>
      </c>
      <c r="AZ20" s="75">
        <v>6</v>
      </c>
      <c r="BA20" s="75">
        <v>68</v>
      </c>
      <c r="BB20" s="75">
        <v>1</v>
      </c>
      <c r="BC20" s="75" t="s">
        <v>2775</v>
      </c>
      <c r="BD20" s="78" t="str">
        <f>HYPERLINK(".\links\CDD\EEC04675.1-CDD.txt","Chitin_bind_4 Insect cuticle protein")</f>
        <v>Chitin_bind_4 Insect cuticle protein</v>
      </c>
      <c r="BE20" s="79">
        <v>4.0000000000000001E-8</v>
      </c>
      <c r="BF20" s="75">
        <v>103.8</v>
      </c>
      <c r="BG20" s="75" t="s">
        <v>2858</v>
      </c>
      <c r="BH20" s="75" t="s">
        <v>2903</v>
      </c>
      <c r="BI20" s="75" t="str">
        <f>HYPERLINK(".\links\KOG\EEC04675.1-KOG.txt","CDD:223641 COG0567, SucA, 2-oxoglutarate dehydrogenase complex, dehydrogenase")</f>
        <v>CDD:223641 COG0567, SucA, 2-oxoglutarate dehydrogenase complex, dehydrogenase</v>
      </c>
      <c r="BJ20" s="75">
        <v>0.25</v>
      </c>
      <c r="BK20" s="75">
        <v>1.7</v>
      </c>
      <c r="BL20" s="75" t="s">
        <v>2904</v>
      </c>
      <c r="BM20" s="75" t="s">
        <v>2779</v>
      </c>
      <c r="BN20" s="78" t="str">
        <f>HYPERLINK(".\links\PFAM\EEC04675.1-PFAM.txt","Chitin_bind_4 Insect cuticle protein")</f>
        <v>Chitin_bind_4 Insect cuticle protein</v>
      </c>
      <c r="BO20" s="79">
        <v>8.0000000000000005E-9</v>
      </c>
      <c r="BP20" s="75">
        <v>103.8</v>
      </c>
      <c r="BQ20" s="75" t="s">
        <v>2858</v>
      </c>
      <c r="BR20" s="75" t="s">
        <v>2772</v>
      </c>
      <c r="BS20" s="78" t="str">
        <f>HYPERLINK(".\links\SMART\EEC04675.1-SMART.txt","CDD:214916 smart00925, MltA, MltA specific insert domain")</f>
        <v>CDD:214916 smart00925, MltA, MltA specific insert domain</v>
      </c>
      <c r="BT20" s="75">
        <v>1.7</v>
      </c>
      <c r="BU20" s="75">
        <v>15.7</v>
      </c>
      <c r="BV20" s="75" t="s">
        <v>2905</v>
      </c>
      <c r="BW20" s="75" t="s">
        <v>2772</v>
      </c>
      <c r="BX20" s="78" t="str">
        <f>HYPERLINK(".\links\TSF\EEC04675.1-TSF.txt","35-48 35-48, GRP|Chitin binding|S|")</f>
        <v>35-48 35-48, GRP|Chitin binding|S|</v>
      </c>
      <c r="BY20" s="79">
        <v>8.9999999999999996E-28</v>
      </c>
      <c r="BZ20" s="75">
        <v>44.5</v>
      </c>
      <c r="CA20" s="75" t="s">
        <v>2862</v>
      </c>
      <c r="CB20" s="75" t="s">
        <v>2863</v>
      </c>
      <c r="CC20" s="75" t="s">
        <v>2864</v>
      </c>
      <c r="CD20" s="75" t="s">
        <v>2785</v>
      </c>
      <c r="CE20" s="75" t="s">
        <v>2865</v>
      </c>
      <c r="CF20" s="75">
        <f>HYPERLINK(".\links\cluster-b\Ixsc-cement-202225-50SimCLU1.txt", 1)</f>
        <v>1</v>
      </c>
      <c r="CG20" s="75">
        <f>HYPERLINK(".\links\cluster-b\Ixsc-cement-202225-50SimCLTL1.txt", 20)</f>
        <v>20</v>
      </c>
      <c r="CH20" s="75">
        <f>HYPERLINK(".\links\cluster-b\Ixsc-cement-202230-50SimCLU1.txt", 1)</f>
        <v>1</v>
      </c>
      <c r="CI20" s="75">
        <f>HYPERLINK(".\links\cluster-b\Ixsc-cement-202230-50SimCLTL1.txt", 14)</f>
        <v>14</v>
      </c>
      <c r="CJ20" s="75">
        <f>HYPERLINK(".\links\cluster-b\Ixsc-cement-202235-50SimCLU1.txt", 1)</f>
        <v>1</v>
      </c>
      <c r="CK20" s="75">
        <f>HYPERLINK(".\links\cluster-b\Ixsc-cement-202235-50SimCLTL1.txt", 14)</f>
        <v>14</v>
      </c>
      <c r="CL20" s="75">
        <v>39</v>
      </c>
      <c r="CM20" s="75">
        <v>1</v>
      </c>
      <c r="CN20" s="75">
        <v>40</v>
      </c>
      <c r="CO20" s="75">
        <v>1</v>
      </c>
      <c r="CP20" s="75">
        <v>41</v>
      </c>
      <c r="CQ20" s="75">
        <v>1</v>
      </c>
      <c r="CR20" s="75">
        <v>42</v>
      </c>
      <c r="CS20" s="75">
        <v>1</v>
      </c>
      <c r="CT20" s="75">
        <v>46</v>
      </c>
      <c r="CU20" s="75">
        <v>1</v>
      </c>
      <c r="CV20" s="75">
        <v>48</v>
      </c>
      <c r="CW20" s="75">
        <v>1</v>
      </c>
      <c r="CX20" s="75">
        <v>50</v>
      </c>
      <c r="CY20" s="75">
        <v>1</v>
      </c>
      <c r="CZ20" s="75">
        <v>51</v>
      </c>
      <c r="DA20" s="75">
        <v>1</v>
      </c>
      <c r="DB20" s="75">
        <v>51</v>
      </c>
      <c r="DC20" s="75">
        <v>1</v>
      </c>
      <c r="DD20" s="75">
        <v>52</v>
      </c>
      <c r="DE20" s="75">
        <v>1</v>
      </c>
      <c r="DF20" s="75">
        <v>51</v>
      </c>
      <c r="DG20" s="75">
        <v>1</v>
      </c>
      <c r="DH20" s="75">
        <v>52</v>
      </c>
      <c r="DI20" s="75">
        <v>1</v>
      </c>
      <c r="DJ20" s="75" t="s">
        <v>216</v>
      </c>
      <c r="DK20" s="75" t="str">
        <f>HYPERLINK(".\links\AAM-CEMENT-2018\EEC04675.1-AAM-CEMENT-2018.txt","Extracted CDS")</f>
        <v>Extracted CDS</v>
      </c>
      <c r="DL20" s="75" t="str">
        <f>HYPERLINK("http://www.ncbi.nlm.nih.gov/sutils/blink.cgi?pid=Aam-10038","0.56")</f>
        <v>0.56</v>
      </c>
      <c r="DM20" s="75" t="str">
        <f>HYPERLINK("http://www.ncbi.nlm.nih.gov/protein/Aam-10038","Aam-10038")</f>
        <v>Aam-10038</v>
      </c>
      <c r="DN20" s="75">
        <v>23.1</v>
      </c>
      <c r="DO20" s="75">
        <v>99</v>
      </c>
      <c r="DP20" s="75">
        <v>249</v>
      </c>
      <c r="DQ20" s="75">
        <v>34</v>
      </c>
      <c r="DR20" s="75">
        <v>45</v>
      </c>
      <c r="DS20" s="75">
        <v>40</v>
      </c>
      <c r="DT20" s="75">
        <v>65</v>
      </c>
      <c r="DU20" s="75">
        <v>5</v>
      </c>
      <c r="DV20" s="75">
        <v>6</v>
      </c>
      <c r="DW20" s="75">
        <v>68</v>
      </c>
      <c r="DX20" s="75">
        <v>1</v>
      </c>
      <c r="DY20" s="75" t="s">
        <v>2775</v>
      </c>
      <c r="DZ20" s="75" t="str">
        <f>HYPERLINK(".\links\CDD\EEC04675.1-CDD.txt","Chitin_bind_4 Insect cuticle protein")</f>
        <v>Chitin_bind_4 Insect cuticle protein</v>
      </c>
      <c r="EA20" s="79">
        <v>4.0000000000000001E-8</v>
      </c>
      <c r="EB20" s="75">
        <v>103.8</v>
      </c>
      <c r="EC20" s="75" t="s">
        <v>2858</v>
      </c>
      <c r="ED20" s="75" t="s">
        <v>2903</v>
      </c>
      <c r="EE20" s="75" t="str">
        <f>HYPERLINK(".\links\KOG\EEC04675.1-KOG.txt","CDD:223641 COG0567, SucA, 2-oxoglutarate dehydrogenase complex, dehydrogenase")</f>
        <v>CDD:223641 COG0567, SucA, 2-oxoglutarate dehydrogenase complex, dehydrogenase</v>
      </c>
      <c r="EF20" s="75">
        <v>0.25</v>
      </c>
      <c r="EG20" s="75">
        <v>1.7</v>
      </c>
      <c r="EH20" s="75" t="s">
        <v>2904</v>
      </c>
      <c r="EI20" s="75" t="s">
        <v>2779</v>
      </c>
      <c r="EJ20" s="75" t="str">
        <f>HYPERLINK(".\links\PFAM\EEC04675.1-PFAM.txt","Chitin_bind_4 Insect cuticle protein")</f>
        <v>Chitin_bind_4 Insect cuticle protein</v>
      </c>
      <c r="EK20" s="79">
        <v>8.0000000000000005E-9</v>
      </c>
      <c r="EL20" s="75">
        <v>103.8</v>
      </c>
      <c r="EM20" s="75" t="s">
        <v>2858</v>
      </c>
      <c r="EN20" s="75" t="s">
        <v>2772</v>
      </c>
      <c r="EO20" s="75" t="str">
        <f>HYPERLINK(".\links\SMART\EEC04675.1-SMART.txt","CDD:214916 smart00925, MltA, MltA specific insert domain")</f>
        <v>CDD:214916 smart00925, MltA, MltA specific insert domain</v>
      </c>
      <c r="EP20" s="75">
        <v>1.7</v>
      </c>
      <c r="EQ20" s="75">
        <v>15.7</v>
      </c>
      <c r="ER20" s="75" t="s">
        <v>2905</v>
      </c>
      <c r="ES20" s="75" t="s">
        <v>2772</v>
      </c>
      <c r="ET20" s="75" t="str">
        <f>HYPERLINK(".\links\TSF\EEC04675.1-TSF.txt","35-48 35-48, GRP|Chitin binding|S|")</f>
        <v>35-48 35-48, GRP|Chitin binding|S|</v>
      </c>
      <c r="EU20" s="79">
        <v>8.9999999999999996E-28</v>
      </c>
      <c r="EV20" s="75">
        <v>44.5</v>
      </c>
      <c r="EW20" s="75" t="s">
        <v>2862</v>
      </c>
      <c r="EX20" s="75" t="s">
        <v>2863</v>
      </c>
      <c r="EY20" s="75" t="s">
        <v>2864</v>
      </c>
      <c r="EZ20" s="75" t="s">
        <v>2785</v>
      </c>
      <c r="FA20" s="75" t="s">
        <v>2865</v>
      </c>
    </row>
    <row r="21" spans="1:157" x14ac:dyDescent="0.2">
      <c r="A21" s="75" t="str">
        <f>HYPERLINK(".\links\PEP\EEC08503.1-PEP.txt","EEC08503.1")</f>
        <v>EEC08503.1</v>
      </c>
      <c r="B21" s="75" t="s">
        <v>2574</v>
      </c>
      <c r="C21" s="75">
        <v>117</v>
      </c>
      <c r="D21" s="75" t="s">
        <v>2900</v>
      </c>
      <c r="E21" s="76" t="s">
        <v>2846</v>
      </c>
      <c r="F21" s="75" t="s">
        <v>2771</v>
      </c>
      <c r="G21" s="75" t="str">
        <f>HYPERLINK(".\links\Sigp\EEC08503.1-SigP.txt","CYT")</f>
        <v>CYT</v>
      </c>
      <c r="H21" s="75" t="s">
        <v>2772</v>
      </c>
      <c r="I21" s="75">
        <v>12.64</v>
      </c>
      <c r="J21" s="75">
        <v>4.92</v>
      </c>
      <c r="K21" s="75" t="s">
        <v>2772</v>
      </c>
      <c r="L21" s="75" t="s">
        <v>2772</v>
      </c>
      <c r="M21" s="75" t="str">
        <f>HYPERLINK(".\links\netoglyc\EEC08503.1-netoglyc.txt","0")</f>
        <v>0</v>
      </c>
      <c r="N21" s="75" t="s">
        <v>2817</v>
      </c>
      <c r="O21" s="75">
        <v>117</v>
      </c>
      <c r="P21" s="75">
        <v>0</v>
      </c>
      <c r="Q21" s="75" t="s">
        <v>2772</v>
      </c>
      <c r="R21" s="75" t="s">
        <v>2772</v>
      </c>
      <c r="S21" s="75" t="s">
        <v>2772</v>
      </c>
      <c r="T21" s="75" t="s">
        <v>2772</v>
      </c>
      <c r="U21" s="75" t="s">
        <v>2772</v>
      </c>
      <c r="V21" s="75" t="s">
        <v>2772</v>
      </c>
      <c r="W21" s="75">
        <v>13.3</v>
      </c>
      <c r="X21" s="75">
        <v>10</v>
      </c>
      <c r="Y21" s="75">
        <v>6.7</v>
      </c>
      <c r="Z21" s="75" t="s">
        <v>2774</v>
      </c>
      <c r="AA21" s="77">
        <v>17.094017094017101</v>
      </c>
      <c r="AB21" s="75">
        <v>0.38</v>
      </c>
      <c r="AD21" s="75">
        <v>0</v>
      </c>
      <c r="AE21" s="75" t="s">
        <v>2772</v>
      </c>
      <c r="AF21" s="75" t="s">
        <v>2772</v>
      </c>
      <c r="AG21" s="75" t="s">
        <v>2772</v>
      </c>
      <c r="AH21" s="75">
        <v>1</v>
      </c>
      <c r="AI21" s="75" t="s">
        <v>2772</v>
      </c>
      <c r="AJ21" s="75">
        <v>1</v>
      </c>
      <c r="AK21" s="75" t="s">
        <v>2772</v>
      </c>
      <c r="AL21" s="75" t="s">
        <v>2772</v>
      </c>
      <c r="AM21" s="75" t="s">
        <v>2772</v>
      </c>
      <c r="AN21" s="75" t="s">
        <v>2772</v>
      </c>
      <c r="AO21" s="78" t="str">
        <f>HYPERLINK(".\links\AAM-CEMENT-2018\EEC08503.1-AAM-CEMENT-2018.txt","Extracted CDS")</f>
        <v>Extracted CDS</v>
      </c>
      <c r="AP21" s="75" t="str">
        <f>HYPERLINK("http://www.ncbi.nlm.nih.gov/sutils/blink.cgi?pid=Aam-176270","5E-04")</f>
        <v>5E-04</v>
      </c>
      <c r="AQ21" s="75" t="str">
        <f>HYPERLINK("http://www.ncbi.nlm.nih.gov/protein/Aam-176270","Aam-176270")</f>
        <v>Aam-176270</v>
      </c>
      <c r="AR21" s="75">
        <v>31.2</v>
      </c>
      <c r="AS21" s="75">
        <v>55</v>
      </c>
      <c r="AT21" s="75">
        <v>201</v>
      </c>
      <c r="AU21" s="75">
        <v>32</v>
      </c>
      <c r="AV21" s="75">
        <v>43</v>
      </c>
      <c r="AW21" s="75">
        <v>27</v>
      </c>
      <c r="AX21" s="75">
        <v>37</v>
      </c>
      <c r="AY21" s="75">
        <v>0</v>
      </c>
      <c r="AZ21" s="75">
        <v>125</v>
      </c>
      <c r="BA21" s="75">
        <v>49</v>
      </c>
      <c r="BB21" s="75">
        <v>1</v>
      </c>
      <c r="BC21" s="75" t="s">
        <v>2775</v>
      </c>
      <c r="BD21" s="78" t="str">
        <f>HYPERLINK(".\links\CDD\EEC08503.1-CDD.txt","Chitin_bind_4 Insect cuticle protein")</f>
        <v>Chitin_bind_4 Insect cuticle protein</v>
      </c>
      <c r="BE21" s="79">
        <v>2.0000000000000001E-13</v>
      </c>
      <c r="BF21" s="75">
        <v>103.8</v>
      </c>
      <c r="BG21" s="75" t="s">
        <v>2858</v>
      </c>
      <c r="BH21" s="75" t="s">
        <v>2906</v>
      </c>
      <c r="BI21" s="75" t="str">
        <f>HYPERLINK(".\links\KOG\EEC08503.1-KOG.txt","CDD:227613 COG5294, COG5294, Uncharacterized protein conserved in bacteria")</f>
        <v>CDD:227613 COG5294, COG5294, Uncharacterized protein conserved in bacteria</v>
      </c>
      <c r="BJ21" s="75">
        <v>9.8000000000000004E-2</v>
      </c>
      <c r="BK21" s="75">
        <v>44.2</v>
      </c>
      <c r="BL21" s="75" t="s">
        <v>2907</v>
      </c>
      <c r="BM21" s="75" t="s">
        <v>2779</v>
      </c>
      <c r="BN21" s="78" t="str">
        <f>HYPERLINK(".\links\PFAM\EEC08503.1-PFAM.txt","Chitin_bind_4 Insect cuticle protein")</f>
        <v>Chitin_bind_4 Insect cuticle protein</v>
      </c>
      <c r="BO21" s="79">
        <v>4E-14</v>
      </c>
      <c r="BP21" s="75">
        <v>103.8</v>
      </c>
      <c r="BQ21" s="75" t="s">
        <v>2858</v>
      </c>
      <c r="BR21" s="75" t="s">
        <v>2772</v>
      </c>
      <c r="BS21" s="78" t="str">
        <f>HYPERLINK(".\links\SMART\EEC08503.1-SMART.txt","CDD:214686 smart00480, POL3Bc, DNA polymerase III beta subunit")</f>
        <v>CDD:214686 smart00480, POL3Bc, DNA polymerase III beta subunit</v>
      </c>
      <c r="BT21" s="75">
        <v>0.92</v>
      </c>
      <c r="BU21" s="75">
        <v>8.1</v>
      </c>
      <c r="BV21" s="75" t="s">
        <v>2908</v>
      </c>
      <c r="BW21" s="75" t="s">
        <v>2772</v>
      </c>
      <c r="BX21" s="78" t="str">
        <f>HYPERLINK(".\links\TSF\EEC08503.1-TSF.txt","55-383 55-383, GRP|Chitin binding|S|")</f>
        <v>55-383 55-383, GRP|Chitin binding|S|</v>
      </c>
      <c r="BY21" s="79">
        <v>1E-54</v>
      </c>
      <c r="BZ21" s="75">
        <v>64.400000000000006</v>
      </c>
      <c r="CA21" s="75" t="s">
        <v>2883</v>
      </c>
      <c r="CB21" s="75" t="s">
        <v>2863</v>
      </c>
      <c r="CC21" s="75" t="s">
        <v>2864</v>
      </c>
      <c r="CD21" s="75" t="s">
        <v>2785</v>
      </c>
      <c r="CE21" s="75" t="s">
        <v>2884</v>
      </c>
      <c r="CF21" s="75">
        <f>HYPERLINK(".\links\cluster-b\Ixsc-cement-202225-50SimCLU1.txt", 1)</f>
        <v>1</v>
      </c>
      <c r="CG21" s="75">
        <f>HYPERLINK(".\links\cluster-b\Ixsc-cement-202225-50SimCLTL1.txt", 20)</f>
        <v>20</v>
      </c>
      <c r="CH21" s="75">
        <f>HYPERLINK(".\links\cluster-b\Ixsc-cement-202230-50SimCLU1.txt", 1)</f>
        <v>1</v>
      </c>
      <c r="CI21" s="75">
        <f>HYPERLINK(".\links\cluster-b\Ixsc-cement-202230-50SimCLTL1.txt", 14)</f>
        <v>14</v>
      </c>
      <c r="CJ21" s="75">
        <f>HYPERLINK(".\links\cluster-b\Ixsc-cement-202235-50SimCLU1.txt", 1)</f>
        <v>1</v>
      </c>
      <c r="CK21" s="75">
        <f>HYPERLINK(".\links\cluster-b\Ixsc-cement-202235-50SimCLTL1.txt", 14)</f>
        <v>14</v>
      </c>
      <c r="CL21" s="75">
        <f>HYPERLINK(".\links\cluster-b\Ixsc-cement-202240-50SimCLU3.txt", 3)</f>
        <v>3</v>
      </c>
      <c r="CM21" s="75">
        <f>HYPERLINK(".\links\cluster-b\Ixsc-cement-202240-50SimCLTL3.txt", 6)</f>
        <v>6</v>
      </c>
      <c r="CN21" s="75">
        <f>HYPERLINK(".\links\cluster-b\Ixsc-cement-202245-50SimCLU3.txt", 3)</f>
        <v>3</v>
      </c>
      <c r="CO21" s="75">
        <f>HYPERLINK(".\links\cluster-b\Ixsc-cement-202245-50SimCLTL3.txt", 5)</f>
        <v>5</v>
      </c>
      <c r="CP21" s="75">
        <f>HYPERLINK(".\links\cluster-b\Ixsc-cement-202250-50SimCLU3.txt", 3)</f>
        <v>3</v>
      </c>
      <c r="CQ21" s="75">
        <f>HYPERLINK(".\links\cluster-b\Ixsc-cement-202250-50SimCLTL3.txt", 5)</f>
        <v>5</v>
      </c>
      <c r="CR21" s="75">
        <f>HYPERLINK(".\links\cluster-b\Ixsc-cement-202255-50SimCLU3.txt", 3)</f>
        <v>3</v>
      </c>
      <c r="CS21" s="75">
        <f>HYPERLINK(".\links\cluster-b\Ixsc-cement-202255-50SimCLTL3.txt", 5)</f>
        <v>5</v>
      </c>
      <c r="CT21" s="75">
        <f>HYPERLINK(".\links\cluster-b\Ixsc-cement-202260-50SimCLU3.txt", 3)</f>
        <v>3</v>
      </c>
      <c r="CU21" s="75">
        <f>HYPERLINK(".\links\cluster-b\Ixsc-cement-202260-50SimCLTL3.txt", 5)</f>
        <v>5</v>
      </c>
      <c r="CV21" s="75">
        <f>HYPERLINK(".\links\cluster-b\Ixsc-cement-202265-50SimCLU3.txt", 3)</f>
        <v>3</v>
      </c>
      <c r="CW21" s="75">
        <f>HYPERLINK(".\links\cluster-b\Ixsc-cement-202265-50SimCLTL3.txt", 5)</f>
        <v>5</v>
      </c>
      <c r="CX21" s="75">
        <f>HYPERLINK(".\links\cluster-b\Ixsc-cement-202270-50SimCLU2.txt", 2)</f>
        <v>2</v>
      </c>
      <c r="CY21" s="75">
        <f>HYPERLINK(".\links\cluster-b\Ixsc-cement-202270-50SimCLTL2.txt", 5)</f>
        <v>5</v>
      </c>
      <c r="CZ21" s="75">
        <f>HYPERLINK(".\links\cluster-b\Ixsc-cement-202275-50SimCLU1.txt", 1)</f>
        <v>1</v>
      </c>
      <c r="DA21" s="75">
        <f>HYPERLINK(".\links\cluster-b\Ixsc-cement-202275-50SimCLTL1.txt", 5)</f>
        <v>5</v>
      </c>
      <c r="DB21" s="75">
        <v>65</v>
      </c>
      <c r="DC21" s="75">
        <v>1</v>
      </c>
      <c r="DD21" s="75">
        <v>66</v>
      </c>
      <c r="DE21" s="75">
        <v>1</v>
      </c>
      <c r="DF21" s="75">
        <v>67</v>
      </c>
      <c r="DG21" s="75">
        <v>1</v>
      </c>
      <c r="DH21" s="75">
        <v>68</v>
      </c>
      <c r="DI21" s="75">
        <v>1</v>
      </c>
      <c r="DJ21" s="75" t="s">
        <v>217</v>
      </c>
      <c r="DK21" s="75" t="str">
        <f>HYPERLINK(".\links\AAM-CEMENT-2018\EEC08503.1-AAM-CEMENT-2018.txt","Extracted CDS")</f>
        <v>Extracted CDS</v>
      </c>
      <c r="DL21" s="75" t="str">
        <f>HYPERLINK("http://www.ncbi.nlm.nih.gov/sutils/blink.cgi?pid=Aam-176270","5E-04")</f>
        <v>5E-04</v>
      </c>
      <c r="DM21" s="75" t="str">
        <f>HYPERLINK("http://www.ncbi.nlm.nih.gov/protein/Aam-176270","Aam-176270")</f>
        <v>Aam-176270</v>
      </c>
      <c r="DN21" s="75">
        <v>31.2</v>
      </c>
      <c r="DO21" s="75">
        <v>55</v>
      </c>
      <c r="DP21" s="75">
        <v>201</v>
      </c>
      <c r="DQ21" s="75">
        <v>32</v>
      </c>
      <c r="DR21" s="75">
        <v>43</v>
      </c>
      <c r="DS21" s="75">
        <v>27</v>
      </c>
      <c r="DT21" s="75">
        <v>37</v>
      </c>
      <c r="DU21" s="75">
        <v>0</v>
      </c>
      <c r="DV21" s="75">
        <v>125</v>
      </c>
      <c r="DW21" s="75">
        <v>49</v>
      </c>
      <c r="DX21" s="75">
        <v>1</v>
      </c>
      <c r="DY21" s="75" t="s">
        <v>2775</v>
      </c>
      <c r="DZ21" s="75" t="str">
        <f>HYPERLINK(".\links\CDD\EEC08503.1-CDD.txt","Chitin_bind_4 Insect cuticle protein")</f>
        <v>Chitin_bind_4 Insect cuticle protein</v>
      </c>
      <c r="EA21" s="79">
        <v>2.0000000000000001E-13</v>
      </c>
      <c r="EB21" s="75">
        <v>103.8</v>
      </c>
      <c r="EC21" s="75" t="s">
        <v>2858</v>
      </c>
      <c r="ED21" s="75" t="s">
        <v>2906</v>
      </c>
      <c r="EE21" s="75" t="str">
        <f>HYPERLINK(".\links\KOG\EEC08503.1-KOG.txt","CDD:227613 COG5294, COG5294, Uncharacterized protein conserved in bacteria")</f>
        <v>CDD:227613 COG5294, COG5294, Uncharacterized protein conserved in bacteria</v>
      </c>
      <c r="EF21" s="75">
        <v>9.8000000000000004E-2</v>
      </c>
      <c r="EG21" s="75">
        <v>44.2</v>
      </c>
      <c r="EH21" s="75" t="s">
        <v>2907</v>
      </c>
      <c r="EI21" s="75" t="s">
        <v>2779</v>
      </c>
      <c r="EJ21" s="75" t="str">
        <f>HYPERLINK(".\links\PFAM\EEC08503.1-PFAM.txt","Chitin_bind_4 Insect cuticle protein")</f>
        <v>Chitin_bind_4 Insect cuticle protein</v>
      </c>
      <c r="EK21" s="79">
        <v>4E-14</v>
      </c>
      <c r="EL21" s="75">
        <v>103.8</v>
      </c>
      <c r="EM21" s="75" t="s">
        <v>2858</v>
      </c>
      <c r="EN21" s="75" t="s">
        <v>2772</v>
      </c>
      <c r="EO21" s="75" t="str">
        <f>HYPERLINK(".\links\SMART\EEC08503.1-SMART.txt","CDD:214686 smart00480, POL3Bc, DNA polymerase III beta subunit")</f>
        <v>CDD:214686 smart00480, POL3Bc, DNA polymerase III beta subunit</v>
      </c>
      <c r="EP21" s="75">
        <v>0.92</v>
      </c>
      <c r="EQ21" s="75">
        <v>8.1</v>
      </c>
      <c r="ER21" s="75" t="s">
        <v>2908</v>
      </c>
      <c r="ES21" s="75" t="s">
        <v>2772</v>
      </c>
      <c r="ET21" s="75" t="str">
        <f>HYPERLINK(".\links\TSF\EEC08503.1-TSF.txt","55-383 55-383, GRP|Chitin binding|S|")</f>
        <v>55-383 55-383, GRP|Chitin binding|S|</v>
      </c>
      <c r="EU21" s="79">
        <v>1E-54</v>
      </c>
      <c r="EV21" s="75">
        <v>64.400000000000006</v>
      </c>
      <c r="EW21" s="75" t="s">
        <v>2883</v>
      </c>
      <c r="EX21" s="75" t="s">
        <v>2863</v>
      </c>
      <c r="EY21" s="75" t="s">
        <v>2864</v>
      </c>
      <c r="EZ21" s="75" t="s">
        <v>2785</v>
      </c>
      <c r="FA21" s="75" t="s">
        <v>2884</v>
      </c>
    </row>
    <row r="22" spans="1:157" x14ac:dyDescent="0.2">
      <c r="A22" s="75" t="str">
        <f>HYPERLINK(".\links\PEP\EEC17151.1-PEP.txt","EEC17151.1")</f>
        <v>EEC17151.1</v>
      </c>
      <c r="B22" s="75" t="s">
        <v>2768</v>
      </c>
      <c r="C22" s="75">
        <v>325</v>
      </c>
      <c r="D22" s="75" t="s">
        <v>2909</v>
      </c>
      <c r="E22" s="76" t="s">
        <v>2846</v>
      </c>
      <c r="F22" s="75" t="s">
        <v>2771</v>
      </c>
      <c r="G22" s="75" t="str">
        <f>HYPERLINK(".\links\Sigp\EEC17151.1-SigP.txt","SIG")</f>
        <v>SIG</v>
      </c>
      <c r="H22" s="75" t="s">
        <v>2910</v>
      </c>
      <c r="I22" s="75">
        <v>35.761000000000003</v>
      </c>
      <c r="J22" s="75">
        <v>6.35</v>
      </c>
      <c r="K22" s="75">
        <v>31.324000000000002</v>
      </c>
      <c r="L22" s="75">
        <v>6.14</v>
      </c>
      <c r="M22" s="75" t="str">
        <f>HYPERLINK(".\links\netoglyc\EEC17151.1-netoglyc.txt","7")</f>
        <v>7</v>
      </c>
      <c r="N22" s="75" t="s">
        <v>2911</v>
      </c>
      <c r="O22" s="75">
        <v>325</v>
      </c>
      <c r="P22" s="75" t="str">
        <f>HYPERLINK(".\links\tmhmm\EEC17151.1-tmhmm.txt","1")</f>
        <v>1</v>
      </c>
      <c r="Q22" s="75">
        <v>6.8</v>
      </c>
      <c r="R22" s="75">
        <v>6.2</v>
      </c>
      <c r="S22" s="75">
        <v>87.1</v>
      </c>
      <c r="T22" s="75" t="s">
        <v>2772</v>
      </c>
      <c r="U22" s="75">
        <v>283</v>
      </c>
      <c r="V22" s="75" t="s">
        <v>2772</v>
      </c>
      <c r="W22" s="75">
        <v>10.3</v>
      </c>
      <c r="X22" s="75">
        <v>7.9</v>
      </c>
      <c r="Y22" s="75">
        <v>11.5</v>
      </c>
      <c r="Z22" s="75">
        <v>0.9</v>
      </c>
      <c r="AA22" s="77">
        <v>19.692307692307701</v>
      </c>
      <c r="AB22" s="75">
        <v>0.37</v>
      </c>
      <c r="AD22" s="75">
        <v>19</v>
      </c>
      <c r="AE22" s="75" t="str">
        <f>HYPERLINK(".\links\pep\EEC17151.1-sulf.txt","1")</f>
        <v>1</v>
      </c>
      <c r="AF22" s="75" t="str">
        <f>HYPERLINK(".\links\pep\EEC17151.1-tyr-sulf.txt","Fasta with y")</f>
        <v>Fasta with y</v>
      </c>
      <c r="AG22" s="75" t="s">
        <v>2772</v>
      </c>
      <c r="AH22" s="75" t="s">
        <v>2772</v>
      </c>
      <c r="AI22" s="75" t="s">
        <v>2772</v>
      </c>
      <c r="AJ22" s="75">
        <v>3</v>
      </c>
      <c r="AK22" s="75" t="s">
        <v>2772</v>
      </c>
      <c r="AL22" s="75" t="s">
        <v>2772</v>
      </c>
      <c r="AM22" s="75" t="s">
        <v>2772</v>
      </c>
      <c r="AN22" s="75" t="s">
        <v>2772</v>
      </c>
      <c r="AO22" s="78" t="str">
        <f>HYPERLINK(".\links\AAM-CEMENT-2018\EEC17151.1-AAM-CEMENT-2018.txt","Extracted CDS")</f>
        <v>Extracted CDS</v>
      </c>
      <c r="AP22" s="75" t="str">
        <f>HYPERLINK("http://www.ncbi.nlm.nih.gov/sutils/blink.cgi?pid=Aam-176289","3E-05")</f>
        <v>3E-05</v>
      </c>
      <c r="AQ22" s="75" t="str">
        <f>HYPERLINK("http://www.ncbi.nlm.nih.gov/protein/Aam-176289","Aam-176289")</f>
        <v>Aam-176289</v>
      </c>
      <c r="AR22" s="75">
        <v>36.200000000000003</v>
      </c>
      <c r="AS22" s="75">
        <v>64</v>
      </c>
      <c r="AT22" s="75">
        <v>133</v>
      </c>
      <c r="AU22" s="75">
        <v>32</v>
      </c>
      <c r="AV22" s="75">
        <v>45</v>
      </c>
      <c r="AW22" s="75">
        <v>48</v>
      </c>
      <c r="AX22" s="75">
        <v>43</v>
      </c>
      <c r="AY22" s="75">
        <v>4</v>
      </c>
      <c r="AZ22" s="75">
        <v>43</v>
      </c>
      <c r="BA22" s="75">
        <v>56</v>
      </c>
      <c r="BB22" s="75">
        <v>1</v>
      </c>
      <c r="BC22" s="75" t="s">
        <v>2775</v>
      </c>
      <c r="BD22" s="78" t="str">
        <f>HYPERLINK(".\links\CDD\EEC17151.1-CDD.txt","CBM_14 Chitin binding Peritrophin-A domain")</f>
        <v>CBM_14 Chitin binding Peritrophin-A domain</v>
      </c>
      <c r="BE22" s="79">
        <v>1E-10</v>
      </c>
      <c r="BF22" s="75">
        <v>90.6</v>
      </c>
      <c r="BG22" s="75" t="s">
        <v>2850</v>
      </c>
      <c r="BH22" s="75" t="s">
        <v>2912</v>
      </c>
      <c r="BI22" s="75" t="str">
        <f>HYPERLINK(".\links\KOG\EEC17151.1-KOG.txt","CDD:225921 COG3386, COG3386, Gluconolactonase")</f>
        <v>CDD:225921 COG3386, COG3386, Gluconolactonase</v>
      </c>
      <c r="BJ22" s="75">
        <v>0.23</v>
      </c>
      <c r="BK22" s="75">
        <v>14</v>
      </c>
      <c r="BL22" s="75" t="s">
        <v>2913</v>
      </c>
      <c r="BM22" s="75" t="s">
        <v>2779</v>
      </c>
      <c r="BN22" s="78" t="str">
        <f>HYPERLINK(".\links\PFAM\EEC17151.1-PFAM.txt","CBM_14 Chitin binding Peritrophin-A domain")</f>
        <v>CBM_14 Chitin binding Peritrophin-A domain</v>
      </c>
      <c r="BO22" s="79">
        <v>1.9999999999999999E-11</v>
      </c>
      <c r="BP22" s="75">
        <v>90.6</v>
      </c>
      <c r="BQ22" s="75" t="s">
        <v>2850</v>
      </c>
      <c r="BR22" s="75" t="s">
        <v>2772</v>
      </c>
      <c r="BS22" s="78" t="str">
        <f>HYPERLINK(".\links\SMART\EEC17151.1-SMART.txt","CDD:214696 smart00494, ChtBD2, Chitin-binding domain type 2")</f>
        <v>CDD:214696 smart00494, ChtBD2, Chitin-binding domain type 2</v>
      </c>
      <c r="BT22" s="79">
        <v>2.0000000000000001E-10</v>
      </c>
      <c r="BU22" s="75">
        <v>93.9</v>
      </c>
      <c r="BV22" s="75" t="s">
        <v>2853</v>
      </c>
      <c r="BW22" s="75" t="s">
        <v>2772</v>
      </c>
      <c r="BX22" s="78" t="str">
        <f>HYPERLINK(".\links\TSF\EEC17151.1-TSF.txt","30-68 30-68, AlaRich||S|")</f>
        <v>30-68 30-68, AlaRich||S|</v>
      </c>
      <c r="BY22" s="79">
        <v>4.9999999999999998E-76</v>
      </c>
      <c r="BZ22" s="75">
        <v>94.1</v>
      </c>
      <c r="CA22" s="75" t="s">
        <v>2914</v>
      </c>
      <c r="CB22" s="75" t="s">
        <v>2855</v>
      </c>
      <c r="CC22" s="75" t="s">
        <v>2772</v>
      </c>
      <c r="CD22" s="75" t="s">
        <v>2785</v>
      </c>
      <c r="CE22" s="75" t="s">
        <v>2915</v>
      </c>
      <c r="CF22" s="75">
        <v>64</v>
      </c>
      <c r="CG22" s="75">
        <v>1</v>
      </c>
      <c r="CH22" s="75">
        <v>75</v>
      </c>
      <c r="CI22" s="75">
        <v>1</v>
      </c>
      <c r="CJ22" s="75">
        <v>76</v>
      </c>
      <c r="CK22" s="75">
        <v>1</v>
      </c>
      <c r="CL22" s="75">
        <v>80</v>
      </c>
      <c r="CM22" s="75">
        <v>1</v>
      </c>
      <c r="CN22" s="75">
        <v>84</v>
      </c>
      <c r="CO22" s="75">
        <v>1</v>
      </c>
      <c r="CP22" s="75">
        <v>86</v>
      </c>
      <c r="CQ22" s="75">
        <v>1</v>
      </c>
      <c r="CR22" s="75">
        <v>87</v>
      </c>
      <c r="CS22" s="75">
        <v>1</v>
      </c>
      <c r="CT22" s="75">
        <v>91</v>
      </c>
      <c r="CU22" s="75">
        <v>1</v>
      </c>
      <c r="CV22" s="75">
        <v>94</v>
      </c>
      <c r="CW22" s="75">
        <v>1</v>
      </c>
      <c r="CX22" s="75">
        <v>98</v>
      </c>
      <c r="CY22" s="75">
        <v>1</v>
      </c>
      <c r="CZ22" s="75">
        <v>101</v>
      </c>
      <c r="DA22" s="75">
        <v>1</v>
      </c>
      <c r="DB22" s="75">
        <v>107</v>
      </c>
      <c r="DC22" s="75">
        <v>1</v>
      </c>
      <c r="DD22" s="75">
        <v>111</v>
      </c>
      <c r="DE22" s="75">
        <v>1</v>
      </c>
      <c r="DF22" s="75">
        <v>113</v>
      </c>
      <c r="DG22" s="75">
        <v>1</v>
      </c>
      <c r="DH22" s="75">
        <v>114</v>
      </c>
      <c r="DI22" s="75">
        <v>1</v>
      </c>
      <c r="DJ22" s="75" t="s">
        <v>117</v>
      </c>
      <c r="DK22" s="75" t="str">
        <f>HYPERLINK(".\links\AAM-CEMENT-2018\EEC17151.1-AAM-CEMENT-2018.txt","Extracted CDS")</f>
        <v>Extracted CDS</v>
      </c>
      <c r="DL22" s="75" t="str">
        <f>HYPERLINK("http://www.ncbi.nlm.nih.gov/sutils/blink.cgi?pid=Aam-176289","3E-05")</f>
        <v>3E-05</v>
      </c>
      <c r="DM22" s="75" t="str">
        <f>HYPERLINK("http://www.ncbi.nlm.nih.gov/protein/Aam-176289","Aam-176289")</f>
        <v>Aam-176289</v>
      </c>
      <c r="DN22" s="75">
        <v>36.200000000000003</v>
      </c>
      <c r="DO22" s="75">
        <v>64</v>
      </c>
      <c r="DP22" s="75">
        <v>133</v>
      </c>
      <c r="DQ22" s="75">
        <v>32</v>
      </c>
      <c r="DR22" s="75">
        <v>45</v>
      </c>
      <c r="DS22" s="75">
        <v>48</v>
      </c>
      <c r="DT22" s="75">
        <v>43</v>
      </c>
      <c r="DU22" s="75">
        <v>4</v>
      </c>
      <c r="DV22" s="75">
        <v>43</v>
      </c>
      <c r="DW22" s="75">
        <v>56</v>
      </c>
      <c r="DX22" s="75">
        <v>1</v>
      </c>
      <c r="DY22" s="75" t="s">
        <v>2775</v>
      </c>
      <c r="DZ22" s="75" t="str">
        <f>HYPERLINK(".\links\CDD\EEC17151.1-CDD.txt","CBM_14 Chitin binding Peritrophin-A domain")</f>
        <v>CBM_14 Chitin binding Peritrophin-A domain</v>
      </c>
      <c r="EA22" s="79">
        <v>1E-10</v>
      </c>
      <c r="EB22" s="75">
        <v>90.6</v>
      </c>
      <c r="EC22" s="75" t="s">
        <v>2850</v>
      </c>
      <c r="ED22" s="75" t="s">
        <v>2912</v>
      </c>
      <c r="EE22" s="75" t="str">
        <f>HYPERLINK(".\links\KOG\EEC17151.1-KOG.txt","CDD:225921 COG3386, COG3386, Gluconolactonase")</f>
        <v>CDD:225921 COG3386, COG3386, Gluconolactonase</v>
      </c>
      <c r="EF22" s="75">
        <v>0.23</v>
      </c>
      <c r="EG22" s="75">
        <v>14</v>
      </c>
      <c r="EH22" s="75" t="s">
        <v>2913</v>
      </c>
      <c r="EI22" s="75" t="s">
        <v>2779</v>
      </c>
      <c r="EJ22" s="75" t="str">
        <f>HYPERLINK(".\links\PFAM\EEC17151.1-PFAM.txt","CBM_14 Chitin binding Peritrophin-A domain")</f>
        <v>CBM_14 Chitin binding Peritrophin-A domain</v>
      </c>
      <c r="EK22" s="79">
        <v>1.9999999999999999E-11</v>
      </c>
      <c r="EL22" s="75">
        <v>90.6</v>
      </c>
      <c r="EM22" s="75" t="s">
        <v>2850</v>
      </c>
      <c r="EN22" s="75" t="s">
        <v>2772</v>
      </c>
      <c r="EO22" s="75" t="str">
        <f>HYPERLINK(".\links\SMART\EEC17151.1-SMART.txt","CDD:214696 smart00494, ChtBD2, Chitin-binding domain type 2")</f>
        <v>CDD:214696 smart00494, ChtBD2, Chitin-binding domain type 2</v>
      </c>
      <c r="EP22" s="79">
        <v>2.0000000000000001E-10</v>
      </c>
      <c r="EQ22" s="75">
        <v>93.9</v>
      </c>
      <c r="ER22" s="75" t="s">
        <v>2853</v>
      </c>
      <c r="ES22" s="75" t="s">
        <v>2772</v>
      </c>
      <c r="ET22" s="75" t="str">
        <f>HYPERLINK(".\links\TSF\EEC17151.1-TSF.txt","30-68 30-68, AlaRich||S|")</f>
        <v>30-68 30-68, AlaRich||S|</v>
      </c>
      <c r="EU22" s="79">
        <v>4.9999999999999998E-76</v>
      </c>
      <c r="EV22" s="75">
        <v>94.1</v>
      </c>
      <c r="EW22" s="75" t="s">
        <v>2914</v>
      </c>
      <c r="EX22" s="75" t="s">
        <v>2855</v>
      </c>
      <c r="EY22" s="75" t="s">
        <v>2772</v>
      </c>
      <c r="EZ22" s="75" t="s">
        <v>2785</v>
      </c>
      <c r="FA22" s="75" t="s">
        <v>2915</v>
      </c>
    </row>
    <row r="23" spans="1:157" x14ac:dyDescent="0.2">
      <c r="A23" s="75" t="str">
        <f>HYPERLINK(".\links\PEP\EEC01924.1-PEP.txt","EEC01924.1")</f>
        <v>EEC01924.1</v>
      </c>
      <c r="B23" s="75" t="s">
        <v>2768</v>
      </c>
      <c r="C23" s="75">
        <v>149</v>
      </c>
      <c r="D23" s="75" t="s">
        <v>2875</v>
      </c>
      <c r="E23" s="76" t="s">
        <v>2846</v>
      </c>
      <c r="F23" s="75" t="s">
        <v>2771</v>
      </c>
      <c r="G23" s="75" t="str">
        <f>HYPERLINK(".\links\Sigp\EEC01924.1-SigP.txt","CYT")</f>
        <v>CYT</v>
      </c>
      <c r="H23" s="75" t="s">
        <v>2772</v>
      </c>
      <c r="I23" s="75">
        <v>15.664</v>
      </c>
      <c r="J23" s="75">
        <v>7.1</v>
      </c>
      <c r="K23" s="75" t="s">
        <v>2772</v>
      </c>
      <c r="L23" s="75" t="s">
        <v>2772</v>
      </c>
      <c r="M23" s="75" t="str">
        <f>HYPERLINK(".\links\netoglyc\EEC01924.1-netoglyc.txt","4")</f>
        <v>4</v>
      </c>
      <c r="N23" s="75" t="s">
        <v>2916</v>
      </c>
      <c r="O23" s="75">
        <v>149</v>
      </c>
      <c r="P23" s="75">
        <v>0</v>
      </c>
      <c r="Q23" s="75" t="s">
        <v>2772</v>
      </c>
      <c r="R23" s="75" t="s">
        <v>2772</v>
      </c>
      <c r="S23" s="75" t="s">
        <v>2772</v>
      </c>
      <c r="T23" s="75" t="s">
        <v>2772</v>
      </c>
      <c r="U23" s="75" t="s">
        <v>2772</v>
      </c>
      <c r="V23" s="75" t="s">
        <v>2772</v>
      </c>
      <c r="W23" s="75">
        <v>9.8000000000000007</v>
      </c>
      <c r="X23" s="75">
        <v>11.1</v>
      </c>
      <c r="Y23" s="75">
        <v>5.9</v>
      </c>
      <c r="Z23" s="75">
        <v>3.9</v>
      </c>
      <c r="AA23" s="77">
        <v>17.449664429530198</v>
      </c>
      <c r="AB23" s="75">
        <v>0.52</v>
      </c>
      <c r="AD23" s="75">
        <v>0</v>
      </c>
      <c r="AE23" s="75" t="s">
        <v>2772</v>
      </c>
      <c r="AF23" s="75" t="s">
        <v>2772</v>
      </c>
      <c r="AG23" s="75" t="s">
        <v>2772</v>
      </c>
      <c r="AH23" s="75" t="s">
        <v>2772</v>
      </c>
      <c r="AI23" s="75" t="s">
        <v>2772</v>
      </c>
      <c r="AJ23" s="75">
        <v>1</v>
      </c>
      <c r="AK23" s="75" t="s">
        <v>2772</v>
      </c>
      <c r="AL23" s="75" t="s">
        <v>2772</v>
      </c>
      <c r="AM23" s="75" t="s">
        <v>2772</v>
      </c>
      <c r="AN23" s="75" t="s">
        <v>2772</v>
      </c>
      <c r="AO23" s="78" t="str">
        <f>HYPERLINK(".\links\AAM-CEMENT-2018\EEC01924.1-AAM-CEMENT-2018.txt","Extracted CDS")</f>
        <v>Extracted CDS</v>
      </c>
      <c r="AP23" s="75" t="str">
        <f>HYPERLINK("http://www.ncbi.nlm.nih.gov/sutils/blink.cgi?pid=Aam-10233","8.2")</f>
        <v>8.2</v>
      </c>
      <c r="AQ23" s="75" t="str">
        <f>HYPERLINK("http://www.ncbi.nlm.nih.gov/protein/Aam-10233","Aam-10233")</f>
        <v>Aam-10233</v>
      </c>
      <c r="AR23" s="75">
        <v>18.899999999999999</v>
      </c>
      <c r="AS23" s="75">
        <v>47</v>
      </c>
      <c r="AT23" s="75">
        <v>102</v>
      </c>
      <c r="AU23" s="75">
        <v>31</v>
      </c>
      <c r="AV23" s="75">
        <v>42</v>
      </c>
      <c r="AW23" s="75">
        <v>46</v>
      </c>
      <c r="AX23" s="75">
        <v>32</v>
      </c>
      <c r="AY23" s="75">
        <v>7</v>
      </c>
      <c r="AZ23" s="75">
        <v>9</v>
      </c>
      <c r="BA23" s="75">
        <v>78</v>
      </c>
      <c r="BB23" s="75">
        <v>1</v>
      </c>
      <c r="BC23" s="75" t="s">
        <v>2775</v>
      </c>
      <c r="BD23" s="78" t="str">
        <f>HYPERLINK(".\links\CDD\EEC01924.1-CDD.txt","Chitin_bind_4 Insect cuticle protein")</f>
        <v>Chitin_bind_4 Insect cuticle protein</v>
      </c>
      <c r="BE23" s="79">
        <v>3E-9</v>
      </c>
      <c r="BF23" s="75">
        <v>100</v>
      </c>
      <c r="BG23" s="75" t="s">
        <v>2858</v>
      </c>
      <c r="BH23" s="75" t="s">
        <v>2917</v>
      </c>
      <c r="BI23" s="75" t="str">
        <f>HYPERLINK(".\links\KOG\EEC01924.1-KOG.txt","CDD:226064 COG3534, AbfA, Alpha-L-arabinofuranosidase")</f>
        <v>CDD:226064 COG3534, AbfA, Alpha-L-arabinofuranosidase</v>
      </c>
      <c r="BJ23" s="75">
        <v>0.19</v>
      </c>
      <c r="BK23" s="75">
        <v>7.4</v>
      </c>
      <c r="BL23" s="75" t="s">
        <v>2918</v>
      </c>
      <c r="BM23" s="75" t="s">
        <v>2779</v>
      </c>
      <c r="BN23" s="78" t="str">
        <f>HYPERLINK(".\links\PFAM\EEC01924.1-PFAM.txt","Chitin_bind_4 Insect cuticle protein")</f>
        <v>Chitin_bind_4 Insect cuticle protein</v>
      </c>
      <c r="BO23" s="79">
        <v>6.9999999999999996E-10</v>
      </c>
      <c r="BP23" s="75">
        <v>100</v>
      </c>
      <c r="BQ23" s="75" t="s">
        <v>2858</v>
      </c>
      <c r="BR23" s="75" t="s">
        <v>2772</v>
      </c>
      <c r="BS23" s="78" t="str">
        <f>HYPERLINK(".\links\SMART\EEC01924.1-SMART.txt","CDD:214625 smart00332, PP2Cc, Serine/threonine phosphatases, family 2C, catalytic domain")</f>
        <v>CDD:214625 smart00332, PP2Cc, Serine/threonine phosphatases, family 2C, catalytic domain</v>
      </c>
      <c r="BT23" s="75">
        <v>3.7999999999999999E-2</v>
      </c>
      <c r="BU23" s="75">
        <v>19.399999999999999</v>
      </c>
      <c r="BV23" s="75" t="s">
        <v>2919</v>
      </c>
      <c r="BW23" s="75" t="s">
        <v>2772</v>
      </c>
      <c r="BX23" s="78" t="str">
        <f>HYPERLINK(".\links\TSF\EEC01924.1-TSF.txt","35-48 35-48, GRP|Chitin binding|S|")</f>
        <v>35-48 35-48, GRP|Chitin binding|S|</v>
      </c>
      <c r="BY23" s="79">
        <v>6.0000000000000001E-28</v>
      </c>
      <c r="BZ23" s="75">
        <v>44</v>
      </c>
      <c r="CA23" s="75" t="s">
        <v>2862</v>
      </c>
      <c r="CB23" s="75" t="s">
        <v>2863</v>
      </c>
      <c r="CC23" s="75" t="s">
        <v>2864</v>
      </c>
      <c r="CD23" s="75" t="s">
        <v>2785</v>
      </c>
      <c r="CE23" s="75" t="s">
        <v>2865</v>
      </c>
      <c r="CF23" s="75">
        <f>HYPERLINK(".\links\cluster-b\Ixsc-cement-202225-50SimCLU1.txt", 1)</f>
        <v>1</v>
      </c>
      <c r="CG23" s="75">
        <f>HYPERLINK(".\links\cluster-b\Ixsc-cement-202225-50SimCLTL1.txt", 20)</f>
        <v>20</v>
      </c>
      <c r="CH23" s="75">
        <f>HYPERLINK(".\links\cluster-b\Ixsc-cement-202230-50SimCLU1.txt", 1)</f>
        <v>1</v>
      </c>
      <c r="CI23" s="75">
        <f>HYPERLINK(".\links\cluster-b\Ixsc-cement-202230-50SimCLTL1.txt", 14)</f>
        <v>14</v>
      </c>
      <c r="CJ23" s="75">
        <f>HYPERLINK(".\links\cluster-b\Ixsc-cement-202235-50SimCLU1.txt", 1)</f>
        <v>1</v>
      </c>
      <c r="CK23" s="75">
        <f>HYPERLINK(".\links\cluster-b\Ixsc-cement-202235-50SimCLTL1.txt", 14)</f>
        <v>14</v>
      </c>
      <c r="CL23" s="75">
        <f>HYPERLINK(".\links\cluster-b\Ixsc-cement-202240-50SimCLU7.txt", 7)</f>
        <v>7</v>
      </c>
      <c r="CM23" s="75">
        <f>HYPERLINK(".\links\cluster-b\Ixsc-cement-202240-50SimCLTL7.txt", 4)</f>
        <v>4</v>
      </c>
      <c r="CN23" s="75">
        <f>HYPERLINK(".\links\cluster-b\Ixsc-cement-202245-50SimCLU10.txt", 10)</f>
        <v>10</v>
      </c>
      <c r="CO23" s="75">
        <f>HYPERLINK(".\links\cluster-b\Ixsc-cement-202245-50SimCLTL10.txt", 3)</f>
        <v>3</v>
      </c>
      <c r="CP23" s="75">
        <v>30</v>
      </c>
      <c r="CQ23" s="75">
        <v>1</v>
      </c>
      <c r="CR23" s="75">
        <v>31</v>
      </c>
      <c r="CS23" s="75">
        <v>1</v>
      </c>
      <c r="CT23" s="75">
        <v>33</v>
      </c>
      <c r="CU23" s="75">
        <v>1</v>
      </c>
      <c r="CV23" s="75">
        <v>33</v>
      </c>
      <c r="CW23" s="75">
        <v>1</v>
      </c>
      <c r="CX23" s="75">
        <v>34</v>
      </c>
      <c r="CY23" s="75">
        <v>1</v>
      </c>
      <c r="CZ23" s="75">
        <v>34</v>
      </c>
      <c r="DA23" s="75">
        <v>1</v>
      </c>
      <c r="DB23" s="75">
        <v>34</v>
      </c>
      <c r="DC23" s="75">
        <v>1</v>
      </c>
      <c r="DD23" s="75">
        <v>32</v>
      </c>
      <c r="DE23" s="75">
        <v>1</v>
      </c>
      <c r="DF23" s="75">
        <v>31</v>
      </c>
      <c r="DG23" s="75">
        <v>1</v>
      </c>
      <c r="DH23" s="75">
        <v>31</v>
      </c>
      <c r="DI23" s="75">
        <v>1</v>
      </c>
      <c r="DJ23" s="75" t="s">
        <v>208</v>
      </c>
      <c r="DK23" s="75" t="str">
        <f>HYPERLINK(".\links\AAM-CEMENT-2018\EEC01924.1-AAM-CEMENT-2018.txt","Extracted CDS")</f>
        <v>Extracted CDS</v>
      </c>
      <c r="DL23" s="75" t="str">
        <f>HYPERLINK("http://www.ncbi.nlm.nih.gov/sutils/blink.cgi?pid=Aam-10233","8.2")</f>
        <v>8.2</v>
      </c>
      <c r="DM23" s="75" t="str">
        <f>HYPERLINK("http://www.ncbi.nlm.nih.gov/protein/Aam-10233","Aam-10233")</f>
        <v>Aam-10233</v>
      </c>
      <c r="DN23" s="75">
        <v>18.899999999999999</v>
      </c>
      <c r="DO23" s="75">
        <v>47</v>
      </c>
      <c r="DP23" s="75">
        <v>102</v>
      </c>
      <c r="DQ23" s="75">
        <v>31</v>
      </c>
      <c r="DR23" s="75">
        <v>42</v>
      </c>
      <c r="DS23" s="75">
        <v>46</v>
      </c>
      <c r="DT23" s="75">
        <v>32</v>
      </c>
      <c r="DU23" s="75">
        <v>7</v>
      </c>
      <c r="DV23" s="75">
        <v>9</v>
      </c>
      <c r="DW23" s="75">
        <v>78</v>
      </c>
      <c r="DX23" s="75">
        <v>1</v>
      </c>
      <c r="DY23" s="75" t="s">
        <v>2775</v>
      </c>
      <c r="DZ23" s="75" t="str">
        <f>HYPERLINK(".\links\CDD\EEC01924.1-CDD.txt","Chitin_bind_4 Insect cuticle protein")</f>
        <v>Chitin_bind_4 Insect cuticle protein</v>
      </c>
      <c r="EA23" s="79">
        <v>3E-9</v>
      </c>
      <c r="EB23" s="75">
        <v>100</v>
      </c>
      <c r="EC23" s="75" t="s">
        <v>2858</v>
      </c>
      <c r="ED23" s="75" t="s">
        <v>2917</v>
      </c>
      <c r="EE23" s="75" t="str">
        <f>HYPERLINK(".\links\KOG\EEC01924.1-KOG.txt","CDD:226064 COG3534, AbfA, Alpha-L-arabinofuranosidase")</f>
        <v>CDD:226064 COG3534, AbfA, Alpha-L-arabinofuranosidase</v>
      </c>
      <c r="EF23" s="75">
        <v>0.19</v>
      </c>
      <c r="EG23" s="75">
        <v>7.4</v>
      </c>
      <c r="EH23" s="75" t="s">
        <v>2918</v>
      </c>
      <c r="EI23" s="75" t="s">
        <v>2779</v>
      </c>
      <c r="EJ23" s="75" t="str">
        <f>HYPERLINK(".\links\PFAM\EEC01924.1-PFAM.txt","Chitin_bind_4 Insect cuticle protein")</f>
        <v>Chitin_bind_4 Insect cuticle protein</v>
      </c>
      <c r="EK23" s="79">
        <v>6.9999999999999996E-10</v>
      </c>
      <c r="EL23" s="75">
        <v>100</v>
      </c>
      <c r="EM23" s="75" t="s">
        <v>2858</v>
      </c>
      <c r="EN23" s="75" t="s">
        <v>2772</v>
      </c>
      <c r="EO23" s="75" t="str">
        <f>HYPERLINK(".\links\SMART\EEC01924.1-SMART.txt","CDD:214625 smart00332, PP2Cc, Serine/threonine phosphatases, family 2C, catalytic domain")</f>
        <v>CDD:214625 smart00332, PP2Cc, Serine/threonine phosphatases, family 2C, catalytic domain</v>
      </c>
      <c r="EP23" s="75">
        <v>3.7999999999999999E-2</v>
      </c>
      <c r="EQ23" s="75">
        <v>19.399999999999999</v>
      </c>
      <c r="ER23" s="75" t="s">
        <v>2919</v>
      </c>
      <c r="ES23" s="75" t="s">
        <v>2772</v>
      </c>
      <c r="ET23" s="75" t="str">
        <f>HYPERLINK(".\links\TSF\EEC01924.1-TSF.txt","35-48 35-48, GRP|Chitin binding|S|")</f>
        <v>35-48 35-48, GRP|Chitin binding|S|</v>
      </c>
      <c r="EU23" s="79">
        <v>6.0000000000000001E-28</v>
      </c>
      <c r="EV23" s="75">
        <v>44</v>
      </c>
      <c r="EW23" s="75" t="s">
        <v>2862</v>
      </c>
      <c r="EX23" s="75" t="s">
        <v>2863</v>
      </c>
      <c r="EY23" s="75" t="s">
        <v>2864</v>
      </c>
      <c r="EZ23" s="75" t="s">
        <v>2785</v>
      </c>
      <c r="FA23" s="75" t="s">
        <v>2865</v>
      </c>
    </row>
    <row r="24" spans="1:157" x14ac:dyDescent="0.2">
      <c r="A24" s="75" t="str">
        <f>HYPERLINK(".\links\PEP\EEC04237.1-PEP.txt","EEC04237.1")</f>
        <v>EEC04237.1</v>
      </c>
      <c r="B24" s="75" t="s">
        <v>2768</v>
      </c>
      <c r="C24" s="75">
        <v>246</v>
      </c>
      <c r="D24" s="75" t="s">
        <v>2845</v>
      </c>
      <c r="E24" s="76" t="s">
        <v>2846</v>
      </c>
      <c r="F24" s="75" t="s">
        <v>2771</v>
      </c>
      <c r="G24" s="75" t="str">
        <f>HYPERLINK(".\links\Sigp\EEC04237.1-SigP.txt","CYT")</f>
        <v>CYT</v>
      </c>
      <c r="H24" s="75" t="s">
        <v>2772</v>
      </c>
      <c r="I24" s="75">
        <v>26.652000000000001</v>
      </c>
      <c r="J24" s="75">
        <v>8.9700000000000006</v>
      </c>
      <c r="K24" s="75" t="s">
        <v>2772</v>
      </c>
      <c r="L24" s="75" t="s">
        <v>2772</v>
      </c>
      <c r="M24" s="75" t="str">
        <f>HYPERLINK(".\links\netoglyc\EEC04237.1-netoglyc.txt","0")</f>
        <v>0</v>
      </c>
      <c r="N24" s="75" t="s">
        <v>2920</v>
      </c>
      <c r="O24" s="75">
        <v>246</v>
      </c>
      <c r="P24" s="75">
        <v>0</v>
      </c>
      <c r="Q24" s="75" t="s">
        <v>2772</v>
      </c>
      <c r="R24" s="75" t="s">
        <v>2772</v>
      </c>
      <c r="S24" s="75" t="s">
        <v>2772</v>
      </c>
      <c r="T24" s="75" t="s">
        <v>2772</v>
      </c>
      <c r="U24" s="75" t="s">
        <v>2772</v>
      </c>
      <c r="V24" s="75" t="s">
        <v>2921</v>
      </c>
      <c r="W24" s="75">
        <v>12</v>
      </c>
      <c r="X24" s="75">
        <v>7.2</v>
      </c>
      <c r="Y24" s="75">
        <v>6.8</v>
      </c>
      <c r="Z24" s="75" t="s">
        <v>2774</v>
      </c>
      <c r="AA24" s="77">
        <v>14.227642276422801</v>
      </c>
      <c r="AB24" s="75">
        <v>0.21</v>
      </c>
      <c r="AD24" s="75">
        <v>9</v>
      </c>
      <c r="AE24" s="75" t="s">
        <v>2772</v>
      </c>
      <c r="AF24" s="75" t="s">
        <v>2772</v>
      </c>
      <c r="AG24" s="75" t="s">
        <v>2772</v>
      </c>
      <c r="AH24" s="75" t="s">
        <v>2772</v>
      </c>
      <c r="AI24" s="75" t="s">
        <v>2772</v>
      </c>
      <c r="AJ24" s="75">
        <v>2</v>
      </c>
      <c r="AK24" s="75" t="s">
        <v>2772</v>
      </c>
      <c r="AL24" s="75" t="s">
        <v>2772</v>
      </c>
      <c r="AM24" s="75" t="s">
        <v>2772</v>
      </c>
      <c r="AN24" s="75" t="s">
        <v>2772</v>
      </c>
      <c r="AO24" s="78" t="str">
        <f>HYPERLINK(".\links\AAM-CEMENT-2018\EEC04237.1-AAM-CEMENT-2018.txt","Extracted CDS")</f>
        <v>Extracted CDS</v>
      </c>
      <c r="AP24" s="75" t="str">
        <f>HYPERLINK("http://www.ncbi.nlm.nih.gov/sutils/blink.cgi?pid=Aam-192352","0.33")</f>
        <v>0.33</v>
      </c>
      <c r="AQ24" s="75" t="str">
        <f>HYPERLINK("http://www.ncbi.nlm.nih.gov/protein/Aam-192352","Aam-192352")</f>
        <v>Aam-192352</v>
      </c>
      <c r="AR24" s="75">
        <v>24.6</v>
      </c>
      <c r="AS24" s="75">
        <v>35</v>
      </c>
      <c r="AT24" s="75">
        <v>376</v>
      </c>
      <c r="AU24" s="75">
        <v>31</v>
      </c>
      <c r="AV24" s="75">
        <v>57</v>
      </c>
      <c r="AW24" s="75">
        <v>9</v>
      </c>
      <c r="AX24" s="75">
        <v>24</v>
      </c>
      <c r="AY24" s="75">
        <v>2</v>
      </c>
      <c r="AZ24" s="75">
        <v>230</v>
      </c>
      <c r="BA24" s="75">
        <v>97</v>
      </c>
      <c r="BB24" s="75">
        <v>1</v>
      </c>
      <c r="BC24" s="75" t="s">
        <v>2775</v>
      </c>
      <c r="BD24" s="78" t="str">
        <f>HYPERLINK(".\links\CDD\EEC04237.1-CDD.txt","CBM_14 Chitin binding Peritrophin-A domain")</f>
        <v>CBM_14 Chitin binding Peritrophin-A domain</v>
      </c>
      <c r="BE24" s="79">
        <v>6.9999999999999997E-7</v>
      </c>
      <c r="BF24" s="75">
        <v>107.5</v>
      </c>
      <c r="BG24" s="75" t="s">
        <v>2850</v>
      </c>
      <c r="BH24" s="75" t="s">
        <v>2922</v>
      </c>
      <c r="BI24" s="75" t="str">
        <f>HYPERLINK(".\links\KOG\EEC04237.1-KOG.txt","CDD:226729 COG4279, COG4279, Uncharacterized conserved protein")</f>
        <v>CDD:226729 COG4279, COG4279, Uncharacterized conserved protein</v>
      </c>
      <c r="BJ24" s="75">
        <v>1.6</v>
      </c>
      <c r="BK24" s="75">
        <v>9</v>
      </c>
      <c r="BL24" s="75" t="s">
        <v>2923</v>
      </c>
      <c r="BM24" s="75" t="s">
        <v>2779</v>
      </c>
      <c r="BN24" s="78" t="str">
        <f>HYPERLINK(".\links\PFAM\EEC04237.1-PFAM.txt","CBM_14 Chitin binding Peritrophin-A domain")</f>
        <v>CBM_14 Chitin binding Peritrophin-A domain</v>
      </c>
      <c r="BO24" s="79">
        <v>1.9999999999999999E-7</v>
      </c>
      <c r="BP24" s="75">
        <v>107.5</v>
      </c>
      <c r="BQ24" s="75" t="s">
        <v>2850</v>
      </c>
      <c r="BR24" s="75" t="s">
        <v>2772</v>
      </c>
      <c r="BS24" s="78" t="str">
        <f>HYPERLINK(".\links\SMART\EEC04237.1-SMART.txt","CDD:214696 smart00494, ChtBD2, Chitin-binding domain type 2")</f>
        <v>CDD:214696 smart00494, ChtBD2, Chitin-binding domain type 2</v>
      </c>
      <c r="BT24" s="79">
        <v>7.9999999999999996E-7</v>
      </c>
      <c r="BU24" s="75">
        <v>120.4</v>
      </c>
      <c r="BV24" s="75" t="s">
        <v>2853</v>
      </c>
      <c r="BW24" s="75" t="s">
        <v>2772</v>
      </c>
      <c r="BX24" s="78" t="str">
        <f>HYPERLINK(".\links\TSF\EEC04237.1-TSF.txt","30-165 30-165, AlaRich||S|")</f>
        <v>30-165 30-165, AlaRich||S|</v>
      </c>
      <c r="BY24" s="79">
        <v>3E-79</v>
      </c>
      <c r="BZ24" s="75">
        <v>100</v>
      </c>
      <c r="CA24" s="75" t="s">
        <v>2854</v>
      </c>
      <c r="CB24" s="75" t="s">
        <v>2855</v>
      </c>
      <c r="CC24" s="75" t="s">
        <v>2772</v>
      </c>
      <c r="CD24" s="75" t="s">
        <v>2785</v>
      </c>
      <c r="CE24" s="75" t="s">
        <v>2856</v>
      </c>
      <c r="CF24" s="75">
        <f>HYPERLINK(".\links\cluster-b\Ixsc-cement-202225-50SimCLU11.txt", 11)</f>
        <v>11</v>
      </c>
      <c r="CG24" s="75">
        <f>HYPERLINK(".\links\cluster-b\Ixsc-cement-202225-50SimCLTL11.txt", 3)</f>
        <v>3</v>
      </c>
      <c r="CH24" s="75">
        <f>HYPERLINK(".\links\cluster-b\Ixsc-cement-202230-50SimCLU10.txt", 10)</f>
        <v>10</v>
      </c>
      <c r="CI24" s="75">
        <f>HYPERLINK(".\links\cluster-b\Ixsc-cement-202230-50SimCLTL10.txt", 3)</f>
        <v>3</v>
      </c>
      <c r="CJ24" s="75">
        <f>HYPERLINK(".\links\cluster-b\Ixsc-cement-202235-50SimCLU9.txt", 9)</f>
        <v>9</v>
      </c>
      <c r="CK24" s="75">
        <f>HYPERLINK(".\links\cluster-b\Ixsc-cement-202235-50SimCLTL9.txt", 3)</f>
        <v>3</v>
      </c>
      <c r="CL24" s="75">
        <f>HYPERLINK(".\links\cluster-b\Ixsc-cement-202240-50SimCLU10.txt", 10)</f>
        <v>10</v>
      </c>
      <c r="CM24" s="75">
        <f>HYPERLINK(".\links\cluster-b\Ixsc-cement-202240-50SimCLTL10.txt", 3)</f>
        <v>3</v>
      </c>
      <c r="CN24" s="75">
        <f>HYPERLINK(".\links\cluster-b\Ixsc-cement-202245-50SimCLU9.txt", 9)</f>
        <v>9</v>
      </c>
      <c r="CO24" s="75">
        <f>HYPERLINK(".\links\cluster-b\Ixsc-cement-202245-50SimCLTL9.txt", 3)</f>
        <v>3</v>
      </c>
      <c r="CP24" s="75">
        <f>HYPERLINK(".\links\cluster-b\Ixsc-cement-202250-50SimCLU9.txt", 9)</f>
        <v>9</v>
      </c>
      <c r="CQ24" s="75">
        <f>HYPERLINK(".\links\cluster-b\Ixsc-cement-202250-50SimCLTL9.txt", 3)</f>
        <v>3</v>
      </c>
      <c r="CR24" s="75">
        <f>HYPERLINK(".\links\cluster-b\Ixsc-cement-202255-50SimCLU8.txt", 8)</f>
        <v>8</v>
      </c>
      <c r="CS24" s="75">
        <f>HYPERLINK(".\links\cluster-b\Ixsc-cement-202255-50SimCLTL8.txt", 3)</f>
        <v>3</v>
      </c>
      <c r="CT24" s="75">
        <v>42</v>
      </c>
      <c r="CU24" s="75">
        <v>1</v>
      </c>
      <c r="CV24" s="75">
        <v>44</v>
      </c>
      <c r="CW24" s="75">
        <v>1</v>
      </c>
      <c r="CX24" s="75">
        <v>46</v>
      </c>
      <c r="CY24" s="75">
        <v>1</v>
      </c>
      <c r="CZ24" s="75">
        <v>47</v>
      </c>
      <c r="DA24" s="75">
        <v>1</v>
      </c>
      <c r="DB24" s="75">
        <v>47</v>
      </c>
      <c r="DC24" s="75">
        <v>1</v>
      </c>
      <c r="DD24" s="75">
        <v>48</v>
      </c>
      <c r="DE24" s="75">
        <v>1</v>
      </c>
      <c r="DF24" s="75">
        <v>47</v>
      </c>
      <c r="DG24" s="75">
        <v>1</v>
      </c>
      <c r="DH24" s="75">
        <v>48</v>
      </c>
      <c r="DI24" s="75">
        <v>1</v>
      </c>
      <c r="DJ24" s="75" t="s">
        <v>207</v>
      </c>
      <c r="DK24" s="75" t="str">
        <f>HYPERLINK(".\links\AAM-CEMENT-2018\EEC04237.1-AAM-CEMENT-2018.txt","Extracted CDS")</f>
        <v>Extracted CDS</v>
      </c>
      <c r="DL24" s="75" t="str">
        <f>HYPERLINK("http://www.ncbi.nlm.nih.gov/sutils/blink.cgi?pid=Aam-192352","0.33")</f>
        <v>0.33</v>
      </c>
      <c r="DM24" s="75" t="str">
        <f>HYPERLINK("http://www.ncbi.nlm.nih.gov/protein/Aam-192352","Aam-192352")</f>
        <v>Aam-192352</v>
      </c>
      <c r="DN24" s="75">
        <v>24.6</v>
      </c>
      <c r="DO24" s="75">
        <v>35</v>
      </c>
      <c r="DP24" s="75">
        <v>376</v>
      </c>
      <c r="DQ24" s="75">
        <v>31</v>
      </c>
      <c r="DR24" s="75">
        <v>57</v>
      </c>
      <c r="DS24" s="75">
        <v>9</v>
      </c>
      <c r="DT24" s="75">
        <v>24</v>
      </c>
      <c r="DU24" s="75">
        <v>2</v>
      </c>
      <c r="DV24" s="75">
        <v>230</v>
      </c>
      <c r="DW24" s="75">
        <v>97</v>
      </c>
      <c r="DX24" s="75">
        <v>1</v>
      </c>
      <c r="DY24" s="75" t="s">
        <v>2775</v>
      </c>
      <c r="DZ24" s="75" t="str">
        <f>HYPERLINK(".\links\CDD\EEC04237.1-CDD.txt","CBM_14 Chitin binding Peritrophin-A domain")</f>
        <v>CBM_14 Chitin binding Peritrophin-A domain</v>
      </c>
      <c r="EA24" s="79">
        <v>6.9999999999999997E-7</v>
      </c>
      <c r="EB24" s="75">
        <v>107.5</v>
      </c>
      <c r="EC24" s="75" t="s">
        <v>2850</v>
      </c>
      <c r="ED24" s="75" t="s">
        <v>2922</v>
      </c>
      <c r="EE24" s="75" t="str">
        <f>HYPERLINK(".\links\KOG\EEC04237.1-KOG.txt","CDD:226729 COG4279, COG4279, Uncharacterized conserved protein")</f>
        <v>CDD:226729 COG4279, COG4279, Uncharacterized conserved protein</v>
      </c>
      <c r="EF24" s="75">
        <v>1.6</v>
      </c>
      <c r="EG24" s="75">
        <v>9</v>
      </c>
      <c r="EH24" s="75" t="s">
        <v>2923</v>
      </c>
      <c r="EI24" s="75" t="s">
        <v>2779</v>
      </c>
      <c r="EJ24" s="75" t="str">
        <f>HYPERLINK(".\links\PFAM\EEC04237.1-PFAM.txt","CBM_14 Chitin binding Peritrophin-A domain")</f>
        <v>CBM_14 Chitin binding Peritrophin-A domain</v>
      </c>
      <c r="EK24" s="79">
        <v>1.9999999999999999E-7</v>
      </c>
      <c r="EL24" s="75">
        <v>107.5</v>
      </c>
      <c r="EM24" s="75" t="s">
        <v>2850</v>
      </c>
      <c r="EN24" s="75" t="s">
        <v>2772</v>
      </c>
      <c r="EO24" s="75" t="str">
        <f>HYPERLINK(".\links\SMART\EEC04237.1-SMART.txt","CDD:214696 smart00494, ChtBD2, Chitin-binding domain type 2")</f>
        <v>CDD:214696 smart00494, ChtBD2, Chitin-binding domain type 2</v>
      </c>
      <c r="EP24" s="79">
        <v>7.9999999999999996E-7</v>
      </c>
      <c r="EQ24" s="75">
        <v>120.4</v>
      </c>
      <c r="ER24" s="75" t="s">
        <v>2853</v>
      </c>
      <c r="ES24" s="75" t="s">
        <v>2772</v>
      </c>
      <c r="ET24" s="75" t="str">
        <f>HYPERLINK(".\links\TSF\EEC04237.1-TSF.txt","30-165 30-165, AlaRich||S|")</f>
        <v>30-165 30-165, AlaRich||S|</v>
      </c>
      <c r="EU24" s="79">
        <v>3E-79</v>
      </c>
      <c r="EV24" s="75">
        <v>100</v>
      </c>
      <c r="EW24" s="75" t="s">
        <v>2854</v>
      </c>
      <c r="EX24" s="75" t="s">
        <v>2855</v>
      </c>
      <c r="EY24" s="75" t="s">
        <v>2772</v>
      </c>
      <c r="EZ24" s="75" t="s">
        <v>2785</v>
      </c>
      <c r="FA24" s="75" t="s">
        <v>2856</v>
      </c>
    </row>
    <row r="25" spans="1:157" x14ac:dyDescent="0.2">
      <c r="A25" s="75" t="str">
        <f>HYPERLINK(".\links\PEP\EEC11084.1-PEP.txt","EEC11084.1")</f>
        <v>EEC11084.1</v>
      </c>
      <c r="B25" s="75" t="s">
        <v>2768</v>
      </c>
      <c r="C25" s="75">
        <v>712</v>
      </c>
      <c r="D25" s="75" t="s">
        <v>2924</v>
      </c>
      <c r="E25" s="76" t="s">
        <v>2846</v>
      </c>
      <c r="F25" s="75" t="s">
        <v>2771</v>
      </c>
      <c r="G25" s="75" t="str">
        <f>HYPERLINK(".\links\Sigp\EEC11084.1-SigP.txt","SIG")</f>
        <v>SIG</v>
      </c>
      <c r="H25" s="75" t="s">
        <v>2866</v>
      </c>
      <c r="I25" s="75">
        <v>77.703000000000003</v>
      </c>
      <c r="J25" s="75">
        <v>8.56</v>
      </c>
      <c r="K25" s="75">
        <v>76.122</v>
      </c>
      <c r="L25" s="75">
        <v>8.56</v>
      </c>
      <c r="M25" s="75" t="str">
        <f>HYPERLINK(".\links\netoglyc\EEC11084.1-netoglyc.txt","1")</f>
        <v>1</v>
      </c>
      <c r="N25" s="75" t="s">
        <v>2925</v>
      </c>
      <c r="O25" s="75">
        <v>712</v>
      </c>
      <c r="P25" s="75" t="str">
        <f>HYPERLINK(".\links\tmhmm\EEC11084.1-tmhmm.txt","5")</f>
        <v>5</v>
      </c>
      <c r="Q25" s="75">
        <v>14.7</v>
      </c>
      <c r="R25" s="75">
        <v>36.799999999999997</v>
      </c>
      <c r="S25" s="75">
        <v>48.5</v>
      </c>
      <c r="T25" s="75" t="s">
        <v>2772</v>
      </c>
      <c r="U25" s="75" t="s">
        <v>2772</v>
      </c>
      <c r="V25" s="75" t="s">
        <v>2772</v>
      </c>
      <c r="W25" s="75">
        <v>12.7</v>
      </c>
      <c r="X25" s="75">
        <v>11.7</v>
      </c>
      <c r="Y25" s="75">
        <v>5.2</v>
      </c>
      <c r="Z25" s="75">
        <v>1.2</v>
      </c>
      <c r="AA25" s="77">
        <v>17.2752808988764</v>
      </c>
      <c r="AB25" s="75">
        <v>0.25</v>
      </c>
      <c r="AD25" s="75">
        <v>7</v>
      </c>
      <c r="AE25" s="75" t="str">
        <f>HYPERLINK(".\links\pep\EEC11084.1-sulf.txt","1")</f>
        <v>1</v>
      </c>
      <c r="AF25" s="75" t="str">
        <f>HYPERLINK(".\links\pep\EEC11084.1-tyr-sulf.txt","Fasta with y")</f>
        <v>Fasta with y</v>
      </c>
      <c r="AG25" s="75" t="s">
        <v>2772</v>
      </c>
      <c r="AH25" s="75" t="s">
        <v>2772</v>
      </c>
      <c r="AI25" s="75">
        <v>3</v>
      </c>
      <c r="AJ25" s="75">
        <v>4</v>
      </c>
      <c r="AK25" s="75" t="s">
        <v>2772</v>
      </c>
      <c r="AL25" s="75" t="s">
        <v>2772</v>
      </c>
      <c r="AM25" s="75" t="s">
        <v>2772</v>
      </c>
      <c r="AN25" s="75" t="s">
        <v>2772</v>
      </c>
      <c r="AO25" s="78" t="str">
        <f>HYPERLINK(".\links\AAM-CEMENT-2018\EEC11084.1-AAM-CEMENT-2018.txt","Extracted CDS")</f>
        <v>Extracted CDS</v>
      </c>
      <c r="AP25" s="75" t="str">
        <f>HYPERLINK("http://www.ncbi.nlm.nih.gov/sutils/blink.cgi?pid=Aam-176270","0.56")</f>
        <v>0.56</v>
      </c>
      <c r="AQ25" s="75" t="str">
        <f>HYPERLINK("http://www.ncbi.nlm.nih.gov/protein/Aam-176270","Aam-176270")</f>
        <v>Aam-176270</v>
      </c>
      <c r="AR25" s="75">
        <v>25.4</v>
      </c>
      <c r="AS25" s="75">
        <v>56</v>
      </c>
      <c r="AT25" s="75">
        <v>201</v>
      </c>
      <c r="AU25" s="75">
        <v>30</v>
      </c>
      <c r="AV25" s="75">
        <v>51</v>
      </c>
      <c r="AW25" s="75">
        <v>28</v>
      </c>
      <c r="AX25" s="75">
        <v>39</v>
      </c>
      <c r="AY25" s="75">
        <v>3</v>
      </c>
      <c r="AZ25" s="75">
        <v>124</v>
      </c>
      <c r="BA25" s="75">
        <v>70</v>
      </c>
      <c r="BB25" s="75">
        <v>1</v>
      </c>
      <c r="BC25" s="75" t="s">
        <v>2775</v>
      </c>
      <c r="BD25" s="78" t="str">
        <f>HYPERLINK(".\links\CDD\EEC11084.1-CDD.txt","Chitin_bind_4 Insect cuticle protein")</f>
        <v>Chitin_bind_4 Insect cuticle protein</v>
      </c>
      <c r="BE25" s="79">
        <v>8.9999999999999999E-8</v>
      </c>
      <c r="BF25" s="75">
        <v>100</v>
      </c>
      <c r="BG25" s="75" t="s">
        <v>2858</v>
      </c>
      <c r="BH25" s="75" t="s">
        <v>2926</v>
      </c>
      <c r="BI25" s="75" t="str">
        <f>HYPERLINK(".\links\KOG\EEC11084.1-KOG.txt","CDD:226540 COG4054, McrB, Methyl coenzyme M reductase, beta subunit")</f>
        <v>CDD:226540 COG4054, McrB, Methyl coenzyme M reductase, beta subunit</v>
      </c>
      <c r="BJ25" s="75">
        <v>1.8</v>
      </c>
      <c r="BK25" s="75">
        <v>4.7</v>
      </c>
      <c r="BL25" s="75" t="s">
        <v>2927</v>
      </c>
      <c r="BM25" s="75" t="s">
        <v>2779</v>
      </c>
      <c r="BN25" s="78" t="str">
        <f>HYPERLINK(".\links\PFAM\EEC11084.1-PFAM.txt","Chitin_bind_4 Insect cuticle protein")</f>
        <v>Chitin_bind_4 Insect cuticle protein</v>
      </c>
      <c r="BO25" s="79">
        <v>2E-8</v>
      </c>
      <c r="BP25" s="75">
        <v>100</v>
      </c>
      <c r="BQ25" s="75" t="s">
        <v>2858</v>
      </c>
      <c r="BR25" s="75" t="s">
        <v>2772</v>
      </c>
      <c r="BS25" s="78" t="str">
        <f>HYPERLINK(".\links\SMART\EEC11084.1-SMART.txt","CDD:214911 smart00918, Lig_chan-Glu_bd, Ligated ion channel L-glutamate- and glycine-binding site")</f>
        <v>CDD:214911 smart00918, Lig_chan-Glu_bd, Ligated ion channel L-glutamate- and glycine-binding site</v>
      </c>
      <c r="BT25" s="75">
        <v>2.3E-2</v>
      </c>
      <c r="BU25" s="75">
        <v>45.2</v>
      </c>
      <c r="BV25" s="75" t="s">
        <v>2928</v>
      </c>
      <c r="BW25" s="75" t="s">
        <v>2772</v>
      </c>
      <c r="BX25" s="78" t="str">
        <f>HYPERLINK(".\links\TSF\EEC11084.1-TSF.txt","35-48 35-48, GRP|Chitin binding|S|")</f>
        <v>35-48 35-48, GRP|Chitin binding|S|</v>
      </c>
      <c r="BY25" s="79">
        <v>5.0000000000000002E-26</v>
      </c>
      <c r="BZ25" s="75">
        <v>69.8</v>
      </c>
      <c r="CA25" s="75" t="s">
        <v>2862</v>
      </c>
      <c r="CB25" s="75" t="s">
        <v>2863</v>
      </c>
      <c r="CC25" s="75" t="s">
        <v>2864</v>
      </c>
      <c r="CD25" s="75" t="s">
        <v>2785</v>
      </c>
      <c r="CE25" s="75" t="s">
        <v>2865</v>
      </c>
      <c r="CF25" s="75">
        <v>43</v>
      </c>
      <c r="CG25" s="75">
        <v>1</v>
      </c>
      <c r="CH25" s="75">
        <v>51</v>
      </c>
      <c r="CI25" s="75">
        <v>1</v>
      </c>
      <c r="CJ25" s="75">
        <v>52</v>
      </c>
      <c r="CK25" s="75">
        <v>1</v>
      </c>
      <c r="CL25" s="75">
        <v>56</v>
      </c>
      <c r="CM25" s="75">
        <v>1</v>
      </c>
      <c r="CN25" s="75">
        <v>59</v>
      </c>
      <c r="CO25" s="75">
        <v>1</v>
      </c>
      <c r="CP25" s="75">
        <v>60</v>
      </c>
      <c r="CQ25" s="75">
        <v>1</v>
      </c>
      <c r="CR25" s="75">
        <v>61</v>
      </c>
      <c r="CS25" s="75">
        <v>1</v>
      </c>
      <c r="CT25" s="75">
        <v>65</v>
      </c>
      <c r="CU25" s="75">
        <v>1</v>
      </c>
      <c r="CV25" s="75">
        <v>67</v>
      </c>
      <c r="CW25" s="75">
        <v>1</v>
      </c>
      <c r="CX25" s="75">
        <v>71</v>
      </c>
      <c r="CY25" s="75">
        <v>1</v>
      </c>
      <c r="CZ25" s="75">
        <v>73</v>
      </c>
      <c r="DA25" s="75">
        <v>1</v>
      </c>
      <c r="DB25" s="75">
        <v>77</v>
      </c>
      <c r="DC25" s="75">
        <v>1</v>
      </c>
      <c r="DD25" s="75">
        <v>80</v>
      </c>
      <c r="DE25" s="75">
        <v>1</v>
      </c>
      <c r="DF25" s="75">
        <v>82</v>
      </c>
      <c r="DG25" s="75">
        <v>1</v>
      </c>
      <c r="DH25" s="75">
        <v>83</v>
      </c>
      <c r="DI25" s="75">
        <v>1</v>
      </c>
      <c r="DJ25" s="75" t="s">
        <v>2</v>
      </c>
      <c r="DK25" s="75" t="str">
        <f>HYPERLINK(".\links\AAM-CEMENT-2018\EEC11084.1-AAM-CEMENT-2018.txt","Extracted CDS")</f>
        <v>Extracted CDS</v>
      </c>
      <c r="DL25" s="75" t="str">
        <f>HYPERLINK("http://www.ncbi.nlm.nih.gov/sutils/blink.cgi?pid=Aam-176270","0.56")</f>
        <v>0.56</v>
      </c>
      <c r="DM25" s="75" t="str">
        <f>HYPERLINK("http://www.ncbi.nlm.nih.gov/protein/Aam-176270","Aam-176270")</f>
        <v>Aam-176270</v>
      </c>
      <c r="DN25" s="75">
        <v>25.4</v>
      </c>
      <c r="DO25" s="75">
        <v>56</v>
      </c>
      <c r="DP25" s="75">
        <v>201</v>
      </c>
      <c r="DQ25" s="75">
        <v>30</v>
      </c>
      <c r="DR25" s="75">
        <v>51</v>
      </c>
      <c r="DS25" s="75">
        <v>28</v>
      </c>
      <c r="DT25" s="75">
        <v>39</v>
      </c>
      <c r="DU25" s="75">
        <v>3</v>
      </c>
      <c r="DV25" s="75">
        <v>124</v>
      </c>
      <c r="DW25" s="75">
        <v>70</v>
      </c>
      <c r="DX25" s="75">
        <v>1</v>
      </c>
      <c r="DY25" s="75" t="s">
        <v>2775</v>
      </c>
      <c r="DZ25" s="75" t="str">
        <f>HYPERLINK(".\links\CDD\EEC11084.1-CDD.txt","Chitin_bind_4 Insect cuticle protein")</f>
        <v>Chitin_bind_4 Insect cuticle protein</v>
      </c>
      <c r="EA25" s="79">
        <v>8.9999999999999999E-8</v>
      </c>
      <c r="EB25" s="75">
        <v>100</v>
      </c>
      <c r="EC25" s="75" t="s">
        <v>2858</v>
      </c>
      <c r="ED25" s="75" t="s">
        <v>2926</v>
      </c>
      <c r="EE25" s="75" t="str">
        <f>HYPERLINK(".\links\KOG\EEC11084.1-KOG.txt","CDD:226540 COG4054, McrB, Methyl coenzyme M reductase, beta subunit")</f>
        <v>CDD:226540 COG4054, McrB, Methyl coenzyme M reductase, beta subunit</v>
      </c>
      <c r="EF25" s="75">
        <v>1.8</v>
      </c>
      <c r="EG25" s="75">
        <v>4.7</v>
      </c>
      <c r="EH25" s="75" t="s">
        <v>2927</v>
      </c>
      <c r="EI25" s="75" t="s">
        <v>2779</v>
      </c>
      <c r="EJ25" s="75" t="str">
        <f>HYPERLINK(".\links\PFAM\EEC11084.1-PFAM.txt","Chitin_bind_4 Insect cuticle protein")</f>
        <v>Chitin_bind_4 Insect cuticle protein</v>
      </c>
      <c r="EK25" s="79">
        <v>2E-8</v>
      </c>
      <c r="EL25" s="75">
        <v>100</v>
      </c>
      <c r="EM25" s="75" t="s">
        <v>2858</v>
      </c>
      <c r="EN25" s="75" t="s">
        <v>2772</v>
      </c>
      <c r="EO25" s="75" t="str">
        <f>HYPERLINK(".\links\SMART\EEC11084.1-SMART.txt","CDD:214911 smart00918, Lig_chan-Glu_bd, Ligated ion channel L-glutamate- and glycine-binding site")</f>
        <v>CDD:214911 smart00918, Lig_chan-Glu_bd, Ligated ion channel L-glutamate- and glycine-binding site</v>
      </c>
      <c r="EP25" s="75">
        <v>2.3E-2</v>
      </c>
      <c r="EQ25" s="75">
        <v>45.2</v>
      </c>
      <c r="ER25" s="75" t="s">
        <v>2928</v>
      </c>
      <c r="ES25" s="75" t="s">
        <v>2772</v>
      </c>
      <c r="ET25" s="75" t="str">
        <f>HYPERLINK(".\links\TSF\EEC11084.1-TSF.txt","35-48 35-48, GRP|Chitin binding|S|")</f>
        <v>35-48 35-48, GRP|Chitin binding|S|</v>
      </c>
      <c r="EU25" s="79">
        <v>5.0000000000000002E-26</v>
      </c>
      <c r="EV25" s="75">
        <v>69.8</v>
      </c>
      <c r="EW25" s="75" t="s">
        <v>2862</v>
      </c>
      <c r="EX25" s="75" t="s">
        <v>2863</v>
      </c>
      <c r="EY25" s="75" t="s">
        <v>2864</v>
      </c>
      <c r="EZ25" s="75" t="s">
        <v>2785</v>
      </c>
      <c r="FA25" s="75" t="s">
        <v>2865</v>
      </c>
    </row>
    <row r="26" spans="1:157" x14ac:dyDescent="0.2">
      <c r="A26" s="75" t="str">
        <f>HYPERLINK(".\links\PEP\EEC01927.1-PEP.txt","EEC01927.1")</f>
        <v>EEC01927.1</v>
      </c>
      <c r="B26" s="75" t="s">
        <v>2768</v>
      </c>
      <c r="C26" s="75">
        <v>170</v>
      </c>
      <c r="D26" s="75" t="s">
        <v>2875</v>
      </c>
      <c r="E26" s="76" t="s">
        <v>2846</v>
      </c>
      <c r="F26" s="75" t="s">
        <v>2771</v>
      </c>
      <c r="G26" s="75" t="str">
        <f>HYPERLINK(".\links\Sigp\EEC01927.1-SigP.txt","SIG")</f>
        <v>SIG</v>
      </c>
      <c r="H26" s="75" t="s">
        <v>2799</v>
      </c>
      <c r="I26" s="75">
        <v>17.623999999999999</v>
      </c>
      <c r="J26" s="75">
        <v>6.02</v>
      </c>
      <c r="K26" s="75">
        <v>15.975</v>
      </c>
      <c r="L26" s="75">
        <v>6.05</v>
      </c>
      <c r="M26" s="75" t="str">
        <f>HYPERLINK(".\links\netoglyc\EEC01927.1-netoglyc.txt","0")</f>
        <v>0</v>
      </c>
      <c r="N26" s="75" t="s">
        <v>2929</v>
      </c>
      <c r="O26" s="75">
        <v>170</v>
      </c>
      <c r="P26" s="75" t="str">
        <f>HYPERLINK(".\links\tmhmm\EEC01927.1-tmhmm.txt","1")</f>
        <v>1</v>
      </c>
      <c r="Q26" s="75">
        <v>12.9</v>
      </c>
      <c r="R26" s="75">
        <v>82.9</v>
      </c>
      <c r="S26" s="75">
        <v>4.0999999999999996</v>
      </c>
      <c r="T26" s="75" t="s">
        <v>2772</v>
      </c>
      <c r="U26" s="75">
        <v>141</v>
      </c>
      <c r="V26" s="75" t="s">
        <v>2772</v>
      </c>
      <c r="W26" s="75">
        <v>9.8000000000000007</v>
      </c>
      <c r="X26" s="75">
        <v>14.4</v>
      </c>
      <c r="Y26" s="75">
        <v>7.5</v>
      </c>
      <c r="Z26" s="75" t="s">
        <v>2774</v>
      </c>
      <c r="AA26" s="77">
        <v>22.352941176470601</v>
      </c>
      <c r="AB26" s="75">
        <v>0.5</v>
      </c>
      <c r="AD26" s="75">
        <v>0</v>
      </c>
      <c r="AE26" s="75" t="s">
        <v>2772</v>
      </c>
      <c r="AF26" s="75" t="s">
        <v>2772</v>
      </c>
      <c r="AG26" s="75" t="s">
        <v>2772</v>
      </c>
      <c r="AH26" s="75">
        <v>1</v>
      </c>
      <c r="AI26" s="75">
        <v>1</v>
      </c>
      <c r="AJ26" s="75">
        <v>3</v>
      </c>
      <c r="AK26" s="75" t="s">
        <v>2772</v>
      </c>
      <c r="AL26" s="75" t="s">
        <v>2772</v>
      </c>
      <c r="AM26" s="75" t="s">
        <v>2772</v>
      </c>
      <c r="AN26" s="75" t="s">
        <v>2772</v>
      </c>
      <c r="AO26" s="78" t="str">
        <f>HYPERLINK(".\links\AAM-CEMENT-2018\EEC01927.1-AAM-CEMENT-2018.txt","Extracted CDS")</f>
        <v>Extracted CDS</v>
      </c>
      <c r="AP26" s="75" t="str">
        <f>HYPERLINK("http://www.ncbi.nlm.nih.gov/sutils/blink.cgi?pid=Aam-176270","1.1")</f>
        <v>1.1</v>
      </c>
      <c r="AQ26" s="75" t="str">
        <f>HYPERLINK("http://www.ncbi.nlm.nih.gov/protein/Aam-176270","Aam-176270")</f>
        <v>Aam-176270</v>
      </c>
      <c r="AR26" s="75">
        <v>22.3</v>
      </c>
      <c r="AS26" s="75">
        <v>46</v>
      </c>
      <c r="AT26" s="75">
        <v>201</v>
      </c>
      <c r="AU26" s="75">
        <v>28</v>
      </c>
      <c r="AV26" s="75">
        <v>47</v>
      </c>
      <c r="AW26" s="75">
        <v>23</v>
      </c>
      <c r="AX26" s="75">
        <v>33</v>
      </c>
      <c r="AY26" s="75">
        <v>2</v>
      </c>
      <c r="AZ26" s="75">
        <v>125</v>
      </c>
      <c r="BA26" s="75">
        <v>99</v>
      </c>
      <c r="BB26" s="75">
        <v>1</v>
      </c>
      <c r="BC26" s="75" t="s">
        <v>2775</v>
      </c>
      <c r="BD26" s="78" t="str">
        <f>HYPERLINK(".\links\CDD\EEC01927.1-CDD.txt","Chitin_bind_4 Insect cuticle protein")</f>
        <v>Chitin_bind_4 Insect cuticle protein</v>
      </c>
      <c r="BE26" s="79">
        <v>3.9999999999999999E-12</v>
      </c>
      <c r="BF26" s="75">
        <v>100</v>
      </c>
      <c r="BG26" s="75" t="s">
        <v>2858</v>
      </c>
      <c r="BH26" s="75" t="s">
        <v>2930</v>
      </c>
      <c r="BI26" s="75" t="str">
        <f>HYPERLINK(".\links\KOG\EEC01927.1-KOG.txt","CDD:224541 COG1626, TreA, Neutral trehalase")</f>
        <v>CDD:224541 COG1626, TreA, Neutral trehalase</v>
      </c>
      <c r="BJ26" s="75">
        <v>2.2000000000000002</v>
      </c>
      <c r="BK26" s="75">
        <v>9.3000000000000007</v>
      </c>
      <c r="BL26" s="75" t="s">
        <v>2931</v>
      </c>
      <c r="BM26" s="75" t="s">
        <v>2779</v>
      </c>
      <c r="BN26" s="78" t="str">
        <f>HYPERLINK(".\links\PFAM\EEC01927.1-PFAM.txt","Chitin_bind_4 Insect cuticle protein")</f>
        <v>Chitin_bind_4 Insect cuticle protein</v>
      </c>
      <c r="BO26" s="79">
        <v>8.0000000000000002E-13</v>
      </c>
      <c r="BP26" s="75">
        <v>100</v>
      </c>
      <c r="BQ26" s="75" t="s">
        <v>2858</v>
      </c>
      <c r="BR26" s="75" t="s">
        <v>2772</v>
      </c>
      <c r="BS26" s="78" t="str">
        <f>HYPERLINK(".\links\SMART\EEC01927.1-SMART.txt","CDD:214683 smart00477, NUC, DNA/RNA non-specific endonuclease")</f>
        <v>CDD:214683 smart00477, NUC, DNA/RNA non-specific endonuclease</v>
      </c>
      <c r="BT26" s="75">
        <v>3.3</v>
      </c>
      <c r="BU26" s="75">
        <v>15.2</v>
      </c>
      <c r="BV26" s="75" t="s">
        <v>2932</v>
      </c>
      <c r="BW26" s="75" t="s">
        <v>2772</v>
      </c>
      <c r="BX26" s="78" t="str">
        <f>HYPERLINK(".\links\TSF\EEC01927.1-TSF.txt","35-48 35-48, GRP|Chitin binding|S|")</f>
        <v>35-48 35-48, GRP|Chitin binding|S|</v>
      </c>
      <c r="BY26" s="79">
        <v>3E-34</v>
      </c>
      <c r="BZ26" s="75">
        <v>64.3</v>
      </c>
      <c r="CA26" s="75" t="s">
        <v>2862</v>
      </c>
      <c r="CB26" s="75" t="s">
        <v>2863</v>
      </c>
      <c r="CC26" s="75" t="s">
        <v>2864</v>
      </c>
      <c r="CD26" s="75" t="s">
        <v>2785</v>
      </c>
      <c r="CE26" s="75" t="s">
        <v>2865</v>
      </c>
      <c r="CF26" s="75">
        <f>HYPERLINK(".\links\cluster-b\Ixsc-cement-202225-50SimCLU1.txt", 1)</f>
        <v>1</v>
      </c>
      <c r="CG26" s="75">
        <f>HYPERLINK(".\links\cluster-b\Ixsc-cement-202225-50SimCLTL1.txt", 20)</f>
        <v>20</v>
      </c>
      <c r="CH26" s="75">
        <f>HYPERLINK(".\links\cluster-b\Ixsc-cement-202230-50SimCLU1.txt", 1)</f>
        <v>1</v>
      </c>
      <c r="CI26" s="75">
        <f>HYPERLINK(".\links\cluster-b\Ixsc-cement-202230-50SimCLTL1.txt", 14)</f>
        <v>14</v>
      </c>
      <c r="CJ26" s="75">
        <f>HYPERLINK(".\links\cluster-b\Ixsc-cement-202235-50SimCLU1.txt", 1)</f>
        <v>1</v>
      </c>
      <c r="CK26" s="75">
        <f>HYPERLINK(".\links\cluster-b\Ixsc-cement-202235-50SimCLTL1.txt", 14)</f>
        <v>14</v>
      </c>
      <c r="CL26" s="75">
        <f>HYPERLINK(".\links\cluster-b\Ixsc-cement-202240-50SimCLU7.txt", 7)</f>
        <v>7</v>
      </c>
      <c r="CM26" s="75">
        <f>HYPERLINK(".\links\cluster-b\Ixsc-cement-202240-50SimCLTL7.txt", 4)</f>
        <v>4</v>
      </c>
      <c r="CN26" s="75">
        <f>HYPERLINK(".\links\cluster-b\Ixsc-cement-202245-50SimCLU10.txt", 10)</f>
        <v>10</v>
      </c>
      <c r="CO26" s="75">
        <f>HYPERLINK(".\links\cluster-b\Ixsc-cement-202245-50SimCLTL10.txt", 3)</f>
        <v>3</v>
      </c>
      <c r="CP26" s="75">
        <f>HYPERLINK(".\links\cluster-b\Ixsc-cement-202250-50SimCLU14.txt", 14)</f>
        <v>14</v>
      </c>
      <c r="CQ26" s="75">
        <f>HYPERLINK(".\links\cluster-b\Ixsc-cement-202250-50SimCLTL14.txt", 2)</f>
        <v>2</v>
      </c>
      <c r="CR26" s="75">
        <f>HYPERLINK(".\links\cluster-b\Ixsc-cement-202255-50SimCLU15.txt", 15)</f>
        <v>15</v>
      </c>
      <c r="CS26" s="75">
        <f>HYPERLINK(".\links\cluster-b\Ixsc-cement-202255-50SimCLTL15.txt", 2)</f>
        <v>2</v>
      </c>
      <c r="CT26" s="75">
        <f>HYPERLINK(".\links\cluster-b\Ixsc-cement-202260-50SimCLU16.txt", 16)</f>
        <v>16</v>
      </c>
      <c r="CU26" s="75">
        <f>HYPERLINK(".\links\cluster-b\Ixsc-cement-202260-50SimCLTL16.txt", 2)</f>
        <v>2</v>
      </c>
      <c r="CV26" s="75">
        <v>34</v>
      </c>
      <c r="CW26" s="75">
        <v>1</v>
      </c>
      <c r="CX26" s="75">
        <v>35</v>
      </c>
      <c r="CY26" s="75">
        <v>1</v>
      </c>
      <c r="CZ26" s="75">
        <v>35</v>
      </c>
      <c r="DA26" s="75">
        <v>1</v>
      </c>
      <c r="DB26" s="75">
        <v>35</v>
      </c>
      <c r="DC26" s="75">
        <v>1</v>
      </c>
      <c r="DD26" s="75">
        <v>33</v>
      </c>
      <c r="DE26" s="75">
        <v>1</v>
      </c>
      <c r="DF26" s="75">
        <v>32</v>
      </c>
      <c r="DG26" s="75">
        <v>1</v>
      </c>
      <c r="DH26" s="75">
        <v>32</v>
      </c>
      <c r="DI26" s="75">
        <v>1</v>
      </c>
      <c r="DJ26" s="75" t="s">
        <v>209</v>
      </c>
      <c r="DK26" s="75" t="str">
        <f>HYPERLINK(".\links\AAM-CEMENT-2018\EEC01927.1-AAM-CEMENT-2018.txt","Extracted CDS")</f>
        <v>Extracted CDS</v>
      </c>
      <c r="DL26" s="75" t="str">
        <f>HYPERLINK("http://www.ncbi.nlm.nih.gov/sutils/blink.cgi?pid=Aam-176270","1.1")</f>
        <v>1.1</v>
      </c>
      <c r="DM26" s="75" t="str">
        <f>HYPERLINK("http://www.ncbi.nlm.nih.gov/protein/Aam-176270","Aam-176270")</f>
        <v>Aam-176270</v>
      </c>
      <c r="DN26" s="75">
        <v>22.3</v>
      </c>
      <c r="DO26" s="75">
        <v>46</v>
      </c>
      <c r="DP26" s="75">
        <v>201</v>
      </c>
      <c r="DQ26" s="75">
        <v>28</v>
      </c>
      <c r="DR26" s="75">
        <v>47</v>
      </c>
      <c r="DS26" s="75">
        <v>23</v>
      </c>
      <c r="DT26" s="75">
        <v>33</v>
      </c>
      <c r="DU26" s="75">
        <v>2</v>
      </c>
      <c r="DV26" s="75">
        <v>125</v>
      </c>
      <c r="DW26" s="75">
        <v>99</v>
      </c>
      <c r="DX26" s="75">
        <v>1</v>
      </c>
      <c r="DY26" s="75" t="s">
        <v>2775</v>
      </c>
      <c r="DZ26" s="75" t="str">
        <f>HYPERLINK(".\links\CDD\EEC01927.1-CDD.txt","Chitin_bind_4 Insect cuticle protein")</f>
        <v>Chitin_bind_4 Insect cuticle protein</v>
      </c>
      <c r="EA26" s="79">
        <v>3.9999999999999999E-12</v>
      </c>
      <c r="EB26" s="75">
        <v>100</v>
      </c>
      <c r="EC26" s="75" t="s">
        <v>2858</v>
      </c>
      <c r="ED26" s="75" t="s">
        <v>2930</v>
      </c>
      <c r="EE26" s="75" t="str">
        <f>HYPERLINK(".\links\KOG\EEC01927.1-KOG.txt","CDD:224541 COG1626, TreA, Neutral trehalase")</f>
        <v>CDD:224541 COG1626, TreA, Neutral trehalase</v>
      </c>
      <c r="EF26" s="75">
        <v>2.2000000000000002</v>
      </c>
      <c r="EG26" s="75">
        <v>9.3000000000000007</v>
      </c>
      <c r="EH26" s="75" t="s">
        <v>2931</v>
      </c>
      <c r="EI26" s="75" t="s">
        <v>2779</v>
      </c>
      <c r="EJ26" s="75" t="str">
        <f>HYPERLINK(".\links\PFAM\EEC01927.1-PFAM.txt","Chitin_bind_4 Insect cuticle protein")</f>
        <v>Chitin_bind_4 Insect cuticle protein</v>
      </c>
      <c r="EK26" s="79">
        <v>8.0000000000000002E-13</v>
      </c>
      <c r="EL26" s="75">
        <v>100</v>
      </c>
      <c r="EM26" s="75" t="s">
        <v>2858</v>
      </c>
      <c r="EN26" s="75" t="s">
        <v>2772</v>
      </c>
      <c r="EO26" s="75" t="str">
        <f>HYPERLINK(".\links\SMART\EEC01927.1-SMART.txt","CDD:214683 smart00477, NUC, DNA/RNA non-specific endonuclease")</f>
        <v>CDD:214683 smart00477, NUC, DNA/RNA non-specific endonuclease</v>
      </c>
      <c r="EP26" s="75">
        <v>3.3</v>
      </c>
      <c r="EQ26" s="75">
        <v>15.2</v>
      </c>
      <c r="ER26" s="75" t="s">
        <v>2932</v>
      </c>
      <c r="ES26" s="75" t="s">
        <v>2772</v>
      </c>
      <c r="ET26" s="75" t="str">
        <f>HYPERLINK(".\links\TSF\EEC01927.1-TSF.txt","35-48 35-48, GRP|Chitin binding|S|")</f>
        <v>35-48 35-48, GRP|Chitin binding|S|</v>
      </c>
      <c r="EU26" s="79">
        <v>3E-34</v>
      </c>
      <c r="EV26" s="75">
        <v>64.3</v>
      </c>
      <c r="EW26" s="75" t="s">
        <v>2862</v>
      </c>
      <c r="EX26" s="75" t="s">
        <v>2863</v>
      </c>
      <c r="EY26" s="75" t="s">
        <v>2864</v>
      </c>
      <c r="EZ26" s="75" t="s">
        <v>2785</v>
      </c>
      <c r="FA26" s="75" t="s">
        <v>2865</v>
      </c>
    </row>
    <row r="27" spans="1:157" x14ac:dyDescent="0.2">
      <c r="A27" s="75" t="str">
        <f>HYPERLINK(".\links\PEP\EEC03471.1-PEP.txt","EEC03471.1")</f>
        <v>EEC03471.1</v>
      </c>
      <c r="B27" s="75" t="s">
        <v>2768</v>
      </c>
      <c r="C27" s="75">
        <v>112</v>
      </c>
      <c r="D27" s="75" t="s">
        <v>2845</v>
      </c>
      <c r="E27" s="76" t="s">
        <v>2846</v>
      </c>
      <c r="F27" s="75" t="s">
        <v>2771</v>
      </c>
      <c r="G27" s="75" t="str">
        <f>HYPERLINK(".\links\Sigp\EEC03471.1-SigP.txt","CYT")</f>
        <v>CYT</v>
      </c>
      <c r="H27" s="75" t="s">
        <v>2772</v>
      </c>
      <c r="I27" s="75">
        <v>11.891</v>
      </c>
      <c r="J27" s="75">
        <v>4.87</v>
      </c>
      <c r="K27" s="75" t="s">
        <v>2772</v>
      </c>
      <c r="L27" s="75" t="s">
        <v>2772</v>
      </c>
      <c r="M27" s="75" t="str">
        <f>HYPERLINK(".\links\netoglyc\EEC03471.1-netoglyc.txt","9")</f>
        <v>9</v>
      </c>
      <c r="N27" s="75" t="s">
        <v>2817</v>
      </c>
      <c r="O27" s="75">
        <v>112</v>
      </c>
      <c r="P27" s="75">
        <v>0</v>
      </c>
      <c r="Q27" s="75" t="s">
        <v>2772</v>
      </c>
      <c r="R27" s="75" t="s">
        <v>2772</v>
      </c>
      <c r="S27" s="75" t="s">
        <v>2772</v>
      </c>
      <c r="T27" s="75" t="s">
        <v>2772</v>
      </c>
      <c r="U27" s="75" t="s">
        <v>2772</v>
      </c>
      <c r="V27" s="75" t="s">
        <v>2772</v>
      </c>
      <c r="W27" s="75">
        <v>16.5</v>
      </c>
      <c r="X27" s="75">
        <v>10.4</v>
      </c>
      <c r="Y27" s="75">
        <v>7.8</v>
      </c>
      <c r="Z27" s="75" t="s">
        <v>2774</v>
      </c>
      <c r="AA27" s="77">
        <v>18.75</v>
      </c>
      <c r="AB27" s="75">
        <v>0.39</v>
      </c>
      <c r="AD27" s="75">
        <v>0</v>
      </c>
      <c r="AE27" s="75" t="s">
        <v>2772</v>
      </c>
      <c r="AF27" s="75" t="s">
        <v>2772</v>
      </c>
      <c r="AG27" s="75" t="s">
        <v>2772</v>
      </c>
      <c r="AH27" s="75">
        <v>1</v>
      </c>
      <c r="AI27" s="75" t="s">
        <v>2772</v>
      </c>
      <c r="AJ27" s="75">
        <v>1</v>
      </c>
      <c r="AK27" s="75" t="s">
        <v>2772</v>
      </c>
      <c r="AL27" s="75" t="s">
        <v>2772</v>
      </c>
      <c r="AM27" s="75" t="s">
        <v>2772</v>
      </c>
      <c r="AN27" s="75" t="s">
        <v>2772</v>
      </c>
      <c r="AO27" s="78" t="str">
        <f>HYPERLINK(".\links\AAM-CEMENT-2018\EEC03471.1-AAM-CEMENT-2018.txt","Extracted CDS")</f>
        <v>Extracted CDS</v>
      </c>
      <c r="AP27" s="75" t="str">
        <f>HYPERLINK("http://www.ncbi.nlm.nih.gov/sutils/blink.cgi?pid=Aam-176270","0.32")</f>
        <v>0.32</v>
      </c>
      <c r="AQ27" s="75" t="str">
        <f>HYPERLINK("http://www.ncbi.nlm.nih.gov/protein/Aam-176270","Aam-176270")</f>
        <v>Aam-176270</v>
      </c>
      <c r="AR27" s="75">
        <v>22.7</v>
      </c>
      <c r="AS27" s="75">
        <v>52</v>
      </c>
      <c r="AT27" s="75">
        <v>201</v>
      </c>
      <c r="AU27" s="75">
        <v>28</v>
      </c>
      <c r="AV27" s="75">
        <v>40</v>
      </c>
      <c r="AW27" s="75">
        <v>26</v>
      </c>
      <c r="AX27" s="75">
        <v>37</v>
      </c>
      <c r="AY27" s="75">
        <v>0</v>
      </c>
      <c r="AZ27" s="75">
        <v>128</v>
      </c>
      <c r="BA27" s="75">
        <v>56</v>
      </c>
      <c r="BB27" s="75">
        <v>1</v>
      </c>
      <c r="BC27" s="75" t="s">
        <v>2775</v>
      </c>
      <c r="BD27" s="78" t="str">
        <f>HYPERLINK(".\links\CDD\EEC03471.1-CDD.txt","Chitin_bind_4 Insect cuticle protein")</f>
        <v>Chitin_bind_4 Insect cuticle protein</v>
      </c>
      <c r="BE27" s="79">
        <v>3.9999999999999998E-11</v>
      </c>
      <c r="BF27" s="75">
        <v>103.8</v>
      </c>
      <c r="BG27" s="75" t="s">
        <v>2858</v>
      </c>
      <c r="BH27" s="75" t="s">
        <v>2933</v>
      </c>
      <c r="BI27" s="75" t="str">
        <f>HYPERLINK(".\links\KOG\EEC03471.1-KOG.txt","CDD:227143 COG4806, RhaA, L-rhamnose isomerase")</f>
        <v>CDD:227143 COG4806, RhaA, L-rhamnose isomerase</v>
      </c>
      <c r="BJ27" s="75">
        <v>1.9</v>
      </c>
      <c r="BK27" s="75">
        <v>6.2</v>
      </c>
      <c r="BL27" s="75" t="s">
        <v>2934</v>
      </c>
      <c r="BM27" s="75" t="s">
        <v>2779</v>
      </c>
      <c r="BN27" s="78" t="str">
        <f>HYPERLINK(".\links\PFAM\EEC03471.1-PFAM.txt","Chitin_bind_4 Insect cuticle protein")</f>
        <v>Chitin_bind_4 Insect cuticle protein</v>
      </c>
      <c r="BO27" s="79">
        <v>7.9999999999999998E-12</v>
      </c>
      <c r="BP27" s="75">
        <v>103.8</v>
      </c>
      <c r="BQ27" s="75" t="s">
        <v>2858</v>
      </c>
      <c r="BR27" s="75" t="s">
        <v>2772</v>
      </c>
      <c r="BS27" s="78" t="str">
        <f>HYPERLINK(".\links\SMART\EEC03471.1-SMART.txt","CDD:214552 smart00197, SAA, Serum amyloid A proteins")</f>
        <v>CDD:214552 smart00197, SAA, Serum amyloid A proteins</v>
      </c>
      <c r="BT27" s="75">
        <v>2.8000000000000001E-2</v>
      </c>
      <c r="BU27" s="75">
        <v>35.9</v>
      </c>
      <c r="BV27" s="75" t="s">
        <v>2935</v>
      </c>
      <c r="BW27" s="75" t="s">
        <v>2772</v>
      </c>
      <c r="BX27" s="78" t="str">
        <f>HYPERLINK(".\links\TSF\EEC03471.1-TSF.txt","55-383 55-383, GRP|Chitin binding|S|")</f>
        <v>55-383 55-383, GRP|Chitin binding|S|</v>
      </c>
      <c r="BY27" s="79">
        <v>9.9999999999999997E-48</v>
      </c>
      <c r="BZ27" s="75">
        <v>59.2</v>
      </c>
      <c r="CA27" s="75" t="s">
        <v>2883</v>
      </c>
      <c r="CB27" s="75" t="s">
        <v>2863</v>
      </c>
      <c r="CC27" s="75" t="s">
        <v>2864</v>
      </c>
      <c r="CD27" s="75" t="s">
        <v>2785</v>
      </c>
      <c r="CE27" s="75" t="s">
        <v>2884</v>
      </c>
      <c r="CF27" s="75">
        <f>HYPERLINK(".\links\cluster-b\Ixsc-cement-202225-50SimCLU1.txt", 1)</f>
        <v>1</v>
      </c>
      <c r="CG27" s="75">
        <f>HYPERLINK(".\links\cluster-b\Ixsc-cement-202225-50SimCLTL1.txt", 20)</f>
        <v>20</v>
      </c>
      <c r="CH27" s="75">
        <f>HYPERLINK(".\links\cluster-b\Ixsc-cement-202230-50SimCLU1.txt", 1)</f>
        <v>1</v>
      </c>
      <c r="CI27" s="75">
        <f>HYPERLINK(".\links\cluster-b\Ixsc-cement-202230-50SimCLTL1.txt", 14)</f>
        <v>14</v>
      </c>
      <c r="CJ27" s="75">
        <f>HYPERLINK(".\links\cluster-b\Ixsc-cement-202235-50SimCLU1.txt", 1)</f>
        <v>1</v>
      </c>
      <c r="CK27" s="75">
        <f>HYPERLINK(".\links\cluster-b\Ixsc-cement-202235-50SimCLTL1.txt", 14)</f>
        <v>14</v>
      </c>
      <c r="CL27" s="75">
        <f>HYPERLINK(".\links\cluster-b\Ixsc-cement-202240-50SimCLU3.txt", 3)</f>
        <v>3</v>
      </c>
      <c r="CM27" s="75">
        <f>HYPERLINK(".\links\cluster-b\Ixsc-cement-202240-50SimCLTL3.txt", 6)</f>
        <v>6</v>
      </c>
      <c r="CN27" s="75">
        <f>HYPERLINK(".\links\cluster-b\Ixsc-cement-202245-50SimCLU3.txt", 3)</f>
        <v>3</v>
      </c>
      <c r="CO27" s="75">
        <f>HYPERLINK(".\links\cluster-b\Ixsc-cement-202245-50SimCLTL3.txt", 5)</f>
        <v>5</v>
      </c>
      <c r="CP27" s="75">
        <f>HYPERLINK(".\links\cluster-b\Ixsc-cement-202250-50SimCLU3.txt", 3)</f>
        <v>3</v>
      </c>
      <c r="CQ27" s="75">
        <f>HYPERLINK(".\links\cluster-b\Ixsc-cement-202250-50SimCLTL3.txt", 5)</f>
        <v>5</v>
      </c>
      <c r="CR27" s="75">
        <f>HYPERLINK(".\links\cluster-b\Ixsc-cement-202255-50SimCLU3.txt", 3)</f>
        <v>3</v>
      </c>
      <c r="CS27" s="75">
        <f>HYPERLINK(".\links\cluster-b\Ixsc-cement-202255-50SimCLTL3.txt", 5)</f>
        <v>5</v>
      </c>
      <c r="CT27" s="75">
        <f>HYPERLINK(".\links\cluster-b\Ixsc-cement-202260-50SimCLU3.txt", 3)</f>
        <v>3</v>
      </c>
      <c r="CU27" s="75">
        <f>HYPERLINK(".\links\cluster-b\Ixsc-cement-202260-50SimCLTL3.txt", 5)</f>
        <v>5</v>
      </c>
      <c r="CV27" s="75">
        <f>HYPERLINK(".\links\cluster-b\Ixsc-cement-202265-50SimCLU3.txt", 3)</f>
        <v>3</v>
      </c>
      <c r="CW27" s="75">
        <f>HYPERLINK(".\links\cluster-b\Ixsc-cement-202265-50SimCLTL3.txt", 5)</f>
        <v>5</v>
      </c>
      <c r="CX27" s="75">
        <f>HYPERLINK(".\links\cluster-b\Ixsc-cement-202270-50SimCLU2.txt", 2)</f>
        <v>2</v>
      </c>
      <c r="CY27" s="75">
        <f>HYPERLINK(".\links\cluster-b\Ixsc-cement-202270-50SimCLTL2.txt", 5)</f>
        <v>5</v>
      </c>
      <c r="CZ27" s="75">
        <f>HYPERLINK(".\links\cluster-b\Ixsc-cement-202275-50SimCLU1.txt", 1)</f>
        <v>1</v>
      </c>
      <c r="DA27" s="75">
        <f>HYPERLINK(".\links\cluster-b\Ixsc-cement-202275-50SimCLTL1.txt", 5)</f>
        <v>5</v>
      </c>
      <c r="DB27" s="75">
        <f>HYPERLINK(".\links\cluster-b\Ixsc-cement-202280-50SimCLU1.txt", 1)</f>
        <v>1</v>
      </c>
      <c r="DC27" s="75">
        <f>HYPERLINK(".\links\cluster-b\Ixsc-cement-202280-50SimCLTL1.txt", 4)</f>
        <v>4</v>
      </c>
      <c r="DD27" s="75">
        <v>42</v>
      </c>
      <c r="DE27" s="75">
        <v>1</v>
      </c>
      <c r="DF27" s="75">
        <v>41</v>
      </c>
      <c r="DG27" s="75">
        <v>1</v>
      </c>
      <c r="DH27" s="75">
        <v>42</v>
      </c>
      <c r="DI27" s="75">
        <v>1</v>
      </c>
      <c r="DJ27" s="75" t="s">
        <v>212</v>
      </c>
      <c r="DK27" s="75" t="str">
        <f>HYPERLINK(".\links\AAM-CEMENT-2018\EEC03471.1-AAM-CEMENT-2018.txt","Extracted CDS")</f>
        <v>Extracted CDS</v>
      </c>
      <c r="DL27" s="75" t="str">
        <f>HYPERLINK("http://www.ncbi.nlm.nih.gov/sutils/blink.cgi?pid=Aam-176270","0.32")</f>
        <v>0.32</v>
      </c>
      <c r="DM27" s="75" t="str">
        <f>HYPERLINK("http://www.ncbi.nlm.nih.gov/protein/Aam-176270","Aam-176270")</f>
        <v>Aam-176270</v>
      </c>
      <c r="DN27" s="75">
        <v>22.7</v>
      </c>
      <c r="DO27" s="75">
        <v>52</v>
      </c>
      <c r="DP27" s="75">
        <v>201</v>
      </c>
      <c r="DQ27" s="75">
        <v>28</v>
      </c>
      <c r="DR27" s="75">
        <v>40</v>
      </c>
      <c r="DS27" s="75">
        <v>26</v>
      </c>
      <c r="DT27" s="75">
        <v>37</v>
      </c>
      <c r="DU27" s="75">
        <v>0</v>
      </c>
      <c r="DV27" s="75">
        <v>128</v>
      </c>
      <c r="DW27" s="75">
        <v>56</v>
      </c>
      <c r="DX27" s="75">
        <v>1</v>
      </c>
      <c r="DY27" s="75" t="s">
        <v>2775</v>
      </c>
      <c r="DZ27" s="75" t="str">
        <f>HYPERLINK(".\links\CDD\EEC03471.1-CDD.txt","Chitin_bind_4 Insect cuticle protein")</f>
        <v>Chitin_bind_4 Insect cuticle protein</v>
      </c>
      <c r="EA27" s="79">
        <v>3.9999999999999998E-11</v>
      </c>
      <c r="EB27" s="75">
        <v>103.8</v>
      </c>
      <c r="EC27" s="75" t="s">
        <v>2858</v>
      </c>
      <c r="ED27" s="75" t="s">
        <v>2933</v>
      </c>
      <c r="EE27" s="75" t="str">
        <f>HYPERLINK(".\links\KOG\EEC03471.1-KOG.txt","CDD:227143 COG4806, RhaA, L-rhamnose isomerase")</f>
        <v>CDD:227143 COG4806, RhaA, L-rhamnose isomerase</v>
      </c>
      <c r="EF27" s="75">
        <v>1.9</v>
      </c>
      <c r="EG27" s="75">
        <v>6.2</v>
      </c>
      <c r="EH27" s="75" t="s">
        <v>2934</v>
      </c>
      <c r="EI27" s="75" t="s">
        <v>2779</v>
      </c>
      <c r="EJ27" s="75" t="str">
        <f>HYPERLINK(".\links\PFAM\EEC03471.1-PFAM.txt","Chitin_bind_4 Insect cuticle protein")</f>
        <v>Chitin_bind_4 Insect cuticle protein</v>
      </c>
      <c r="EK27" s="79">
        <v>7.9999999999999998E-12</v>
      </c>
      <c r="EL27" s="75">
        <v>103.8</v>
      </c>
      <c r="EM27" s="75" t="s">
        <v>2858</v>
      </c>
      <c r="EN27" s="75" t="s">
        <v>2772</v>
      </c>
      <c r="EO27" s="75" t="str">
        <f>HYPERLINK(".\links\SMART\EEC03471.1-SMART.txt","CDD:214552 smart00197, SAA, Serum amyloid A proteins")</f>
        <v>CDD:214552 smart00197, SAA, Serum amyloid A proteins</v>
      </c>
      <c r="EP27" s="75">
        <v>2.8000000000000001E-2</v>
      </c>
      <c r="EQ27" s="75">
        <v>35.9</v>
      </c>
      <c r="ER27" s="75" t="s">
        <v>2935</v>
      </c>
      <c r="ES27" s="75" t="s">
        <v>2772</v>
      </c>
      <c r="ET27" s="75" t="str">
        <f>HYPERLINK(".\links\TSF\EEC03471.1-TSF.txt","55-383 55-383, GRP|Chitin binding|S|")</f>
        <v>55-383 55-383, GRP|Chitin binding|S|</v>
      </c>
      <c r="EU27" s="79">
        <v>9.9999999999999997E-48</v>
      </c>
      <c r="EV27" s="75">
        <v>59.2</v>
      </c>
      <c r="EW27" s="75" t="s">
        <v>2883</v>
      </c>
      <c r="EX27" s="75" t="s">
        <v>2863</v>
      </c>
      <c r="EY27" s="75" t="s">
        <v>2864</v>
      </c>
      <c r="EZ27" s="75" t="s">
        <v>2785</v>
      </c>
      <c r="FA27" s="75" t="s">
        <v>2884</v>
      </c>
    </row>
    <row r="28" spans="1:157" x14ac:dyDescent="0.2">
      <c r="A28" s="75" t="str">
        <f>HYPERLINK(".\links\PEP\EEC09495.1-PEP.txt","EEC09495.1")</f>
        <v>EEC09495.1</v>
      </c>
      <c r="B28" s="75" t="s">
        <v>2768</v>
      </c>
      <c r="C28" s="75">
        <v>101</v>
      </c>
      <c r="D28" s="75" t="s">
        <v>2936</v>
      </c>
      <c r="E28" s="76" t="s">
        <v>2846</v>
      </c>
      <c r="F28" s="75" t="s">
        <v>2771</v>
      </c>
      <c r="G28" s="75" t="str">
        <f>HYPERLINK(".\links\Sigp\EEC09495.1-SigP.txt","CYT")</f>
        <v>CYT</v>
      </c>
      <c r="H28" s="75" t="s">
        <v>2772</v>
      </c>
      <c r="I28" s="75">
        <v>10.989000000000001</v>
      </c>
      <c r="J28" s="75">
        <v>9.16</v>
      </c>
      <c r="K28" s="75" t="s">
        <v>2772</v>
      </c>
      <c r="L28" s="75" t="s">
        <v>2772</v>
      </c>
      <c r="M28" s="75" t="str">
        <f>HYPERLINK(".\links\netoglyc\EEC09495.1-netoglyc.txt","3")</f>
        <v>3</v>
      </c>
      <c r="N28" s="75" t="s">
        <v>2937</v>
      </c>
      <c r="O28" s="75">
        <v>101</v>
      </c>
      <c r="P28" s="75">
        <v>0</v>
      </c>
      <c r="Q28" s="75" t="s">
        <v>2772</v>
      </c>
      <c r="R28" s="75" t="s">
        <v>2772</v>
      </c>
      <c r="S28" s="75" t="s">
        <v>2772</v>
      </c>
      <c r="T28" s="75" t="s">
        <v>2772</v>
      </c>
      <c r="U28" s="75" t="s">
        <v>2772</v>
      </c>
      <c r="V28" s="75" t="s">
        <v>2772</v>
      </c>
      <c r="W28" s="75">
        <v>5.8</v>
      </c>
      <c r="X28" s="75">
        <v>17.3</v>
      </c>
      <c r="Y28" s="75">
        <v>5.8</v>
      </c>
      <c r="Z28" s="75">
        <v>2.9</v>
      </c>
      <c r="AA28" s="77">
        <v>23.762376237623801</v>
      </c>
      <c r="AB28" s="75">
        <v>0.59</v>
      </c>
      <c r="AC28" s="75" t="s">
        <v>2938</v>
      </c>
      <c r="AD28" s="75">
        <v>0</v>
      </c>
      <c r="AE28" s="75" t="s">
        <v>2772</v>
      </c>
      <c r="AF28" s="75" t="s">
        <v>2772</v>
      </c>
      <c r="AG28" s="75" t="s">
        <v>2772</v>
      </c>
      <c r="AH28" s="75" t="s">
        <v>2772</v>
      </c>
      <c r="AI28" s="75" t="s">
        <v>2772</v>
      </c>
      <c r="AJ28" s="75">
        <v>1</v>
      </c>
      <c r="AK28" s="75" t="s">
        <v>2772</v>
      </c>
      <c r="AL28" s="75" t="s">
        <v>2772</v>
      </c>
      <c r="AM28" s="75" t="s">
        <v>2772</v>
      </c>
      <c r="AN28" s="75" t="s">
        <v>2772</v>
      </c>
      <c r="AO28" s="78" t="str">
        <f>HYPERLINK(".\links\AAM-CEMENT-2018\EEC09495.1-AAM-CEMENT-2018.txt","Extracted CDS")</f>
        <v>Extracted CDS</v>
      </c>
      <c r="AP28" s="75" t="str">
        <f>HYPERLINK("http://www.ncbi.nlm.nih.gov/sutils/blink.cgi?pid=Aam-176270","1.2")</f>
        <v>1.2</v>
      </c>
      <c r="AQ28" s="75" t="str">
        <f>HYPERLINK("http://www.ncbi.nlm.nih.gov/protein/Aam-176270","Aam-176270")</f>
        <v>Aam-176270</v>
      </c>
      <c r="AR28" s="75">
        <v>20.8</v>
      </c>
      <c r="AS28" s="75">
        <v>49</v>
      </c>
      <c r="AT28" s="75">
        <v>201</v>
      </c>
      <c r="AU28" s="75">
        <v>28</v>
      </c>
      <c r="AV28" s="75">
        <v>48</v>
      </c>
      <c r="AW28" s="75">
        <v>24</v>
      </c>
      <c r="AX28" s="75">
        <v>35</v>
      </c>
      <c r="AY28" s="75">
        <v>3</v>
      </c>
      <c r="AZ28" s="75">
        <v>124</v>
      </c>
      <c r="BA28" s="75">
        <v>42</v>
      </c>
      <c r="BB28" s="75">
        <v>1</v>
      </c>
      <c r="BC28" s="75" t="s">
        <v>2775</v>
      </c>
      <c r="BD28" s="78" t="str">
        <f>HYPERLINK(".\links\CDD\EEC09495.1-CDD.txt","Chitin_bind_4 Insect cuticle protein")</f>
        <v>Chitin_bind_4 Insect cuticle protein</v>
      </c>
      <c r="BE28" s="79">
        <v>3.0000000000000001E-6</v>
      </c>
      <c r="BF28" s="75">
        <v>100</v>
      </c>
      <c r="BG28" s="75" t="s">
        <v>2858</v>
      </c>
      <c r="BH28" s="75" t="s">
        <v>2939</v>
      </c>
      <c r="BI28" s="75" t="str">
        <f>HYPERLINK(".\links\KOG\EEC09495.1-KOG.txt","CDD:225930 COG3395, COG3395, Uncharacterized protein conserved in bacteria")</f>
        <v>CDD:225930 COG3395, COG3395, Uncharacterized protein conserved in bacteria</v>
      </c>
      <c r="BJ28" s="75">
        <v>0.39</v>
      </c>
      <c r="BK28" s="75">
        <v>8.1999999999999993</v>
      </c>
      <c r="BL28" s="75" t="s">
        <v>2940</v>
      </c>
      <c r="BM28" s="75" t="s">
        <v>2779</v>
      </c>
      <c r="BN28" s="78" t="str">
        <f>HYPERLINK(".\links\PFAM\EEC09495.1-PFAM.txt","Chitin_bind_4 Insect cuticle protein")</f>
        <v>Chitin_bind_4 Insect cuticle protein</v>
      </c>
      <c r="BO28" s="79">
        <v>7.9999999999999996E-7</v>
      </c>
      <c r="BP28" s="75">
        <v>100</v>
      </c>
      <c r="BQ28" s="75" t="s">
        <v>2858</v>
      </c>
      <c r="BR28" s="75" t="s">
        <v>2772</v>
      </c>
      <c r="BS28" s="78" t="str">
        <f>HYPERLINK(".\links\SMART\EEC09495.1-SMART.txt","CDD:214678 smart00470, ParB, ParB-like nuclease domain")</f>
        <v>CDD:214678 smart00470, ParB, ParB-like nuclease domain</v>
      </c>
      <c r="BT28" s="75">
        <v>0.24</v>
      </c>
      <c r="BU28" s="75">
        <v>39.299999999999997</v>
      </c>
      <c r="BV28" s="75" t="s">
        <v>2941</v>
      </c>
      <c r="BW28" s="75" t="s">
        <v>2772</v>
      </c>
      <c r="BX28" s="78" t="str">
        <f>HYPERLINK(".\links\TSF\EEC09495.1-TSF.txt","35-48 35-48, GRP|Chitin binding|S|")</f>
        <v>35-48 35-48, GRP|Chitin binding|S|</v>
      </c>
      <c r="BY28" s="79">
        <v>1.9999999999999999E-23</v>
      </c>
      <c r="BZ28" s="75">
        <v>45.6</v>
      </c>
      <c r="CA28" s="75" t="s">
        <v>2862</v>
      </c>
      <c r="CB28" s="75" t="s">
        <v>2863</v>
      </c>
      <c r="CC28" s="75" t="s">
        <v>2864</v>
      </c>
      <c r="CD28" s="75" t="s">
        <v>2785</v>
      </c>
      <c r="CE28" s="75" t="s">
        <v>2865</v>
      </c>
      <c r="CF28" s="75">
        <f>HYPERLINK(".\links\cluster-b\Ixsc-cement-202225-50SimCLU1.txt", 1)</f>
        <v>1</v>
      </c>
      <c r="CG28" s="75">
        <f>HYPERLINK(".\links\cluster-b\Ixsc-cement-202225-50SimCLTL1.txt", 20)</f>
        <v>20</v>
      </c>
      <c r="CH28" s="75">
        <f>HYPERLINK(".\links\cluster-b\Ixsc-cement-202230-50SimCLU1.txt", 1)</f>
        <v>1</v>
      </c>
      <c r="CI28" s="75">
        <f>HYPERLINK(".\links\cluster-b\Ixsc-cement-202230-50SimCLTL1.txt", 14)</f>
        <v>14</v>
      </c>
      <c r="CJ28" s="75">
        <f>HYPERLINK(".\links\cluster-b\Ixsc-cement-202235-50SimCLU1.txt", 1)</f>
        <v>1</v>
      </c>
      <c r="CK28" s="75">
        <f>HYPERLINK(".\links\cluster-b\Ixsc-cement-202235-50SimCLTL1.txt", 14)</f>
        <v>14</v>
      </c>
      <c r="CL28" s="75">
        <f>HYPERLINK(".\links\cluster-b\Ixsc-cement-202240-50SimCLU20.txt", 20)</f>
        <v>20</v>
      </c>
      <c r="CM28" s="75">
        <f>HYPERLINK(".\links\cluster-b\Ixsc-cement-202240-50SimCLTL20.txt", 2)</f>
        <v>2</v>
      </c>
      <c r="CN28" s="75">
        <v>49</v>
      </c>
      <c r="CO28" s="75">
        <v>1</v>
      </c>
      <c r="CP28" s="75">
        <v>50</v>
      </c>
      <c r="CQ28" s="75">
        <v>1</v>
      </c>
      <c r="CR28" s="75">
        <v>51</v>
      </c>
      <c r="CS28" s="75">
        <v>1</v>
      </c>
      <c r="CT28" s="75">
        <v>55</v>
      </c>
      <c r="CU28" s="75">
        <v>1</v>
      </c>
      <c r="CV28" s="75">
        <v>57</v>
      </c>
      <c r="CW28" s="75">
        <v>1</v>
      </c>
      <c r="CX28" s="75">
        <v>61</v>
      </c>
      <c r="CY28" s="75">
        <v>1</v>
      </c>
      <c r="CZ28" s="75">
        <v>63</v>
      </c>
      <c r="DA28" s="75">
        <v>1</v>
      </c>
      <c r="DB28" s="75">
        <v>67</v>
      </c>
      <c r="DC28" s="75">
        <v>1</v>
      </c>
      <c r="DD28" s="75">
        <v>70</v>
      </c>
      <c r="DE28" s="75">
        <v>1</v>
      </c>
      <c r="DF28" s="75">
        <v>71</v>
      </c>
      <c r="DG28" s="75">
        <v>1</v>
      </c>
      <c r="DH28" s="75">
        <v>72</v>
      </c>
      <c r="DI28" s="75">
        <v>1</v>
      </c>
      <c r="DJ28" s="75" t="s">
        <v>118</v>
      </c>
      <c r="DK28" s="75" t="str">
        <f>HYPERLINK(".\links\AAM-CEMENT-2018\EEC09495.1-AAM-CEMENT-2018.txt","Extracted CDS")</f>
        <v>Extracted CDS</v>
      </c>
      <c r="DL28" s="75" t="str">
        <f>HYPERLINK("http://www.ncbi.nlm.nih.gov/sutils/blink.cgi?pid=Aam-176270","1.2")</f>
        <v>1.2</v>
      </c>
      <c r="DM28" s="75" t="str">
        <f>HYPERLINK("http://www.ncbi.nlm.nih.gov/protein/Aam-176270","Aam-176270")</f>
        <v>Aam-176270</v>
      </c>
      <c r="DN28" s="75">
        <v>20.8</v>
      </c>
      <c r="DO28" s="75">
        <v>49</v>
      </c>
      <c r="DP28" s="75">
        <v>201</v>
      </c>
      <c r="DQ28" s="75">
        <v>28</v>
      </c>
      <c r="DR28" s="75">
        <v>48</v>
      </c>
      <c r="DS28" s="75">
        <v>24</v>
      </c>
      <c r="DT28" s="75">
        <v>35</v>
      </c>
      <c r="DU28" s="75">
        <v>3</v>
      </c>
      <c r="DV28" s="75">
        <v>124</v>
      </c>
      <c r="DW28" s="75">
        <v>42</v>
      </c>
      <c r="DX28" s="75">
        <v>1</v>
      </c>
      <c r="DY28" s="75" t="s">
        <v>2775</v>
      </c>
      <c r="DZ28" s="75" t="str">
        <f>HYPERLINK(".\links\CDD\EEC09495.1-CDD.txt","Chitin_bind_4 Insect cuticle protein")</f>
        <v>Chitin_bind_4 Insect cuticle protein</v>
      </c>
      <c r="EA28" s="79">
        <v>3.0000000000000001E-6</v>
      </c>
      <c r="EB28" s="75">
        <v>100</v>
      </c>
      <c r="EC28" s="75" t="s">
        <v>2858</v>
      </c>
      <c r="ED28" s="75" t="s">
        <v>2939</v>
      </c>
      <c r="EE28" s="75" t="str">
        <f>HYPERLINK(".\links\KOG\EEC09495.1-KOG.txt","CDD:225930 COG3395, COG3395, Uncharacterized protein conserved in bacteria")</f>
        <v>CDD:225930 COG3395, COG3395, Uncharacterized protein conserved in bacteria</v>
      </c>
      <c r="EF28" s="75">
        <v>0.39</v>
      </c>
      <c r="EG28" s="75">
        <v>8.1999999999999993</v>
      </c>
      <c r="EH28" s="75" t="s">
        <v>2940</v>
      </c>
      <c r="EI28" s="75" t="s">
        <v>2779</v>
      </c>
      <c r="EJ28" s="75" t="str">
        <f>HYPERLINK(".\links\PFAM\EEC09495.1-PFAM.txt","Chitin_bind_4 Insect cuticle protein")</f>
        <v>Chitin_bind_4 Insect cuticle protein</v>
      </c>
      <c r="EK28" s="79">
        <v>7.9999999999999996E-7</v>
      </c>
      <c r="EL28" s="75">
        <v>100</v>
      </c>
      <c r="EM28" s="75" t="s">
        <v>2858</v>
      </c>
      <c r="EN28" s="75" t="s">
        <v>2772</v>
      </c>
      <c r="EO28" s="75" t="str">
        <f>HYPERLINK(".\links\SMART\EEC09495.1-SMART.txt","CDD:214678 smart00470, ParB, ParB-like nuclease domain")</f>
        <v>CDD:214678 smart00470, ParB, ParB-like nuclease domain</v>
      </c>
      <c r="EP28" s="75">
        <v>0.24</v>
      </c>
      <c r="EQ28" s="75">
        <v>39.299999999999997</v>
      </c>
      <c r="ER28" s="75" t="s">
        <v>2941</v>
      </c>
      <c r="ES28" s="75" t="s">
        <v>2772</v>
      </c>
      <c r="ET28" s="75" t="str">
        <f>HYPERLINK(".\links\TSF\EEC09495.1-TSF.txt","35-48 35-48, GRP|Chitin binding|S|")</f>
        <v>35-48 35-48, GRP|Chitin binding|S|</v>
      </c>
      <c r="EU28" s="79">
        <v>1.9999999999999999E-23</v>
      </c>
      <c r="EV28" s="75">
        <v>45.6</v>
      </c>
      <c r="EW28" s="75" t="s">
        <v>2862</v>
      </c>
      <c r="EX28" s="75" t="s">
        <v>2863</v>
      </c>
      <c r="EY28" s="75" t="s">
        <v>2864</v>
      </c>
      <c r="EZ28" s="75" t="s">
        <v>2785</v>
      </c>
      <c r="FA28" s="75" t="s">
        <v>2865</v>
      </c>
    </row>
    <row r="29" spans="1:157" x14ac:dyDescent="0.2">
      <c r="A29" s="75" t="str">
        <f>HYPERLINK(".\links\PEP\EEC09166.1-PEP.txt","EEC09166.1")</f>
        <v>EEC09166.1</v>
      </c>
      <c r="B29" s="75" t="s">
        <v>2768</v>
      </c>
      <c r="C29" s="75">
        <v>122</v>
      </c>
      <c r="D29" s="75" t="s">
        <v>2845</v>
      </c>
      <c r="E29" s="76" t="s">
        <v>2846</v>
      </c>
      <c r="F29" s="75" t="s">
        <v>2771</v>
      </c>
      <c r="G29" s="75" t="str">
        <f>HYPERLINK(".\links\Sigp\EEC09166.1-SigP.txt","SIG")</f>
        <v>SIG</v>
      </c>
      <c r="H29" s="75" t="s">
        <v>2799</v>
      </c>
      <c r="I29" s="75">
        <v>13.117000000000001</v>
      </c>
      <c r="J29" s="75">
        <v>5.25</v>
      </c>
      <c r="K29" s="75">
        <v>11.462999999999999</v>
      </c>
      <c r="L29" s="75">
        <v>5.0199999999999996</v>
      </c>
      <c r="M29" s="75" t="str">
        <f>HYPERLINK(".\links\netoglyc\EEC09166.1-netoglyc.txt","2")</f>
        <v>2</v>
      </c>
      <c r="N29" s="75" t="s">
        <v>2942</v>
      </c>
      <c r="O29" s="75">
        <v>122</v>
      </c>
      <c r="P29" s="75">
        <v>0</v>
      </c>
      <c r="Q29" s="75" t="s">
        <v>2772</v>
      </c>
      <c r="R29" s="75" t="s">
        <v>2772</v>
      </c>
      <c r="S29" s="75" t="s">
        <v>2772</v>
      </c>
      <c r="T29" s="75" t="s">
        <v>2772</v>
      </c>
      <c r="U29" s="75" t="s">
        <v>2772</v>
      </c>
      <c r="V29" s="75" t="s">
        <v>2772</v>
      </c>
      <c r="W29" s="75">
        <v>13.6</v>
      </c>
      <c r="X29" s="75">
        <v>10.4</v>
      </c>
      <c r="Y29" s="75">
        <v>5.6</v>
      </c>
      <c r="Z29" s="75" t="s">
        <v>2774</v>
      </c>
      <c r="AA29" s="77">
        <v>16.393442622950801</v>
      </c>
      <c r="AB29" s="75">
        <v>0.26</v>
      </c>
      <c r="AD29" s="75">
        <v>2</v>
      </c>
      <c r="AE29" s="75" t="s">
        <v>2772</v>
      </c>
      <c r="AF29" s="75" t="s">
        <v>2772</v>
      </c>
      <c r="AG29" s="75" t="s">
        <v>2772</v>
      </c>
      <c r="AH29" s="75" t="s">
        <v>2772</v>
      </c>
      <c r="AI29" s="75" t="s">
        <v>2772</v>
      </c>
      <c r="AJ29" s="75" t="s">
        <v>2772</v>
      </c>
      <c r="AK29" s="75" t="s">
        <v>2772</v>
      </c>
      <c r="AL29" s="75" t="s">
        <v>2772</v>
      </c>
      <c r="AM29" s="75" t="s">
        <v>2772</v>
      </c>
      <c r="AN29" s="75" t="s">
        <v>2772</v>
      </c>
      <c r="AO29" s="78" t="str">
        <f>HYPERLINK(".\links\AAM-CEMENT-2018\EEC09166.1-AAM-CEMENT-2018.txt","Extracted CDS")</f>
        <v>Extracted CDS</v>
      </c>
      <c r="AP29" s="75" t="str">
        <f>HYPERLINK("http://www.ncbi.nlm.nih.gov/sutils/blink.cgi?pid=Aam-201923","0.99")</f>
        <v>0.99</v>
      </c>
      <c r="AQ29" s="75" t="str">
        <f>HYPERLINK("http://www.ncbi.nlm.nih.gov/protein/Aam-201923","Aam-201923")</f>
        <v>Aam-201923</v>
      </c>
      <c r="AR29" s="75">
        <v>21.6</v>
      </c>
      <c r="AS29" s="75">
        <v>47</v>
      </c>
      <c r="AT29" s="75">
        <v>175</v>
      </c>
      <c r="AU29" s="75">
        <v>27</v>
      </c>
      <c r="AV29" s="75">
        <v>48</v>
      </c>
      <c r="AW29" s="75">
        <v>27</v>
      </c>
      <c r="AX29" s="75">
        <v>34</v>
      </c>
      <c r="AY29" s="75">
        <v>5</v>
      </c>
      <c r="AZ29" s="75">
        <v>3</v>
      </c>
      <c r="BA29" s="75">
        <v>10</v>
      </c>
      <c r="BB29" s="75">
        <v>1</v>
      </c>
      <c r="BC29" s="75" t="s">
        <v>2775</v>
      </c>
      <c r="BD29" s="78" t="str">
        <f>HYPERLINK(".\links\CDD\EEC09166.1-CDD.txt","Chitin_bind_4 Insect cuticle protein")</f>
        <v>Chitin_bind_4 Insect cuticle protein</v>
      </c>
      <c r="BE29" s="79">
        <v>3.9999999999999998E-11</v>
      </c>
      <c r="BF29" s="75">
        <v>103.8</v>
      </c>
      <c r="BG29" s="75" t="s">
        <v>2858</v>
      </c>
      <c r="BH29" s="75" t="s">
        <v>2943</v>
      </c>
      <c r="BI29" s="75" t="str">
        <f>HYPERLINK(".\links\KOG\EEC09166.1-KOG.txt","CDD:226571 COG4086, COG4086, Predicted secreted protein")</f>
        <v>CDD:226571 COG4086, COG4086, Predicted secreted protein</v>
      </c>
      <c r="BJ29" s="75">
        <v>3.3000000000000002E-2</v>
      </c>
      <c r="BK29" s="75">
        <v>27.1</v>
      </c>
      <c r="BL29" s="75" t="s">
        <v>2881</v>
      </c>
      <c r="BM29" s="75" t="s">
        <v>2779</v>
      </c>
      <c r="BN29" s="78" t="str">
        <f>HYPERLINK(".\links\PFAM\EEC09166.1-PFAM.txt","Chitin_bind_4 Insect cuticle protein")</f>
        <v>Chitin_bind_4 Insect cuticle protein</v>
      </c>
      <c r="BO29" s="79">
        <v>8.9999999999999996E-12</v>
      </c>
      <c r="BP29" s="75">
        <v>103.8</v>
      </c>
      <c r="BQ29" s="75" t="s">
        <v>2858</v>
      </c>
      <c r="BR29" s="75" t="s">
        <v>2772</v>
      </c>
      <c r="BS29" s="78" t="str">
        <f>HYPERLINK(".\links\SMART\EEC09166.1-SMART.txt","CDD:214582 smart00245, TSPc, tail specific protease")</f>
        <v>CDD:214582 smart00245, TSPc, tail specific protease</v>
      </c>
      <c r="BT29" s="75">
        <v>0.26</v>
      </c>
      <c r="BU29" s="75">
        <v>15.6</v>
      </c>
      <c r="BV29" s="75" t="s">
        <v>2944</v>
      </c>
      <c r="BW29" s="75" t="s">
        <v>2772</v>
      </c>
      <c r="BX29" s="78" t="str">
        <f>HYPERLINK(".\links\TSF\EEC09166.1-TSF.txt","55-383 55-383, GRP|Chitin binding|S|")</f>
        <v>55-383 55-383, GRP|Chitin binding|S|</v>
      </c>
      <c r="BY29" s="79">
        <v>5.9999999999999998E-50</v>
      </c>
      <c r="BZ29" s="75">
        <v>81</v>
      </c>
      <c r="CA29" s="75" t="s">
        <v>2883</v>
      </c>
      <c r="CB29" s="75" t="s">
        <v>2863</v>
      </c>
      <c r="CC29" s="75" t="s">
        <v>2864</v>
      </c>
      <c r="CD29" s="75" t="s">
        <v>2785</v>
      </c>
      <c r="CE29" s="75" t="s">
        <v>2884</v>
      </c>
      <c r="CF29" s="75">
        <f>HYPERLINK(".\links\cluster-b\Ixsc-cement-202225-50SimCLU1.txt", 1)</f>
        <v>1</v>
      </c>
      <c r="CG29" s="75">
        <f>HYPERLINK(".\links\cluster-b\Ixsc-cement-202225-50SimCLTL1.txt", 20)</f>
        <v>20</v>
      </c>
      <c r="CH29" s="75">
        <f>HYPERLINK(".\links\cluster-b\Ixsc-cement-202230-50SimCLU1.txt", 1)</f>
        <v>1</v>
      </c>
      <c r="CI29" s="75">
        <f>HYPERLINK(".\links\cluster-b\Ixsc-cement-202230-50SimCLTL1.txt", 14)</f>
        <v>14</v>
      </c>
      <c r="CJ29" s="75">
        <f>HYPERLINK(".\links\cluster-b\Ixsc-cement-202235-50SimCLU1.txt", 1)</f>
        <v>1</v>
      </c>
      <c r="CK29" s="75">
        <f>HYPERLINK(".\links\cluster-b\Ixsc-cement-202235-50SimCLTL1.txt", 14)</f>
        <v>14</v>
      </c>
      <c r="CL29" s="75">
        <f>HYPERLINK(".\links\cluster-b\Ixsc-cement-202240-50SimCLU3.txt", 3)</f>
        <v>3</v>
      </c>
      <c r="CM29" s="75">
        <f>HYPERLINK(".\links\cluster-b\Ixsc-cement-202240-50SimCLTL3.txt", 6)</f>
        <v>6</v>
      </c>
      <c r="CN29" s="75">
        <f>HYPERLINK(".\links\cluster-b\Ixsc-cement-202245-50SimCLU3.txt", 3)</f>
        <v>3</v>
      </c>
      <c r="CO29" s="75">
        <f>HYPERLINK(".\links\cluster-b\Ixsc-cement-202245-50SimCLTL3.txt", 5)</f>
        <v>5</v>
      </c>
      <c r="CP29" s="75">
        <f>HYPERLINK(".\links\cluster-b\Ixsc-cement-202250-50SimCLU3.txt", 3)</f>
        <v>3</v>
      </c>
      <c r="CQ29" s="75">
        <f>HYPERLINK(".\links\cluster-b\Ixsc-cement-202250-50SimCLTL3.txt", 5)</f>
        <v>5</v>
      </c>
      <c r="CR29" s="75">
        <f>HYPERLINK(".\links\cluster-b\Ixsc-cement-202255-50SimCLU3.txt", 3)</f>
        <v>3</v>
      </c>
      <c r="CS29" s="75">
        <f>HYPERLINK(".\links\cluster-b\Ixsc-cement-202255-50SimCLTL3.txt", 5)</f>
        <v>5</v>
      </c>
      <c r="CT29" s="75">
        <f>HYPERLINK(".\links\cluster-b\Ixsc-cement-202260-50SimCLU3.txt", 3)</f>
        <v>3</v>
      </c>
      <c r="CU29" s="75">
        <f>HYPERLINK(".\links\cluster-b\Ixsc-cement-202260-50SimCLTL3.txt", 5)</f>
        <v>5</v>
      </c>
      <c r="CV29" s="75">
        <f>HYPERLINK(".\links\cluster-b\Ixsc-cement-202265-50SimCLU3.txt", 3)</f>
        <v>3</v>
      </c>
      <c r="CW29" s="75">
        <f>HYPERLINK(".\links\cluster-b\Ixsc-cement-202265-50SimCLTL3.txt", 5)</f>
        <v>5</v>
      </c>
      <c r="CX29" s="75">
        <f>HYPERLINK(".\links\cluster-b\Ixsc-cement-202270-50SimCLU2.txt", 2)</f>
        <v>2</v>
      </c>
      <c r="CY29" s="75">
        <f>HYPERLINK(".\links\cluster-b\Ixsc-cement-202270-50SimCLTL2.txt", 5)</f>
        <v>5</v>
      </c>
      <c r="CZ29" s="75">
        <f>HYPERLINK(".\links\cluster-b\Ixsc-cement-202275-50SimCLU1.txt", 1)</f>
        <v>1</v>
      </c>
      <c r="DA29" s="75">
        <f>HYPERLINK(".\links\cluster-b\Ixsc-cement-202275-50SimCLTL1.txt", 5)</f>
        <v>5</v>
      </c>
      <c r="DB29" s="75">
        <f>HYPERLINK(".\links\cluster-b\Ixsc-cement-202280-50SimCLU1.txt", 1)</f>
        <v>1</v>
      </c>
      <c r="DC29" s="75">
        <f>HYPERLINK(".\links\cluster-b\Ixsc-cement-202280-50SimCLTL1.txt", 4)</f>
        <v>4</v>
      </c>
      <c r="DD29" s="75">
        <v>68</v>
      </c>
      <c r="DE29" s="75">
        <v>1</v>
      </c>
      <c r="DF29" s="75">
        <v>69</v>
      </c>
      <c r="DG29" s="75">
        <v>1</v>
      </c>
      <c r="DH29" s="75">
        <v>70</v>
      </c>
      <c r="DI29" s="75">
        <v>1</v>
      </c>
      <c r="DJ29" s="75" t="s">
        <v>219</v>
      </c>
      <c r="DK29" s="75" t="str">
        <f>HYPERLINK(".\links\AAM-CEMENT-2018\EEC09166.1-AAM-CEMENT-2018.txt","Extracted CDS")</f>
        <v>Extracted CDS</v>
      </c>
      <c r="DL29" s="75" t="str">
        <f>HYPERLINK("http://www.ncbi.nlm.nih.gov/sutils/blink.cgi?pid=Aam-201923","0.99")</f>
        <v>0.99</v>
      </c>
      <c r="DM29" s="75" t="str">
        <f>HYPERLINK("http://www.ncbi.nlm.nih.gov/protein/Aam-201923","Aam-201923")</f>
        <v>Aam-201923</v>
      </c>
      <c r="DN29" s="75">
        <v>21.6</v>
      </c>
      <c r="DO29" s="75">
        <v>47</v>
      </c>
      <c r="DP29" s="75">
        <v>175</v>
      </c>
      <c r="DQ29" s="75">
        <v>27</v>
      </c>
      <c r="DR29" s="75">
        <v>48</v>
      </c>
      <c r="DS29" s="75">
        <v>27</v>
      </c>
      <c r="DT29" s="75">
        <v>34</v>
      </c>
      <c r="DU29" s="75">
        <v>5</v>
      </c>
      <c r="DV29" s="75">
        <v>3</v>
      </c>
      <c r="DW29" s="75">
        <v>10</v>
      </c>
      <c r="DX29" s="75">
        <v>1</v>
      </c>
      <c r="DY29" s="75" t="s">
        <v>2775</v>
      </c>
      <c r="DZ29" s="75" t="str">
        <f>HYPERLINK(".\links\CDD\EEC09166.1-CDD.txt","Chitin_bind_4 Insect cuticle protein")</f>
        <v>Chitin_bind_4 Insect cuticle protein</v>
      </c>
      <c r="EA29" s="79">
        <v>3.9999999999999998E-11</v>
      </c>
      <c r="EB29" s="75">
        <v>103.8</v>
      </c>
      <c r="EC29" s="75" t="s">
        <v>2858</v>
      </c>
      <c r="ED29" s="75" t="s">
        <v>2943</v>
      </c>
      <c r="EE29" s="75" t="str">
        <f>HYPERLINK(".\links\KOG\EEC09166.1-KOG.txt","CDD:226571 COG4086, COG4086, Predicted secreted protein")</f>
        <v>CDD:226571 COG4086, COG4086, Predicted secreted protein</v>
      </c>
      <c r="EF29" s="75">
        <v>3.3000000000000002E-2</v>
      </c>
      <c r="EG29" s="75">
        <v>27.1</v>
      </c>
      <c r="EH29" s="75" t="s">
        <v>2881</v>
      </c>
      <c r="EI29" s="75" t="s">
        <v>2779</v>
      </c>
      <c r="EJ29" s="75" t="str">
        <f>HYPERLINK(".\links\PFAM\EEC09166.1-PFAM.txt","Chitin_bind_4 Insect cuticle protein")</f>
        <v>Chitin_bind_4 Insect cuticle protein</v>
      </c>
      <c r="EK29" s="79">
        <v>8.9999999999999996E-12</v>
      </c>
      <c r="EL29" s="75">
        <v>103.8</v>
      </c>
      <c r="EM29" s="75" t="s">
        <v>2858</v>
      </c>
      <c r="EN29" s="75" t="s">
        <v>2772</v>
      </c>
      <c r="EO29" s="75" t="str">
        <f>HYPERLINK(".\links\SMART\EEC09166.1-SMART.txt","CDD:214582 smart00245, TSPc, tail specific protease")</f>
        <v>CDD:214582 smart00245, TSPc, tail specific protease</v>
      </c>
      <c r="EP29" s="75">
        <v>0.26</v>
      </c>
      <c r="EQ29" s="75">
        <v>15.6</v>
      </c>
      <c r="ER29" s="75" t="s">
        <v>2944</v>
      </c>
      <c r="ES29" s="75" t="s">
        <v>2772</v>
      </c>
      <c r="ET29" s="75" t="str">
        <f>HYPERLINK(".\links\TSF\EEC09166.1-TSF.txt","55-383 55-383, GRP|Chitin binding|S|")</f>
        <v>55-383 55-383, GRP|Chitin binding|S|</v>
      </c>
      <c r="EU29" s="79">
        <v>5.9999999999999998E-50</v>
      </c>
      <c r="EV29" s="75">
        <v>81</v>
      </c>
      <c r="EW29" s="75" t="s">
        <v>2883</v>
      </c>
      <c r="EX29" s="75" t="s">
        <v>2863</v>
      </c>
      <c r="EY29" s="75" t="s">
        <v>2864</v>
      </c>
      <c r="EZ29" s="75" t="s">
        <v>2785</v>
      </c>
      <c r="FA29" s="75" t="s">
        <v>2884</v>
      </c>
    </row>
    <row r="30" spans="1:157" x14ac:dyDescent="0.2">
      <c r="A30" s="75" t="str">
        <f>HYPERLINK(".\links\PEP\EEC11064.1-PEP.txt","EEC11064.1")</f>
        <v>EEC11064.1</v>
      </c>
      <c r="B30" s="75" t="s">
        <v>2768</v>
      </c>
      <c r="C30" s="75">
        <v>94</v>
      </c>
      <c r="D30" s="75" t="s">
        <v>2845</v>
      </c>
      <c r="E30" s="76" t="s">
        <v>2846</v>
      </c>
      <c r="F30" s="75" t="s">
        <v>2771</v>
      </c>
      <c r="G30" s="75" t="str">
        <f>HYPERLINK(".\links\Sigp\EEC11064.1-SigP.txt","CYT")</f>
        <v>CYT</v>
      </c>
      <c r="H30" s="75" t="s">
        <v>2772</v>
      </c>
      <c r="I30" s="75">
        <v>9.4849999999999994</v>
      </c>
      <c r="J30" s="75">
        <v>9.4499999999999993</v>
      </c>
      <c r="K30" s="75" t="s">
        <v>2772</v>
      </c>
      <c r="L30" s="75" t="s">
        <v>2772</v>
      </c>
      <c r="M30" s="75" t="str">
        <f>HYPERLINK(".\links\netoglyc\EEC11064.1-netoglyc.txt","6")</f>
        <v>6</v>
      </c>
      <c r="N30" s="75" t="s">
        <v>2945</v>
      </c>
      <c r="O30" s="75">
        <v>94</v>
      </c>
      <c r="P30" s="75">
        <v>0</v>
      </c>
      <c r="Q30" s="75" t="s">
        <v>2772</v>
      </c>
      <c r="R30" s="75" t="s">
        <v>2772</v>
      </c>
      <c r="S30" s="75" t="s">
        <v>2772</v>
      </c>
      <c r="T30" s="75" t="s">
        <v>2772</v>
      </c>
      <c r="U30" s="75" t="s">
        <v>2772</v>
      </c>
      <c r="V30" s="75" t="s">
        <v>2772</v>
      </c>
      <c r="W30" s="75">
        <v>10.3</v>
      </c>
      <c r="X30" s="75">
        <v>23.7</v>
      </c>
      <c r="Y30" s="75">
        <v>7.2</v>
      </c>
      <c r="Z30" s="75">
        <v>9.3000000000000007</v>
      </c>
      <c r="AA30" s="77">
        <v>31.914893617021299</v>
      </c>
      <c r="AB30" s="75">
        <v>0.59</v>
      </c>
      <c r="AC30" s="75" t="s">
        <v>2946</v>
      </c>
      <c r="AD30" s="75">
        <v>0</v>
      </c>
      <c r="AE30" s="75" t="s">
        <v>2772</v>
      </c>
      <c r="AF30" s="75" t="s">
        <v>2772</v>
      </c>
      <c r="AG30" s="75" t="s">
        <v>2772</v>
      </c>
      <c r="AH30" s="75" t="s">
        <v>2772</v>
      </c>
      <c r="AI30" s="75" t="s">
        <v>2772</v>
      </c>
      <c r="AJ30" s="75">
        <v>2</v>
      </c>
      <c r="AK30" s="75" t="s">
        <v>2772</v>
      </c>
      <c r="AL30" s="75" t="s">
        <v>2772</v>
      </c>
      <c r="AM30" s="75" t="s">
        <v>2772</v>
      </c>
      <c r="AN30" s="75" t="s">
        <v>2772</v>
      </c>
      <c r="AO30" s="78" t="str">
        <f>HYPERLINK(".\links\AAM-CEMENT-2018\EEC11064.1-AAM-CEMENT-2018.txt","Extracted CDS")</f>
        <v>Extracted CDS</v>
      </c>
      <c r="AP30" s="75" t="str">
        <f>HYPERLINK("http://www.ncbi.nlm.nih.gov/sutils/blink.cgi?pid=Aam-881","1.2")</f>
        <v>1.2</v>
      </c>
      <c r="AQ30" s="75" t="str">
        <f>HYPERLINK("http://www.ncbi.nlm.nih.gov/protein/Aam-881","Aam-881")</f>
        <v>Aam-881</v>
      </c>
      <c r="AR30" s="75">
        <v>20.8</v>
      </c>
      <c r="AS30" s="75">
        <v>61</v>
      </c>
      <c r="AT30" s="75">
        <v>440</v>
      </c>
      <c r="AU30" s="75">
        <v>27</v>
      </c>
      <c r="AV30" s="75">
        <v>39</v>
      </c>
      <c r="AW30" s="75">
        <v>14</v>
      </c>
      <c r="AX30" s="75">
        <v>44</v>
      </c>
      <c r="AY30" s="75">
        <v>13</v>
      </c>
      <c r="AZ30" s="75">
        <v>117</v>
      </c>
      <c r="BA30" s="75">
        <v>7</v>
      </c>
      <c r="BB30" s="75">
        <v>1</v>
      </c>
      <c r="BC30" s="75" t="s">
        <v>2775</v>
      </c>
      <c r="BD30" s="78" t="str">
        <f>HYPERLINK(".\links\CDD\EEC11064.1-CDD.txt","Chitin_bind_4 Insect cuticle protein")</f>
        <v>Chitin_bind_4 Insect cuticle protein</v>
      </c>
      <c r="BE30" s="75">
        <v>1E-3</v>
      </c>
      <c r="BF30" s="75">
        <v>34.6</v>
      </c>
      <c r="BG30" s="75" t="s">
        <v>2858</v>
      </c>
      <c r="BH30" s="75" t="s">
        <v>2947</v>
      </c>
      <c r="BI30" s="75" t="str">
        <f>HYPERLINK(".\links\KOG\EEC11064.1-KOG.txt","CDD:223613 COG0539, RpsA, Ribosomal protein S1")</f>
        <v>CDD:223613 COG0539, RpsA, Ribosomal protein S1</v>
      </c>
      <c r="BJ30" s="75">
        <v>2.5</v>
      </c>
      <c r="BK30" s="75">
        <v>5.4</v>
      </c>
      <c r="BL30" s="75" t="s">
        <v>2948</v>
      </c>
      <c r="BM30" s="75" t="s">
        <v>2779</v>
      </c>
      <c r="BN30" s="78" t="str">
        <f>HYPERLINK(".\links\PFAM\EEC11064.1-PFAM.txt","Chitin_bind_4 Insect cuticle protein")</f>
        <v>Chitin_bind_4 Insect cuticle protein</v>
      </c>
      <c r="BO30" s="79">
        <v>2.0000000000000001E-4</v>
      </c>
      <c r="BP30" s="75">
        <v>34.6</v>
      </c>
      <c r="BQ30" s="75" t="s">
        <v>2858</v>
      </c>
      <c r="BR30" s="75" t="s">
        <v>2772</v>
      </c>
      <c r="BS30" s="78" t="str">
        <f>HYPERLINK(".\links\SMART\EEC11064.1-SMART.txt","CDD:197818 smart00648, SWAP, Suppressor-of-White-APricot splicing regulator")</f>
        <v>CDD:197818 smart00648, SWAP, Suppressor-of-White-APricot splicing regulator</v>
      </c>
      <c r="BT30" s="75">
        <v>1.4</v>
      </c>
      <c r="BU30" s="75">
        <v>42.6</v>
      </c>
      <c r="BV30" s="75" t="s">
        <v>2949</v>
      </c>
      <c r="BW30" s="75" t="s">
        <v>2772</v>
      </c>
      <c r="BX30" s="78" t="str">
        <f>HYPERLINK(".\links\TSF\EEC11064.1-TSF.txt","35-48 35-48, GRP|Chitin binding|S|")</f>
        <v>35-48 35-48, GRP|Chitin binding|S|</v>
      </c>
      <c r="BY30" s="79">
        <v>5.9999999999999997E-14</v>
      </c>
      <c r="BZ30" s="75">
        <v>30.8</v>
      </c>
      <c r="CA30" s="75" t="s">
        <v>2862</v>
      </c>
      <c r="CB30" s="75" t="s">
        <v>2863</v>
      </c>
      <c r="CC30" s="75" t="s">
        <v>2864</v>
      </c>
      <c r="CD30" s="75" t="s">
        <v>2785</v>
      </c>
      <c r="CE30" s="75" t="s">
        <v>2865</v>
      </c>
      <c r="CF30" s="75">
        <f>HYPERLINK(".\links\cluster-b\Ixsc-cement-202225-50SimCLU1.txt", 1)</f>
        <v>1</v>
      </c>
      <c r="CG30" s="75">
        <f>HYPERLINK(".\links\cluster-b\Ixsc-cement-202225-50SimCLTL1.txt", 20)</f>
        <v>20</v>
      </c>
      <c r="CH30" s="75">
        <f>HYPERLINK(".\links\cluster-b\Ixsc-cement-202230-50SimCLU1.txt", 1)</f>
        <v>1</v>
      </c>
      <c r="CI30" s="75">
        <f>HYPERLINK(".\links\cluster-b\Ixsc-cement-202230-50SimCLTL1.txt", 14)</f>
        <v>14</v>
      </c>
      <c r="CJ30" s="75">
        <f>HYPERLINK(".\links\cluster-b\Ixsc-cement-202235-50SimCLU1.txt", 1)</f>
        <v>1</v>
      </c>
      <c r="CK30" s="75">
        <f>HYPERLINK(".\links\cluster-b\Ixsc-cement-202235-50SimCLTL1.txt", 14)</f>
        <v>14</v>
      </c>
      <c r="CL30" s="75">
        <f>HYPERLINK(".\links\cluster-b\Ixsc-cement-202240-50SimCLU20.txt", 20)</f>
        <v>20</v>
      </c>
      <c r="CM30" s="75">
        <f>HYPERLINK(".\links\cluster-b\Ixsc-cement-202240-50SimCLTL20.txt", 2)</f>
        <v>2</v>
      </c>
      <c r="CN30" s="75">
        <v>58</v>
      </c>
      <c r="CO30" s="75">
        <v>1</v>
      </c>
      <c r="CP30" s="75">
        <v>59</v>
      </c>
      <c r="CQ30" s="75">
        <v>1</v>
      </c>
      <c r="CR30" s="75">
        <v>60</v>
      </c>
      <c r="CS30" s="75">
        <v>1</v>
      </c>
      <c r="CT30" s="75">
        <v>64</v>
      </c>
      <c r="CU30" s="75">
        <v>1</v>
      </c>
      <c r="CV30" s="75">
        <v>66</v>
      </c>
      <c r="CW30" s="75">
        <v>1</v>
      </c>
      <c r="CX30" s="75">
        <v>70</v>
      </c>
      <c r="CY30" s="75">
        <v>1</v>
      </c>
      <c r="CZ30" s="75">
        <v>72</v>
      </c>
      <c r="DA30" s="75">
        <v>1</v>
      </c>
      <c r="DB30" s="75">
        <v>76</v>
      </c>
      <c r="DC30" s="75">
        <v>1</v>
      </c>
      <c r="DD30" s="75">
        <v>79</v>
      </c>
      <c r="DE30" s="75">
        <v>1</v>
      </c>
      <c r="DF30" s="75">
        <v>81</v>
      </c>
      <c r="DG30" s="75">
        <v>1</v>
      </c>
      <c r="DH30" s="75">
        <v>82</v>
      </c>
      <c r="DI30" s="75">
        <v>1</v>
      </c>
      <c r="DJ30" s="75" t="s">
        <v>119</v>
      </c>
      <c r="DK30" s="75" t="str">
        <f>HYPERLINK(".\links\AAM-CEMENT-2018\EEC11064.1-AAM-CEMENT-2018.txt","Extracted CDS")</f>
        <v>Extracted CDS</v>
      </c>
      <c r="DL30" s="75" t="str">
        <f>HYPERLINK("http://www.ncbi.nlm.nih.gov/sutils/blink.cgi?pid=Aam-881","1.2")</f>
        <v>1.2</v>
      </c>
      <c r="DM30" s="75" t="str">
        <f>HYPERLINK("http://www.ncbi.nlm.nih.gov/protein/Aam-881","Aam-881")</f>
        <v>Aam-881</v>
      </c>
      <c r="DN30" s="75">
        <v>20.8</v>
      </c>
      <c r="DO30" s="75">
        <v>61</v>
      </c>
      <c r="DP30" s="75">
        <v>440</v>
      </c>
      <c r="DQ30" s="75">
        <v>27</v>
      </c>
      <c r="DR30" s="75">
        <v>39</v>
      </c>
      <c r="DS30" s="75">
        <v>14</v>
      </c>
      <c r="DT30" s="75">
        <v>44</v>
      </c>
      <c r="DU30" s="75">
        <v>13</v>
      </c>
      <c r="DV30" s="75">
        <v>117</v>
      </c>
      <c r="DW30" s="75">
        <v>7</v>
      </c>
      <c r="DX30" s="75">
        <v>1</v>
      </c>
      <c r="DY30" s="75" t="s">
        <v>2775</v>
      </c>
      <c r="DZ30" s="75" t="str">
        <f>HYPERLINK(".\links\CDD\EEC11064.1-CDD.txt","Chitin_bind_4 Insect cuticle protein")</f>
        <v>Chitin_bind_4 Insect cuticle protein</v>
      </c>
      <c r="EA30" s="75">
        <v>1E-3</v>
      </c>
      <c r="EB30" s="75">
        <v>34.6</v>
      </c>
      <c r="EC30" s="75" t="s">
        <v>2858</v>
      </c>
      <c r="ED30" s="75" t="s">
        <v>2947</v>
      </c>
      <c r="EE30" s="75" t="str">
        <f>HYPERLINK(".\links\KOG\EEC11064.1-KOG.txt","CDD:223613 COG0539, RpsA, Ribosomal protein S1")</f>
        <v>CDD:223613 COG0539, RpsA, Ribosomal protein S1</v>
      </c>
      <c r="EF30" s="75">
        <v>2.5</v>
      </c>
      <c r="EG30" s="75">
        <v>5.4</v>
      </c>
      <c r="EH30" s="75" t="s">
        <v>2948</v>
      </c>
      <c r="EI30" s="75" t="s">
        <v>2779</v>
      </c>
      <c r="EJ30" s="75" t="str">
        <f>HYPERLINK(".\links\PFAM\EEC11064.1-PFAM.txt","Chitin_bind_4 Insect cuticle protein")</f>
        <v>Chitin_bind_4 Insect cuticle protein</v>
      </c>
      <c r="EK30" s="79">
        <v>2.0000000000000001E-4</v>
      </c>
      <c r="EL30" s="75">
        <v>34.6</v>
      </c>
      <c r="EM30" s="75" t="s">
        <v>2858</v>
      </c>
      <c r="EN30" s="75" t="s">
        <v>2772</v>
      </c>
      <c r="EO30" s="75" t="str">
        <f>HYPERLINK(".\links\SMART\EEC11064.1-SMART.txt","CDD:197818 smart00648, SWAP, Suppressor-of-White-APricot splicing regulator")</f>
        <v>CDD:197818 smart00648, SWAP, Suppressor-of-White-APricot splicing regulator</v>
      </c>
      <c r="EP30" s="75">
        <v>1.4</v>
      </c>
      <c r="EQ30" s="75">
        <v>42.6</v>
      </c>
      <c r="ER30" s="75" t="s">
        <v>2949</v>
      </c>
      <c r="ES30" s="75" t="s">
        <v>2772</v>
      </c>
      <c r="ET30" s="75" t="str">
        <f>HYPERLINK(".\links\TSF\EEC11064.1-TSF.txt","35-48 35-48, GRP|Chitin binding|S|")</f>
        <v>35-48 35-48, GRP|Chitin binding|S|</v>
      </c>
      <c r="EU30" s="79">
        <v>5.9999999999999997E-14</v>
      </c>
      <c r="EV30" s="75">
        <v>30.8</v>
      </c>
      <c r="EW30" s="75" t="s">
        <v>2862</v>
      </c>
      <c r="EX30" s="75" t="s">
        <v>2863</v>
      </c>
      <c r="EY30" s="75" t="s">
        <v>2864</v>
      </c>
      <c r="EZ30" s="75" t="s">
        <v>2785</v>
      </c>
      <c r="FA30" s="75" t="s">
        <v>2865</v>
      </c>
    </row>
    <row r="31" spans="1:157" x14ac:dyDescent="0.2">
      <c r="A31" s="75" t="str">
        <f>HYPERLINK(".\links\PEP\EEC03470.1-PEP.txt","EEC03470.1")</f>
        <v>EEC03470.1</v>
      </c>
      <c r="B31" s="75" t="s">
        <v>2768</v>
      </c>
      <c r="C31" s="75">
        <v>123</v>
      </c>
      <c r="D31" s="75" t="s">
        <v>2845</v>
      </c>
      <c r="E31" s="76" t="s">
        <v>2846</v>
      </c>
      <c r="F31" s="75" t="s">
        <v>2771</v>
      </c>
      <c r="G31" s="75" t="str">
        <f>HYPERLINK(".\links\Sigp\EEC03470.1-SigP.txt","SIG")</f>
        <v>SIG</v>
      </c>
      <c r="H31" s="75" t="s">
        <v>2799</v>
      </c>
      <c r="I31" s="75">
        <v>12.942</v>
      </c>
      <c r="J31" s="75">
        <v>4.83</v>
      </c>
      <c r="K31" s="75">
        <v>11.295</v>
      </c>
      <c r="L31" s="75">
        <v>4.68</v>
      </c>
      <c r="M31" s="75" t="str">
        <f>HYPERLINK(".\links\netoglyc\EEC03470.1-netoglyc.txt","6")</f>
        <v>6</v>
      </c>
      <c r="N31" s="75" t="s">
        <v>2826</v>
      </c>
      <c r="O31" s="75">
        <v>123</v>
      </c>
      <c r="P31" s="75">
        <v>0</v>
      </c>
      <c r="Q31" s="75" t="s">
        <v>2772</v>
      </c>
      <c r="R31" s="75" t="s">
        <v>2772</v>
      </c>
      <c r="S31" s="75" t="s">
        <v>2772</v>
      </c>
      <c r="T31" s="75" t="s">
        <v>2772</v>
      </c>
      <c r="U31" s="75" t="s">
        <v>2772</v>
      </c>
      <c r="V31" s="75" t="s">
        <v>2772</v>
      </c>
      <c r="W31" s="75">
        <v>15.9</v>
      </c>
      <c r="X31" s="75">
        <v>11.1</v>
      </c>
      <c r="Y31" s="75">
        <v>6.3</v>
      </c>
      <c r="Z31" s="75" t="s">
        <v>2774</v>
      </c>
      <c r="AA31" s="77">
        <v>17.886178861788601</v>
      </c>
      <c r="AB31" s="75">
        <v>0.34</v>
      </c>
      <c r="AD31" s="75">
        <v>2</v>
      </c>
      <c r="AE31" s="75" t="s">
        <v>2772</v>
      </c>
      <c r="AF31" s="75" t="s">
        <v>2772</v>
      </c>
      <c r="AG31" s="75" t="s">
        <v>2772</v>
      </c>
      <c r="AH31" s="75" t="s">
        <v>2772</v>
      </c>
      <c r="AI31" s="75" t="s">
        <v>2772</v>
      </c>
      <c r="AJ31" s="75">
        <v>1</v>
      </c>
      <c r="AK31" s="75" t="s">
        <v>2772</v>
      </c>
      <c r="AL31" s="75" t="s">
        <v>2772</v>
      </c>
      <c r="AM31" s="75" t="s">
        <v>2772</v>
      </c>
      <c r="AN31" s="75" t="s">
        <v>2772</v>
      </c>
      <c r="AO31" s="78" t="str">
        <f>HYPERLINK(".\links\AAM-CEMENT-2018\EEC03470.1-AAM-CEMENT-2018.txt","Extracted CDS")</f>
        <v>Extracted CDS</v>
      </c>
      <c r="AP31" s="75" t="str">
        <f>HYPERLINK("http://www.ncbi.nlm.nih.gov/sutils/blink.cgi?pid=Aam-532","3.5")</f>
        <v>3.5</v>
      </c>
      <c r="AQ31" s="75" t="str">
        <f>HYPERLINK("http://www.ncbi.nlm.nih.gov/protein/Aam-532","Aam-532")</f>
        <v>Aam-532</v>
      </c>
      <c r="AR31" s="75">
        <v>20</v>
      </c>
      <c r="AS31" s="75">
        <v>38</v>
      </c>
      <c r="AT31" s="75">
        <v>555</v>
      </c>
      <c r="AU31" s="75">
        <v>26</v>
      </c>
      <c r="AV31" s="75">
        <v>47</v>
      </c>
      <c r="AW31" s="75">
        <v>7</v>
      </c>
      <c r="AX31" s="75">
        <v>28</v>
      </c>
      <c r="AY31" s="75">
        <v>0</v>
      </c>
      <c r="AZ31" s="75">
        <v>301</v>
      </c>
      <c r="BA31" s="75">
        <v>76</v>
      </c>
      <c r="BB31" s="75">
        <v>1</v>
      </c>
      <c r="BC31" s="75" t="s">
        <v>2775</v>
      </c>
      <c r="BD31" s="78" t="str">
        <f>HYPERLINK(".\links\CDD\EEC03470.1-CDD.txt","Chitin_bind_4 Insect cuticle protein")</f>
        <v>Chitin_bind_4 Insect cuticle protein</v>
      </c>
      <c r="BE31" s="79">
        <v>2.9999999999999997E-8</v>
      </c>
      <c r="BF31" s="75">
        <v>103.8</v>
      </c>
      <c r="BG31" s="75" t="s">
        <v>2858</v>
      </c>
      <c r="BH31" s="75" t="s">
        <v>2950</v>
      </c>
      <c r="BI31" s="75" t="str">
        <f>HYPERLINK(".\links\KOG\EEC03470.1-KOG.txt","CDD:225562 COG3017, LolB, Outer membrane lipoprotein involved in outer membrane biogenesis")</f>
        <v>CDD:225562 COG3017, LolB, Outer membrane lipoprotein involved in outer membrane biogenesis</v>
      </c>
      <c r="BJ31" s="75">
        <v>2</v>
      </c>
      <c r="BK31" s="75">
        <v>30.6</v>
      </c>
      <c r="BL31" s="75" t="s">
        <v>2951</v>
      </c>
      <c r="BM31" s="75" t="s">
        <v>2779</v>
      </c>
      <c r="BN31" s="78" t="str">
        <f>HYPERLINK(".\links\PFAM\EEC03470.1-PFAM.txt","Chitin_bind_4 Insect cuticle protein")</f>
        <v>Chitin_bind_4 Insect cuticle protein</v>
      </c>
      <c r="BO31" s="79">
        <v>6.9999999999999998E-9</v>
      </c>
      <c r="BP31" s="75">
        <v>103.8</v>
      </c>
      <c r="BQ31" s="75" t="s">
        <v>2858</v>
      </c>
      <c r="BR31" s="75" t="s">
        <v>2772</v>
      </c>
      <c r="BS31" s="78" t="str">
        <f>HYPERLINK(".\links\SMART\EEC03470.1-SMART.txt","CDD:214870 smart00867, YceI, YceI-like domain")</f>
        <v>CDD:214870 smart00867, YceI, YceI-like domain</v>
      </c>
      <c r="BT31" s="75">
        <v>0.44</v>
      </c>
      <c r="BU31" s="75">
        <v>16.3</v>
      </c>
      <c r="BV31" s="75" t="s">
        <v>2952</v>
      </c>
      <c r="BW31" s="75" t="s">
        <v>2772</v>
      </c>
      <c r="BX31" s="78" t="str">
        <f>HYPERLINK(".\links\TSF\EEC03470.1-TSF.txt","55-383 55-383, GRP|Chitin binding|S|")</f>
        <v>55-383 55-383, GRP|Chitin binding|S|</v>
      </c>
      <c r="BY31" s="79">
        <v>4E-41</v>
      </c>
      <c r="BZ31" s="75">
        <v>53.4</v>
      </c>
      <c r="CA31" s="75" t="s">
        <v>2883</v>
      </c>
      <c r="CB31" s="75" t="s">
        <v>2863</v>
      </c>
      <c r="CC31" s="75" t="s">
        <v>2864</v>
      </c>
      <c r="CD31" s="75" t="s">
        <v>2785</v>
      </c>
      <c r="CE31" s="75" t="s">
        <v>2884</v>
      </c>
      <c r="CF31" s="75">
        <f>HYPERLINK(".\links\cluster-b\Ixsc-cement-202225-50SimCLU1.txt", 1)</f>
        <v>1</v>
      </c>
      <c r="CG31" s="75">
        <f>HYPERLINK(".\links\cluster-b\Ixsc-cement-202225-50SimCLTL1.txt", 20)</f>
        <v>20</v>
      </c>
      <c r="CH31" s="75">
        <f>HYPERLINK(".\links\cluster-b\Ixsc-cement-202230-50SimCLU1.txt", 1)</f>
        <v>1</v>
      </c>
      <c r="CI31" s="75">
        <f>HYPERLINK(".\links\cluster-b\Ixsc-cement-202230-50SimCLTL1.txt", 14)</f>
        <v>14</v>
      </c>
      <c r="CJ31" s="75">
        <f>HYPERLINK(".\links\cluster-b\Ixsc-cement-202235-50SimCLU1.txt", 1)</f>
        <v>1</v>
      </c>
      <c r="CK31" s="75">
        <f>HYPERLINK(".\links\cluster-b\Ixsc-cement-202235-50SimCLTL1.txt", 14)</f>
        <v>14</v>
      </c>
      <c r="CL31" s="75">
        <f>HYPERLINK(".\links\cluster-b\Ixsc-cement-202240-50SimCLU3.txt", 3)</f>
        <v>3</v>
      </c>
      <c r="CM31" s="75">
        <f>HYPERLINK(".\links\cluster-b\Ixsc-cement-202240-50SimCLTL3.txt", 6)</f>
        <v>6</v>
      </c>
      <c r="CN31" s="75">
        <f>HYPERLINK(".\links\cluster-b\Ixsc-cement-202245-50SimCLU3.txt", 3)</f>
        <v>3</v>
      </c>
      <c r="CO31" s="75">
        <f>HYPERLINK(".\links\cluster-b\Ixsc-cement-202245-50SimCLTL3.txt", 5)</f>
        <v>5</v>
      </c>
      <c r="CP31" s="75">
        <f>HYPERLINK(".\links\cluster-b\Ixsc-cement-202250-50SimCLU3.txt", 3)</f>
        <v>3</v>
      </c>
      <c r="CQ31" s="75">
        <f>HYPERLINK(".\links\cluster-b\Ixsc-cement-202250-50SimCLTL3.txt", 5)</f>
        <v>5</v>
      </c>
      <c r="CR31" s="75">
        <f>HYPERLINK(".\links\cluster-b\Ixsc-cement-202255-50SimCLU3.txt", 3)</f>
        <v>3</v>
      </c>
      <c r="CS31" s="75">
        <f>HYPERLINK(".\links\cluster-b\Ixsc-cement-202255-50SimCLTL3.txt", 5)</f>
        <v>5</v>
      </c>
      <c r="CT31" s="75">
        <f>HYPERLINK(".\links\cluster-b\Ixsc-cement-202260-50SimCLU3.txt", 3)</f>
        <v>3</v>
      </c>
      <c r="CU31" s="75">
        <f>HYPERLINK(".\links\cluster-b\Ixsc-cement-202260-50SimCLTL3.txt", 5)</f>
        <v>5</v>
      </c>
      <c r="CV31" s="75">
        <f>HYPERLINK(".\links\cluster-b\Ixsc-cement-202265-50SimCLU3.txt", 3)</f>
        <v>3</v>
      </c>
      <c r="CW31" s="75">
        <f>HYPERLINK(".\links\cluster-b\Ixsc-cement-202265-50SimCLTL3.txt", 5)</f>
        <v>5</v>
      </c>
      <c r="CX31" s="75">
        <f>HYPERLINK(".\links\cluster-b\Ixsc-cement-202270-50SimCLU2.txt", 2)</f>
        <v>2</v>
      </c>
      <c r="CY31" s="75">
        <f>HYPERLINK(".\links\cluster-b\Ixsc-cement-202270-50SimCLTL2.txt", 5)</f>
        <v>5</v>
      </c>
      <c r="CZ31" s="75">
        <f>HYPERLINK(".\links\cluster-b\Ixsc-cement-202275-50SimCLU1.txt", 1)</f>
        <v>1</v>
      </c>
      <c r="DA31" s="75">
        <f>HYPERLINK(".\links\cluster-b\Ixsc-cement-202275-50SimCLTL1.txt", 5)</f>
        <v>5</v>
      </c>
      <c r="DB31" s="75">
        <f>HYPERLINK(".\links\cluster-b\Ixsc-cement-202280-50SimCLU1.txt", 1)</f>
        <v>1</v>
      </c>
      <c r="DC31" s="75">
        <f>HYPERLINK(".\links\cluster-b\Ixsc-cement-202280-50SimCLTL1.txt", 4)</f>
        <v>4</v>
      </c>
      <c r="DD31" s="75">
        <v>41</v>
      </c>
      <c r="DE31" s="75">
        <v>1</v>
      </c>
      <c r="DF31" s="75">
        <v>40</v>
      </c>
      <c r="DG31" s="75">
        <v>1</v>
      </c>
      <c r="DH31" s="75">
        <v>41</v>
      </c>
      <c r="DI31" s="75">
        <v>1</v>
      </c>
      <c r="DJ31" s="75" t="s">
        <v>211</v>
      </c>
      <c r="DK31" s="75" t="str">
        <f>HYPERLINK(".\links\AAM-CEMENT-2018\EEC03470.1-AAM-CEMENT-2018.txt","Extracted CDS")</f>
        <v>Extracted CDS</v>
      </c>
      <c r="DL31" s="75" t="str">
        <f>HYPERLINK("http://www.ncbi.nlm.nih.gov/sutils/blink.cgi?pid=Aam-532","3.5")</f>
        <v>3.5</v>
      </c>
      <c r="DM31" s="75" t="str">
        <f>HYPERLINK("http://www.ncbi.nlm.nih.gov/protein/Aam-532","Aam-532")</f>
        <v>Aam-532</v>
      </c>
      <c r="DN31" s="75">
        <v>20</v>
      </c>
      <c r="DO31" s="75">
        <v>38</v>
      </c>
      <c r="DP31" s="75">
        <v>555</v>
      </c>
      <c r="DQ31" s="75">
        <v>26</v>
      </c>
      <c r="DR31" s="75">
        <v>47</v>
      </c>
      <c r="DS31" s="75">
        <v>7</v>
      </c>
      <c r="DT31" s="75">
        <v>28</v>
      </c>
      <c r="DU31" s="75">
        <v>0</v>
      </c>
      <c r="DV31" s="75">
        <v>301</v>
      </c>
      <c r="DW31" s="75">
        <v>76</v>
      </c>
      <c r="DX31" s="75">
        <v>1</v>
      </c>
      <c r="DY31" s="75" t="s">
        <v>2775</v>
      </c>
      <c r="DZ31" s="75" t="str">
        <f>HYPERLINK(".\links\CDD\EEC03470.1-CDD.txt","Chitin_bind_4 Insect cuticle protein")</f>
        <v>Chitin_bind_4 Insect cuticle protein</v>
      </c>
      <c r="EA31" s="79">
        <v>2.9999999999999997E-8</v>
      </c>
      <c r="EB31" s="75">
        <v>103.8</v>
      </c>
      <c r="EC31" s="75" t="s">
        <v>2858</v>
      </c>
      <c r="ED31" s="75" t="s">
        <v>2950</v>
      </c>
      <c r="EE31" s="75" t="str">
        <f>HYPERLINK(".\links\KOG\EEC03470.1-KOG.txt","CDD:225562 COG3017, LolB, Outer membrane lipoprotein involved in outer membrane biogenesis")</f>
        <v>CDD:225562 COG3017, LolB, Outer membrane lipoprotein involved in outer membrane biogenesis</v>
      </c>
      <c r="EF31" s="75">
        <v>2</v>
      </c>
      <c r="EG31" s="75">
        <v>30.6</v>
      </c>
      <c r="EH31" s="75" t="s">
        <v>2951</v>
      </c>
      <c r="EI31" s="75" t="s">
        <v>2779</v>
      </c>
      <c r="EJ31" s="75" t="str">
        <f>HYPERLINK(".\links\PFAM\EEC03470.1-PFAM.txt","Chitin_bind_4 Insect cuticle protein")</f>
        <v>Chitin_bind_4 Insect cuticle protein</v>
      </c>
      <c r="EK31" s="79">
        <v>6.9999999999999998E-9</v>
      </c>
      <c r="EL31" s="75">
        <v>103.8</v>
      </c>
      <c r="EM31" s="75" t="s">
        <v>2858</v>
      </c>
      <c r="EN31" s="75" t="s">
        <v>2772</v>
      </c>
      <c r="EO31" s="75" t="str">
        <f>HYPERLINK(".\links\SMART\EEC03470.1-SMART.txt","CDD:214870 smart00867, YceI, YceI-like domain")</f>
        <v>CDD:214870 smart00867, YceI, YceI-like domain</v>
      </c>
      <c r="EP31" s="75">
        <v>0.44</v>
      </c>
      <c r="EQ31" s="75">
        <v>16.3</v>
      </c>
      <c r="ER31" s="75" t="s">
        <v>2952</v>
      </c>
      <c r="ES31" s="75" t="s">
        <v>2772</v>
      </c>
      <c r="ET31" s="75" t="str">
        <f>HYPERLINK(".\links\TSF\EEC03470.1-TSF.txt","55-383 55-383, GRP|Chitin binding|S|")</f>
        <v>55-383 55-383, GRP|Chitin binding|S|</v>
      </c>
      <c r="EU31" s="79">
        <v>4E-41</v>
      </c>
      <c r="EV31" s="75">
        <v>53.4</v>
      </c>
      <c r="EW31" s="75" t="s">
        <v>2883</v>
      </c>
      <c r="EX31" s="75" t="s">
        <v>2863</v>
      </c>
      <c r="EY31" s="75" t="s">
        <v>2864</v>
      </c>
      <c r="EZ31" s="75" t="s">
        <v>2785</v>
      </c>
      <c r="FA31" s="75" t="s">
        <v>2884</v>
      </c>
    </row>
    <row r="32" spans="1:157" x14ac:dyDescent="0.2">
      <c r="A32" s="75" t="str">
        <f>HYPERLINK(".\links\PEP\EEC03934.1-PEP.txt","EEC03934.1")</f>
        <v>EEC03934.1</v>
      </c>
      <c r="B32" s="75" t="s">
        <v>2953</v>
      </c>
      <c r="C32" s="75">
        <v>335</v>
      </c>
      <c r="D32" s="75" t="s">
        <v>2954</v>
      </c>
      <c r="E32" s="75" t="s">
        <v>48</v>
      </c>
      <c r="F32" s="75" t="s">
        <v>2771</v>
      </c>
      <c r="G32" s="75" t="str">
        <f>HYPERLINK(".\links\Sigp\EEC03934.1-SigP.txt","CYT")</f>
        <v>CYT</v>
      </c>
      <c r="H32" s="75" t="s">
        <v>2772</v>
      </c>
      <c r="I32" s="75">
        <v>37.603000000000002</v>
      </c>
      <c r="J32" s="75">
        <v>5.37</v>
      </c>
      <c r="K32" s="75" t="s">
        <v>2772</v>
      </c>
      <c r="L32" s="75" t="s">
        <v>2772</v>
      </c>
      <c r="M32" s="75" t="str">
        <f>HYPERLINK(".\links\netoglyc\EEC03934.1-netoglyc.txt","1")</f>
        <v>1</v>
      </c>
      <c r="N32" s="75" t="s">
        <v>2955</v>
      </c>
      <c r="O32" s="75">
        <v>335</v>
      </c>
      <c r="P32" s="75">
        <v>0</v>
      </c>
      <c r="Q32" s="75" t="s">
        <v>2772</v>
      </c>
      <c r="R32" s="75" t="s">
        <v>2772</v>
      </c>
      <c r="S32" s="75" t="s">
        <v>2772</v>
      </c>
      <c r="T32" s="75" t="s">
        <v>2772</v>
      </c>
      <c r="U32" s="75" t="s">
        <v>2772</v>
      </c>
      <c r="V32" s="75" t="s">
        <v>2772</v>
      </c>
      <c r="W32" s="75">
        <v>14.1</v>
      </c>
      <c r="X32" s="75">
        <v>6.7</v>
      </c>
      <c r="Y32" s="75">
        <v>4.7</v>
      </c>
      <c r="Z32" s="75" t="s">
        <v>2774</v>
      </c>
      <c r="AA32" s="77">
        <v>11.641791044776101</v>
      </c>
      <c r="AB32" s="75">
        <v>0.21</v>
      </c>
      <c r="AD32" s="75">
        <v>5</v>
      </c>
      <c r="AE32" s="75" t="str">
        <f>HYPERLINK(".\links\pep\EEC03934.1-sulf.txt","3")</f>
        <v>3</v>
      </c>
      <c r="AF32" s="75" t="str">
        <f>HYPERLINK(".\links\pep\EEC03934.1-tyr-sulf.txt","Fasta with y")</f>
        <v>Fasta with y</v>
      </c>
      <c r="AG32" s="75" t="s">
        <v>2772</v>
      </c>
      <c r="AH32" s="75" t="s">
        <v>2772</v>
      </c>
      <c r="AI32" s="75" t="s">
        <v>2772</v>
      </c>
      <c r="AJ32" s="75">
        <v>1</v>
      </c>
      <c r="AK32" s="75" t="s">
        <v>2772</v>
      </c>
      <c r="AL32" s="75" t="s">
        <v>2772</v>
      </c>
      <c r="AM32" s="75" t="s">
        <v>2772</v>
      </c>
      <c r="AN32" s="75" t="s">
        <v>2772</v>
      </c>
      <c r="AO32" s="78" t="str">
        <f>HYPERLINK(".\links\AAM-CEMENT-2018\EEC03934.1-AAM-CEMENT-2018.txt","Extracted CDS")</f>
        <v>Extracted CDS</v>
      </c>
      <c r="AP32" s="75" t="str">
        <f>HYPERLINK("http://www.ncbi.nlm.nih.gov/sutils/blink.cgi?pid=Aam-178084","0.0")</f>
        <v>0.0</v>
      </c>
      <c r="AQ32" s="75" t="str">
        <f>HYPERLINK("http://www.ncbi.nlm.nih.gov/protein/Aam-178084","Aam-178084")</f>
        <v>Aam-178084</v>
      </c>
      <c r="AR32" s="75">
        <v>700</v>
      </c>
      <c r="AS32" s="75">
        <v>335</v>
      </c>
      <c r="AT32" s="75">
        <v>376</v>
      </c>
      <c r="AU32" s="75">
        <v>100</v>
      </c>
      <c r="AV32" s="75">
        <v>100</v>
      </c>
      <c r="AW32" s="75">
        <v>89</v>
      </c>
      <c r="AX32" s="75">
        <v>0</v>
      </c>
      <c r="AY32" s="75">
        <v>0</v>
      </c>
      <c r="AZ32" s="75">
        <v>42</v>
      </c>
      <c r="BA32" s="75">
        <v>1</v>
      </c>
      <c r="BB32" s="75">
        <v>1</v>
      </c>
      <c r="BC32" s="75" t="s">
        <v>2775</v>
      </c>
      <c r="BD32" s="78" t="str">
        <f>HYPERLINK(".\links\CDD\EEC03934.1-CDD.txt","PTZ00281 actin")</f>
        <v>PTZ00281 actin</v>
      </c>
      <c r="BE32" s="75">
        <v>0</v>
      </c>
      <c r="BF32" s="75">
        <v>89.1</v>
      </c>
      <c r="BG32" s="75" t="s">
        <v>2956</v>
      </c>
      <c r="BH32" s="75" t="s">
        <v>2957</v>
      </c>
      <c r="BI32" s="75" t="str">
        <f>HYPERLINK(".\links\KOG\EEC03934.1-KOG.txt","CDD:227602 COG5277, COG5277, Actin and related proteins")</f>
        <v>CDD:227602 COG5277, COG5277, Actin and related proteins</v>
      </c>
      <c r="BJ32" s="79">
        <v>9.0000000000000003E-148</v>
      </c>
      <c r="BK32" s="75">
        <v>90.5</v>
      </c>
      <c r="BL32" s="75" t="s">
        <v>2958</v>
      </c>
      <c r="BM32" s="75" t="s">
        <v>2779</v>
      </c>
      <c r="BN32" s="78" t="str">
        <f>HYPERLINK(".\links\PFAM\EEC03934.1-PFAM.txt","Actin Actin")</f>
        <v>Actin Actin</v>
      </c>
      <c r="BO32" s="75">
        <v>0</v>
      </c>
      <c r="BP32" s="75">
        <v>90.2</v>
      </c>
      <c r="BQ32" s="75" t="s">
        <v>2959</v>
      </c>
      <c r="BR32" s="75" t="s">
        <v>2772</v>
      </c>
      <c r="BS32" s="78" t="str">
        <f>HYPERLINK(".\links\SMART\EEC03934.1-SMART.txt","CDD:214592 smart00268, ACTIN, Actin")</f>
        <v>CDD:214592 smart00268, ACTIN, Actin</v>
      </c>
      <c r="BT32" s="75">
        <v>0</v>
      </c>
      <c r="BU32" s="75">
        <v>90.6</v>
      </c>
      <c r="BV32" s="75" t="s">
        <v>2960</v>
      </c>
      <c r="BW32" s="75" t="s">
        <v>2772</v>
      </c>
      <c r="BX32" s="78" t="str">
        <f>HYPERLINK(".\links\TSF\EEC03934.1-TSF.txt","30-142 30-142, Cytotoxin||S|")</f>
        <v>30-142 30-142, Cytotoxin||S|</v>
      </c>
      <c r="BY32" s="75">
        <v>0.23</v>
      </c>
      <c r="BZ32" s="75">
        <v>50.7</v>
      </c>
      <c r="CA32" s="75" t="s">
        <v>2961</v>
      </c>
      <c r="CB32" s="75" t="s">
        <v>2962</v>
      </c>
      <c r="CC32" s="75" t="s">
        <v>2772</v>
      </c>
      <c r="CD32" s="75" t="s">
        <v>2785</v>
      </c>
      <c r="CE32" s="75" t="s">
        <v>2963</v>
      </c>
      <c r="CF32" s="75">
        <v>28</v>
      </c>
      <c r="CG32" s="75">
        <v>1</v>
      </c>
      <c r="CH32" s="75">
        <v>33</v>
      </c>
      <c r="CI32" s="75">
        <v>1</v>
      </c>
      <c r="CJ32" s="75">
        <v>33</v>
      </c>
      <c r="CK32" s="75">
        <v>1</v>
      </c>
      <c r="CL32" s="75">
        <v>35</v>
      </c>
      <c r="CM32" s="75">
        <v>1</v>
      </c>
      <c r="CN32" s="75">
        <v>34</v>
      </c>
      <c r="CO32" s="75">
        <v>1</v>
      </c>
      <c r="CP32" s="75">
        <v>35</v>
      </c>
      <c r="CQ32" s="75">
        <v>1</v>
      </c>
      <c r="CR32" s="75">
        <v>36</v>
      </c>
      <c r="CS32" s="75">
        <v>1</v>
      </c>
      <c r="CT32" s="75">
        <v>39</v>
      </c>
      <c r="CU32" s="75">
        <v>1</v>
      </c>
      <c r="CV32" s="75">
        <v>41</v>
      </c>
      <c r="CW32" s="75">
        <v>1</v>
      </c>
      <c r="CX32" s="75">
        <v>43</v>
      </c>
      <c r="CY32" s="75">
        <v>1</v>
      </c>
      <c r="CZ32" s="75">
        <v>44</v>
      </c>
      <c r="DA32" s="75">
        <v>1</v>
      </c>
      <c r="DB32" s="75">
        <v>44</v>
      </c>
      <c r="DC32" s="75">
        <v>1</v>
      </c>
      <c r="DD32" s="75">
        <v>45</v>
      </c>
      <c r="DE32" s="75">
        <v>1</v>
      </c>
      <c r="DF32" s="75">
        <v>44</v>
      </c>
      <c r="DG32" s="75">
        <v>1</v>
      </c>
      <c r="DH32" s="75">
        <v>45</v>
      </c>
      <c r="DI32" s="75">
        <v>1</v>
      </c>
      <c r="DJ32" s="75" t="s">
        <v>196</v>
      </c>
      <c r="DK32" s="75" t="str">
        <f>HYPERLINK(".\links\AAM-CEMENT-2018\EEC03934.1-AAM-CEMENT-2018.txt","Extracted CDS")</f>
        <v>Extracted CDS</v>
      </c>
      <c r="DL32" s="75" t="str">
        <f>HYPERLINK("http://www.ncbi.nlm.nih.gov/sutils/blink.cgi?pid=Aam-178084","0.0")</f>
        <v>0.0</v>
      </c>
      <c r="DM32" s="75" t="str">
        <f>HYPERLINK("http://www.ncbi.nlm.nih.gov/protein/Aam-178084","Aam-178084")</f>
        <v>Aam-178084</v>
      </c>
      <c r="DN32" s="75">
        <v>700</v>
      </c>
      <c r="DO32" s="75">
        <v>335</v>
      </c>
      <c r="DP32" s="75">
        <v>376</v>
      </c>
      <c r="DQ32" s="75">
        <v>100</v>
      </c>
      <c r="DR32" s="75">
        <v>100</v>
      </c>
      <c r="DS32" s="75">
        <v>89</v>
      </c>
      <c r="DT32" s="75">
        <v>0</v>
      </c>
      <c r="DU32" s="75">
        <v>0</v>
      </c>
      <c r="DV32" s="75">
        <v>42</v>
      </c>
      <c r="DW32" s="75">
        <v>1</v>
      </c>
      <c r="DX32" s="75">
        <v>1</v>
      </c>
      <c r="DY32" s="75" t="s">
        <v>2775</v>
      </c>
      <c r="DZ32" s="75" t="str">
        <f>HYPERLINK(".\links\CDD\EEC03934.1-CDD.txt","PTZ00281 actin")</f>
        <v>PTZ00281 actin</v>
      </c>
      <c r="EA32" s="75">
        <v>0</v>
      </c>
      <c r="EB32" s="75">
        <v>89.1</v>
      </c>
      <c r="EC32" s="75" t="s">
        <v>2956</v>
      </c>
      <c r="ED32" s="75" t="s">
        <v>2957</v>
      </c>
      <c r="EE32" s="75" t="str">
        <f>HYPERLINK(".\links\KOG\EEC03934.1-KOG.txt","CDD:227602 COG5277, COG5277, Actin and related proteins")</f>
        <v>CDD:227602 COG5277, COG5277, Actin and related proteins</v>
      </c>
      <c r="EF32" s="79">
        <v>9.0000000000000003E-148</v>
      </c>
      <c r="EG32" s="75">
        <v>90.5</v>
      </c>
      <c r="EH32" s="75" t="s">
        <v>2958</v>
      </c>
      <c r="EI32" s="75" t="s">
        <v>2779</v>
      </c>
      <c r="EJ32" s="75" t="str">
        <f>HYPERLINK(".\links\PFAM\EEC03934.1-PFAM.txt","Actin Actin")</f>
        <v>Actin Actin</v>
      </c>
      <c r="EK32" s="75">
        <v>0</v>
      </c>
      <c r="EL32" s="75">
        <v>90.2</v>
      </c>
      <c r="EM32" s="75" t="s">
        <v>2959</v>
      </c>
      <c r="EN32" s="75" t="s">
        <v>2772</v>
      </c>
      <c r="EO32" s="75" t="str">
        <f>HYPERLINK(".\links\SMART\EEC03934.1-SMART.txt","CDD:214592 smart00268, ACTIN, Actin")</f>
        <v>CDD:214592 smart00268, ACTIN, Actin</v>
      </c>
      <c r="EP32" s="75">
        <v>0</v>
      </c>
      <c r="EQ32" s="75">
        <v>90.6</v>
      </c>
      <c r="ER32" s="75" t="s">
        <v>2960</v>
      </c>
      <c r="ES32" s="75" t="s">
        <v>2772</v>
      </c>
      <c r="ET32" s="75" t="str">
        <f>HYPERLINK(".\links\TSF\EEC03934.1-TSF.txt","30-142 30-142, Cytotoxin||S|")</f>
        <v>30-142 30-142, Cytotoxin||S|</v>
      </c>
      <c r="EU32" s="75">
        <v>0.23</v>
      </c>
      <c r="EV32" s="75">
        <v>50.7</v>
      </c>
      <c r="EW32" s="75" t="s">
        <v>2961</v>
      </c>
      <c r="EX32" s="75" t="s">
        <v>2962</v>
      </c>
      <c r="EY32" s="75" t="s">
        <v>2772</v>
      </c>
      <c r="EZ32" s="75" t="s">
        <v>2785</v>
      </c>
      <c r="FA32" s="75" t="s">
        <v>2963</v>
      </c>
    </row>
    <row r="33" spans="1:157" x14ac:dyDescent="0.2">
      <c r="A33" s="75" t="str">
        <f>HYPERLINK(".\links\PEP\AAL30373.1-PEP.txt","AAL30373.1")</f>
        <v>AAL30373.1</v>
      </c>
      <c r="B33" s="75" t="s">
        <v>2626</v>
      </c>
      <c r="C33" s="75">
        <v>136</v>
      </c>
      <c r="D33" s="75" t="s">
        <v>2964</v>
      </c>
      <c r="E33" s="75" t="s">
        <v>48</v>
      </c>
      <c r="F33" s="75" t="s">
        <v>2771</v>
      </c>
      <c r="G33" s="75" t="str">
        <f>HYPERLINK(".\links\Sigp\AAL30373.1-SigP.txt","CYT")</f>
        <v>CYT</v>
      </c>
      <c r="H33" s="75" t="s">
        <v>2772</v>
      </c>
      <c r="I33" s="75">
        <v>14.994</v>
      </c>
      <c r="J33" s="75">
        <v>4.63</v>
      </c>
      <c r="K33" s="75" t="s">
        <v>2772</v>
      </c>
      <c r="L33" s="75" t="s">
        <v>2772</v>
      </c>
      <c r="M33" s="75" t="str">
        <f>HYPERLINK(".\links\netoglyc\AAL30373.1-netoglyc.txt","0")</f>
        <v>0</v>
      </c>
      <c r="N33" s="75" t="s">
        <v>2965</v>
      </c>
      <c r="O33" s="75">
        <v>136</v>
      </c>
      <c r="P33" s="75">
        <v>0</v>
      </c>
      <c r="Q33" s="75" t="s">
        <v>2772</v>
      </c>
      <c r="R33" s="75" t="s">
        <v>2772</v>
      </c>
      <c r="S33" s="75" t="s">
        <v>2772</v>
      </c>
      <c r="T33" s="75" t="s">
        <v>2772</v>
      </c>
      <c r="U33" s="75" t="s">
        <v>2772</v>
      </c>
      <c r="V33" s="75" t="s">
        <v>2772</v>
      </c>
      <c r="W33" s="75">
        <v>17.3</v>
      </c>
      <c r="X33" s="75">
        <v>6.5</v>
      </c>
      <c r="Y33" s="75">
        <v>2.9</v>
      </c>
      <c r="Z33" s="75" t="s">
        <v>2774</v>
      </c>
      <c r="AA33" s="77">
        <v>9.5588235294117592</v>
      </c>
      <c r="AB33" s="75">
        <v>0.33</v>
      </c>
      <c r="AD33" s="75">
        <v>1</v>
      </c>
      <c r="AE33" s="75" t="str">
        <f>HYPERLINK(".\links\pep\AAL30373.1-sulf.txt","1")</f>
        <v>1</v>
      </c>
      <c r="AF33" s="75" t="str">
        <f>HYPERLINK(".\links\pep\AAL30373.1-tyr-sulf.txt","Fasta with y")</f>
        <v>Fasta with y</v>
      </c>
      <c r="AG33" s="75" t="s">
        <v>2772</v>
      </c>
      <c r="AH33" s="75" t="s">
        <v>2772</v>
      </c>
      <c r="AI33" s="75" t="s">
        <v>2772</v>
      </c>
      <c r="AJ33" s="75" t="s">
        <v>2772</v>
      </c>
      <c r="AK33" s="75" t="s">
        <v>2772</v>
      </c>
      <c r="AL33" s="75" t="s">
        <v>2772</v>
      </c>
      <c r="AM33" s="75" t="s">
        <v>2772</v>
      </c>
      <c r="AN33" s="75" t="s">
        <v>2772</v>
      </c>
      <c r="AO33" s="78" t="str">
        <f>HYPERLINK(".\links\AAM-CEMENT-2018\AAL30373.1-AAM-CEMENT-2018.txt","Extracted CDS")</f>
        <v>Extracted CDS</v>
      </c>
      <c r="AP33" s="75" t="str">
        <f>HYPERLINK("http://www.ncbi.nlm.nih.gov/sutils/blink.cgi?pid=Aam-178084","5E-96")</f>
        <v>5E-96</v>
      </c>
      <c r="AQ33" s="75" t="str">
        <f>HYPERLINK("http://www.ncbi.nlm.nih.gov/protein/Aam-178084","Aam-178084")</f>
        <v>Aam-178084</v>
      </c>
      <c r="AR33" s="75">
        <v>275</v>
      </c>
      <c r="AS33" s="75">
        <v>136</v>
      </c>
      <c r="AT33" s="75">
        <v>376</v>
      </c>
      <c r="AU33" s="75">
        <v>99</v>
      </c>
      <c r="AV33" s="75">
        <v>99</v>
      </c>
      <c r="AW33" s="75">
        <v>36</v>
      </c>
      <c r="AX33" s="75">
        <v>1</v>
      </c>
      <c r="AY33" s="75">
        <v>0</v>
      </c>
      <c r="AZ33" s="75">
        <v>118</v>
      </c>
      <c r="BA33" s="75">
        <v>1</v>
      </c>
      <c r="BB33" s="75">
        <v>1</v>
      </c>
      <c r="BC33" s="75" t="s">
        <v>2775</v>
      </c>
      <c r="BD33" s="78" t="str">
        <f>HYPERLINK(".\links\CDD\AAL30373.1-CDD.txt","PTZ00281 actin")</f>
        <v>PTZ00281 actin</v>
      </c>
      <c r="BE33" s="79">
        <v>5E-91</v>
      </c>
      <c r="BF33" s="75">
        <v>36.200000000000003</v>
      </c>
      <c r="BG33" s="75" t="s">
        <v>2956</v>
      </c>
      <c r="BH33" s="75" t="s">
        <v>2966</v>
      </c>
      <c r="BI33" s="75" t="str">
        <f>HYPERLINK(".\links\KOG\AAL30373.1-KOG.txt","CDD:227602 COG5277, COG5277, Actin and related proteins")</f>
        <v>CDD:227602 COG5277, COG5277, Actin and related proteins</v>
      </c>
      <c r="BJ33" s="79">
        <v>4.9999999999999999E-46</v>
      </c>
      <c r="BK33" s="75">
        <v>38.1</v>
      </c>
      <c r="BL33" s="75" t="s">
        <v>2958</v>
      </c>
      <c r="BM33" s="75" t="s">
        <v>2779</v>
      </c>
      <c r="BN33" s="78" t="str">
        <f>HYPERLINK(".\links\PFAM\AAL30373.1-PFAM.txt","Actin Actin")</f>
        <v>Actin Actin</v>
      </c>
      <c r="BO33" s="79">
        <v>7.0000000000000001E-65</v>
      </c>
      <c r="BP33" s="75">
        <v>37.1</v>
      </c>
      <c r="BQ33" s="75" t="s">
        <v>2959</v>
      </c>
      <c r="BR33" s="75" t="s">
        <v>2772</v>
      </c>
      <c r="BS33" s="78" t="str">
        <f>HYPERLINK(".\links\SMART\AAL30373.1-SMART.txt","CDD:214592 smart00268, ACTIN, Actin")</f>
        <v>CDD:214592 smart00268, ACTIN, Actin</v>
      </c>
      <c r="BT33" s="79">
        <v>5.9999999999999998E-78</v>
      </c>
      <c r="BU33" s="75">
        <v>37.299999999999997</v>
      </c>
      <c r="BV33" s="75" t="s">
        <v>2960</v>
      </c>
      <c r="BW33" s="75" t="s">
        <v>2772</v>
      </c>
      <c r="BX33" s="78" t="str">
        <f>HYPERLINK(".\links\TSF\AAL30373.1-TSF.txt","25-370 25-370, Low-density lipoprotein receptor||S|")</f>
        <v>25-370 25-370, Low-density lipoprotein receptor||S|</v>
      </c>
      <c r="BY33" s="75">
        <v>0.39</v>
      </c>
      <c r="BZ33" s="75">
        <v>1.5</v>
      </c>
      <c r="CA33" s="75" t="s">
        <v>2967</v>
      </c>
      <c r="CB33" s="75" t="s">
        <v>2968</v>
      </c>
      <c r="CC33" s="75" t="s">
        <v>2772</v>
      </c>
      <c r="CD33" s="75" t="s">
        <v>2785</v>
      </c>
      <c r="CE33" s="75" t="s">
        <v>2969</v>
      </c>
      <c r="CF33" s="75">
        <v>19</v>
      </c>
      <c r="CG33" s="75">
        <v>1</v>
      </c>
      <c r="CH33" s="75">
        <v>20</v>
      </c>
      <c r="CI33" s="75">
        <v>1</v>
      </c>
      <c r="CJ33" s="75">
        <v>19</v>
      </c>
      <c r="CK33" s="75">
        <v>1</v>
      </c>
      <c r="CL33" s="75">
        <v>21</v>
      </c>
      <c r="CM33" s="75">
        <v>1</v>
      </c>
      <c r="CN33" s="75">
        <v>19</v>
      </c>
      <c r="CO33" s="75">
        <v>1</v>
      </c>
      <c r="CP33" s="75">
        <v>19</v>
      </c>
      <c r="CQ33" s="75">
        <v>1</v>
      </c>
      <c r="CR33" s="75">
        <v>20</v>
      </c>
      <c r="CS33" s="75">
        <v>1</v>
      </c>
      <c r="CT33" s="75">
        <v>21</v>
      </c>
      <c r="CU33" s="75">
        <v>1</v>
      </c>
      <c r="CV33" s="75">
        <v>19</v>
      </c>
      <c r="CW33" s="75">
        <v>1</v>
      </c>
      <c r="CX33" s="75">
        <v>18</v>
      </c>
      <c r="CY33" s="75">
        <v>1</v>
      </c>
      <c r="CZ33" s="75">
        <v>16</v>
      </c>
      <c r="DA33" s="75">
        <v>1</v>
      </c>
      <c r="DB33" s="75">
        <v>13</v>
      </c>
      <c r="DC33" s="75">
        <v>1</v>
      </c>
      <c r="DD33" s="75">
        <v>11</v>
      </c>
      <c r="DE33" s="75">
        <v>1</v>
      </c>
      <c r="DF33" s="75">
        <v>10</v>
      </c>
      <c r="DG33" s="75">
        <v>1</v>
      </c>
      <c r="DH33" s="75">
        <v>9</v>
      </c>
      <c r="DI33" s="75">
        <v>1</v>
      </c>
      <c r="DJ33" s="75" t="s">
        <v>190</v>
      </c>
      <c r="DK33" s="75" t="str">
        <f>HYPERLINK(".\links\AAM-CEMENT-2018\AAL30373.1-AAM-CEMENT-2018.txt","Extracted CDS")</f>
        <v>Extracted CDS</v>
      </c>
      <c r="DL33" s="75" t="str">
        <f>HYPERLINK("http://www.ncbi.nlm.nih.gov/sutils/blink.cgi?pid=Aam-178084","5E-96")</f>
        <v>5E-96</v>
      </c>
      <c r="DM33" s="75" t="str">
        <f>HYPERLINK("http://www.ncbi.nlm.nih.gov/protein/Aam-178084","Aam-178084")</f>
        <v>Aam-178084</v>
      </c>
      <c r="DN33" s="75">
        <v>275</v>
      </c>
      <c r="DO33" s="75">
        <v>136</v>
      </c>
      <c r="DP33" s="75">
        <v>376</v>
      </c>
      <c r="DQ33" s="75">
        <v>99</v>
      </c>
      <c r="DR33" s="75">
        <v>99</v>
      </c>
      <c r="DS33" s="75">
        <v>36</v>
      </c>
      <c r="DT33" s="75">
        <v>1</v>
      </c>
      <c r="DU33" s="75">
        <v>0</v>
      </c>
      <c r="DV33" s="75">
        <v>118</v>
      </c>
      <c r="DW33" s="75">
        <v>1</v>
      </c>
      <c r="DX33" s="75">
        <v>1</v>
      </c>
      <c r="DY33" s="75" t="s">
        <v>2775</v>
      </c>
      <c r="DZ33" s="75" t="str">
        <f>HYPERLINK(".\links\CDD\AAL30373.1-CDD.txt","PTZ00281 actin")</f>
        <v>PTZ00281 actin</v>
      </c>
      <c r="EA33" s="79">
        <v>5E-91</v>
      </c>
      <c r="EB33" s="75">
        <v>36.200000000000003</v>
      </c>
      <c r="EC33" s="75" t="s">
        <v>2956</v>
      </c>
      <c r="ED33" s="75" t="s">
        <v>2966</v>
      </c>
      <c r="EE33" s="75" t="str">
        <f>HYPERLINK(".\links\KOG\AAL30373.1-KOG.txt","CDD:227602 COG5277, COG5277, Actin and related proteins")</f>
        <v>CDD:227602 COG5277, COG5277, Actin and related proteins</v>
      </c>
      <c r="EF33" s="79">
        <v>4.9999999999999999E-46</v>
      </c>
      <c r="EG33" s="75">
        <v>38.1</v>
      </c>
      <c r="EH33" s="75" t="s">
        <v>2958</v>
      </c>
      <c r="EI33" s="75" t="s">
        <v>2779</v>
      </c>
      <c r="EJ33" s="75" t="str">
        <f>HYPERLINK(".\links\PFAM\AAL30373.1-PFAM.txt","Actin Actin")</f>
        <v>Actin Actin</v>
      </c>
      <c r="EK33" s="79">
        <v>7.0000000000000001E-65</v>
      </c>
      <c r="EL33" s="75">
        <v>37.1</v>
      </c>
      <c r="EM33" s="75" t="s">
        <v>2959</v>
      </c>
      <c r="EN33" s="75" t="s">
        <v>2772</v>
      </c>
      <c r="EO33" s="75" t="str">
        <f>HYPERLINK(".\links\SMART\AAL30373.1-SMART.txt","CDD:214592 smart00268, ACTIN, Actin")</f>
        <v>CDD:214592 smart00268, ACTIN, Actin</v>
      </c>
      <c r="EP33" s="79">
        <v>5.9999999999999998E-78</v>
      </c>
      <c r="EQ33" s="75">
        <v>37.299999999999997</v>
      </c>
      <c r="ER33" s="75" t="s">
        <v>2960</v>
      </c>
      <c r="ES33" s="75" t="s">
        <v>2772</v>
      </c>
      <c r="ET33" s="75" t="str">
        <f>HYPERLINK(".\links\TSF\AAL30373.1-TSF.txt","25-370 25-370, Low-density lipoprotein receptor||S|")</f>
        <v>25-370 25-370, Low-density lipoprotein receptor||S|</v>
      </c>
      <c r="EU33" s="75">
        <v>0.39</v>
      </c>
      <c r="EV33" s="75">
        <v>1.5</v>
      </c>
      <c r="EW33" s="75" t="s">
        <v>2967</v>
      </c>
      <c r="EX33" s="75" t="s">
        <v>2968</v>
      </c>
      <c r="EY33" s="75" t="s">
        <v>2772</v>
      </c>
      <c r="EZ33" s="75" t="s">
        <v>2785</v>
      </c>
      <c r="FA33" s="75" t="s">
        <v>2969</v>
      </c>
    </row>
    <row r="34" spans="1:157" x14ac:dyDescent="0.2">
      <c r="A34" s="75" t="str">
        <f>HYPERLINK(".\links\PEP\EEC03514.1-PEP.txt","EEC03514.1")</f>
        <v>EEC03514.1</v>
      </c>
      <c r="B34" s="75" t="s">
        <v>2768</v>
      </c>
      <c r="C34" s="75">
        <v>446</v>
      </c>
      <c r="D34" s="75" t="s">
        <v>2970</v>
      </c>
      <c r="E34" s="75" t="s">
        <v>48</v>
      </c>
      <c r="F34" s="75" t="s">
        <v>2771</v>
      </c>
      <c r="G34" s="75" t="str">
        <f>HYPERLINK(".\links\Sigp\EEC03514.1-SigP.txt","CYT")</f>
        <v>CYT</v>
      </c>
      <c r="H34" s="75" t="s">
        <v>2772</v>
      </c>
      <c r="I34" s="75">
        <v>49.957000000000001</v>
      </c>
      <c r="J34" s="75">
        <v>4.79</v>
      </c>
      <c r="K34" s="75" t="s">
        <v>2772</v>
      </c>
      <c r="L34" s="75" t="s">
        <v>2772</v>
      </c>
      <c r="M34" s="75" t="str">
        <f>HYPERLINK(".\links\netoglyc\EEC03514.1-netoglyc.txt","0")</f>
        <v>0</v>
      </c>
      <c r="N34" s="75" t="s">
        <v>2971</v>
      </c>
      <c r="O34" s="75">
        <v>446</v>
      </c>
      <c r="P34" s="75">
        <v>0</v>
      </c>
      <c r="Q34" s="75" t="s">
        <v>2772</v>
      </c>
      <c r="R34" s="75" t="s">
        <v>2772</v>
      </c>
      <c r="S34" s="75" t="s">
        <v>2772</v>
      </c>
      <c r="T34" s="75" t="s">
        <v>2772</v>
      </c>
      <c r="U34" s="75" t="s">
        <v>2772</v>
      </c>
      <c r="V34" s="75" t="s">
        <v>2772</v>
      </c>
      <c r="W34" s="75">
        <v>12.6</v>
      </c>
      <c r="X34" s="75">
        <v>7.7</v>
      </c>
      <c r="Y34" s="75">
        <v>4.4000000000000004</v>
      </c>
      <c r="Z34" s="75" t="s">
        <v>2774</v>
      </c>
      <c r="AA34" s="77">
        <v>12.3318385650224</v>
      </c>
      <c r="AB34" s="75">
        <v>0.17</v>
      </c>
      <c r="AD34" s="75">
        <v>8</v>
      </c>
      <c r="AE34" s="75" t="str">
        <f>HYPERLINK(".\links\pep\EEC03514.1-sulf.txt","2")</f>
        <v>2</v>
      </c>
      <c r="AF34" s="75" t="str">
        <f>HYPERLINK(".\links\pep\EEC03514.1-tyr-sulf.txt","Fasta with y")</f>
        <v>Fasta with y</v>
      </c>
      <c r="AG34" s="75" t="s">
        <v>2772</v>
      </c>
      <c r="AH34" s="75" t="s">
        <v>2772</v>
      </c>
      <c r="AI34" s="75">
        <v>1</v>
      </c>
      <c r="AJ34" s="75">
        <v>3</v>
      </c>
      <c r="AK34" s="75" t="s">
        <v>2772</v>
      </c>
      <c r="AL34" s="75" t="s">
        <v>2772</v>
      </c>
      <c r="AM34" s="75" t="s">
        <v>2772</v>
      </c>
      <c r="AN34" s="75" t="s">
        <v>2772</v>
      </c>
      <c r="AO34" s="78" t="str">
        <f>HYPERLINK(".\links\AAM-CEMENT-2018\EEC03514.1-AAM-CEMENT-2018.txt","Extracted CDS")</f>
        <v>Extracted CDS</v>
      </c>
      <c r="AP34" s="75" t="str">
        <f>HYPERLINK("http://www.ncbi.nlm.nih.gov/sutils/blink.cgi?pid=Aam-179802","0.0")</f>
        <v>0.0</v>
      </c>
      <c r="AQ34" s="75" t="str">
        <f>HYPERLINK("http://www.ncbi.nlm.nih.gov/protein/Aam-179802","Aam-179802")</f>
        <v>Aam-179802</v>
      </c>
      <c r="AR34" s="75">
        <v>936</v>
      </c>
      <c r="AS34" s="75">
        <v>446</v>
      </c>
      <c r="AT34" s="75">
        <v>446</v>
      </c>
      <c r="AU34" s="75">
        <v>99</v>
      </c>
      <c r="AV34" s="75">
        <v>99</v>
      </c>
      <c r="AW34" s="75">
        <v>100</v>
      </c>
      <c r="AX34" s="75">
        <v>1</v>
      </c>
      <c r="AY34" s="75">
        <v>0</v>
      </c>
      <c r="AZ34" s="75">
        <v>1</v>
      </c>
      <c r="BA34" s="75">
        <v>1</v>
      </c>
      <c r="BB34" s="75">
        <v>1</v>
      </c>
      <c r="BC34" s="75" t="s">
        <v>2775</v>
      </c>
      <c r="BD34" s="78" t="str">
        <f>HYPERLINK(".\links\CDD\EEC03514.1-CDD.txt","PLN00220 tubulin beta chain")</f>
        <v>PLN00220 tubulin beta chain</v>
      </c>
      <c r="BE34" s="75">
        <v>0</v>
      </c>
      <c r="BF34" s="75">
        <v>96.2</v>
      </c>
      <c r="BG34" s="75" t="s">
        <v>2972</v>
      </c>
      <c r="BH34" s="75" t="s">
        <v>2973</v>
      </c>
      <c r="BI34" s="75" t="str">
        <f>HYPERLINK(".\links\KOG\EEC03514.1-KOG.txt","CDD:227356 COG5023, COG5023, Tubulin")</f>
        <v>CDD:227356 COG5023, COG5023, Tubulin</v>
      </c>
      <c r="BJ34" s="75">
        <v>0</v>
      </c>
      <c r="BK34" s="75">
        <v>97.5</v>
      </c>
      <c r="BL34" s="75" t="s">
        <v>2974</v>
      </c>
      <c r="BM34" s="75" t="s">
        <v>2779</v>
      </c>
      <c r="BN34" s="78" t="str">
        <f>HYPERLINK(".\links\PFAM\EEC03514.1-PFAM.txt","Tubulin_C Tubulin C-terminal domain")</f>
        <v>Tubulin_C Tubulin C-terminal domain</v>
      </c>
      <c r="BO34" s="79">
        <v>4.0000000000000003E-63</v>
      </c>
      <c r="BP34" s="75">
        <v>100</v>
      </c>
      <c r="BQ34" s="75" t="s">
        <v>2975</v>
      </c>
      <c r="BR34" s="75" t="s">
        <v>2772</v>
      </c>
      <c r="BS34" s="78" t="str">
        <f>HYPERLINK(".\links\SMART\EEC03514.1-SMART.txt","CDD:214867 smart00864, Tubulin, Tubulin/FtsZ family, GTPase domain")</f>
        <v>CDD:214867 smart00864, Tubulin, Tubulin/FtsZ family, GTPase domain</v>
      </c>
      <c r="BT34" s="79">
        <v>5.0000000000000002E-63</v>
      </c>
      <c r="BU34" s="75">
        <v>112</v>
      </c>
      <c r="BV34" s="75" t="s">
        <v>2976</v>
      </c>
      <c r="BW34" s="75" t="s">
        <v>2772</v>
      </c>
      <c r="BX34" s="78" t="str">
        <f>HYPERLINK(".\links\TSF\EEC03514.1-TSF.txt","30-79 30-79, Alpha2Macroblobulin||H|I")</f>
        <v>30-79 30-79, Alpha2Macroblobulin||H|I</v>
      </c>
      <c r="BY34" s="75">
        <v>0.88</v>
      </c>
      <c r="BZ34" s="75">
        <v>3.9</v>
      </c>
      <c r="CA34" s="75" t="s">
        <v>2977</v>
      </c>
      <c r="CB34" s="75" t="s">
        <v>2978</v>
      </c>
      <c r="CC34" s="75" t="s">
        <v>2772</v>
      </c>
      <c r="CD34" s="75" t="s">
        <v>2808</v>
      </c>
      <c r="CE34" s="75" t="s">
        <v>2979</v>
      </c>
      <c r="CF34" s="75">
        <f>HYPERLINK(".\links\cluster-b\Ixsc-cement-202225-50SimCLU2.txt", 2)</f>
        <v>2</v>
      </c>
      <c r="CG34" s="75">
        <f>HYPERLINK(".\links\cluster-b\Ixsc-cement-202225-50SimCLTL2.txt", 13)</f>
        <v>13</v>
      </c>
      <c r="CH34" s="75">
        <f>HYPERLINK(".\links\cluster-b\Ixsc-cement-202230-50SimCLU2.txt", 2)</f>
        <v>2</v>
      </c>
      <c r="CI34" s="75">
        <f>HYPERLINK(".\links\cluster-b\Ixsc-cement-202230-50SimCLTL2.txt", 12)</f>
        <v>12</v>
      </c>
      <c r="CJ34" s="75">
        <f>HYPERLINK(".\links\cluster-b\Ixsc-cement-202235-50SimCLU2.txt", 2)</f>
        <v>2</v>
      </c>
      <c r="CK34" s="75">
        <f>HYPERLINK(".\links\cluster-b\Ixsc-cement-202235-50SimCLTL2.txt", 12)</f>
        <v>12</v>
      </c>
      <c r="CL34" s="75">
        <f>HYPERLINK(".\links\cluster-b\Ixsc-cement-202240-50SimCLU1.txt", 1)</f>
        <v>1</v>
      </c>
      <c r="CM34" s="75">
        <f>HYPERLINK(".\links\cluster-b\Ixsc-cement-202240-50SimCLTL1.txt", 12)</f>
        <v>12</v>
      </c>
      <c r="CN34" s="75">
        <f>HYPERLINK(".\links\cluster-b\Ixsc-cement-202245-50SimCLU1.txt", 1)</f>
        <v>1</v>
      </c>
      <c r="CO34" s="75">
        <f>HYPERLINK(".\links\cluster-b\Ixsc-cement-202245-50SimCLTL1.txt", 11)</f>
        <v>11</v>
      </c>
      <c r="CP34" s="75">
        <f>HYPERLINK(".\links\cluster-b\Ixsc-cement-202250-50SimCLU1.txt", 1)</f>
        <v>1</v>
      </c>
      <c r="CQ34" s="75">
        <f>HYPERLINK(".\links\cluster-b\Ixsc-cement-202250-50SimCLTL1.txt", 10)</f>
        <v>10</v>
      </c>
      <c r="CR34" s="75">
        <f>HYPERLINK(".\links\cluster-b\Ixsc-cement-202255-50SimCLU1.txt", 1)</f>
        <v>1</v>
      </c>
      <c r="CS34" s="75">
        <f>HYPERLINK(".\links\cluster-b\Ixsc-cement-202255-50SimCLTL1.txt", 10)</f>
        <v>10</v>
      </c>
      <c r="CT34" s="75">
        <f>HYPERLINK(".\links\cluster-b\Ixsc-cement-202260-50SimCLU5.txt", 5)</f>
        <v>5</v>
      </c>
      <c r="CU34" s="75">
        <f>HYPERLINK(".\links\cluster-b\Ixsc-cement-202260-50SimCLTL5.txt", 4)</f>
        <v>4</v>
      </c>
      <c r="CV34" s="75">
        <f>HYPERLINK(".\links\cluster-b\Ixsc-cement-202265-50SimCLU4.txt", 4)</f>
        <v>4</v>
      </c>
      <c r="CW34" s="75">
        <f>HYPERLINK(".\links\cluster-b\Ixsc-cement-202265-50SimCLTL4.txt", 4)</f>
        <v>4</v>
      </c>
      <c r="CX34" s="75">
        <f>HYPERLINK(".\links\cluster-b\Ixsc-cement-202270-50SimCLU6.txt", 6)</f>
        <v>6</v>
      </c>
      <c r="CY34" s="75">
        <f>HYPERLINK(".\links\cluster-b\Ixsc-cement-202270-50SimCLTL6.txt", 3)</f>
        <v>3</v>
      </c>
      <c r="CZ34" s="75">
        <f>HYPERLINK(".\links\cluster-b\Ixsc-cement-202275-50SimCLU6.txt", 6)</f>
        <v>6</v>
      </c>
      <c r="DA34" s="75">
        <f>HYPERLINK(".\links\cluster-b\Ixsc-cement-202275-50SimCLTL6.txt", 3)</f>
        <v>3</v>
      </c>
      <c r="DB34" s="75">
        <f>HYPERLINK(".\links\cluster-b\Ixsc-cement-202280-50SimCLU5.txt", 5)</f>
        <v>5</v>
      </c>
      <c r="DC34" s="75">
        <f>HYPERLINK(".\links\cluster-b\Ixsc-cement-202280-50SimCLTL5.txt", 3)</f>
        <v>3</v>
      </c>
      <c r="DD34" s="75">
        <f>HYPERLINK(".\links\cluster-b\Ixsc-cement-202285-50SimCLU4.txt", 4)</f>
        <v>4</v>
      </c>
      <c r="DE34" s="75">
        <f>HYPERLINK(".\links\cluster-b\Ixsc-cement-202285-50SimCLTL4.txt", 3)</f>
        <v>3</v>
      </c>
      <c r="DF34" s="75">
        <f>HYPERLINK(".\links\cluster-b\Ixsc-cement-202290-50SimCLU3.txt", 3)</f>
        <v>3</v>
      </c>
      <c r="DG34" s="75">
        <f>HYPERLINK(".\links\cluster-b\Ixsc-cement-202290-50SimCLTL3.txt", 3)</f>
        <v>3</v>
      </c>
      <c r="DH34" s="75">
        <f>HYPERLINK(".\links\cluster-b\Ixsc-cement-202295-50SimCLU3.txt", 3)</f>
        <v>3</v>
      </c>
      <c r="DI34" s="75">
        <f>HYPERLINK(".\links\cluster-b\Ixsc-cement-202295-50SimCLTL3.txt", 3)</f>
        <v>3</v>
      </c>
      <c r="DJ34" s="75" t="s">
        <v>194</v>
      </c>
      <c r="DK34" s="75" t="str">
        <f>HYPERLINK(".\links\AAM-CEMENT-2018\EEC03514.1-AAM-CEMENT-2018.txt","Extracted CDS")</f>
        <v>Extracted CDS</v>
      </c>
      <c r="DL34" s="75" t="str">
        <f>HYPERLINK("http://www.ncbi.nlm.nih.gov/sutils/blink.cgi?pid=Aam-179802","0.0")</f>
        <v>0.0</v>
      </c>
      <c r="DM34" s="75" t="str">
        <f>HYPERLINK("http://www.ncbi.nlm.nih.gov/protein/Aam-179802","Aam-179802")</f>
        <v>Aam-179802</v>
      </c>
      <c r="DN34" s="75">
        <v>936</v>
      </c>
      <c r="DO34" s="75">
        <v>446</v>
      </c>
      <c r="DP34" s="75">
        <v>446</v>
      </c>
      <c r="DQ34" s="75">
        <v>99</v>
      </c>
      <c r="DR34" s="75">
        <v>99</v>
      </c>
      <c r="DS34" s="75">
        <v>100</v>
      </c>
      <c r="DT34" s="75">
        <v>1</v>
      </c>
      <c r="DU34" s="75">
        <v>0</v>
      </c>
      <c r="DV34" s="75">
        <v>1</v>
      </c>
      <c r="DW34" s="75">
        <v>1</v>
      </c>
      <c r="DX34" s="75">
        <v>1</v>
      </c>
      <c r="DY34" s="75" t="s">
        <v>2775</v>
      </c>
      <c r="DZ34" s="75" t="str">
        <f>HYPERLINK(".\links\CDD\EEC03514.1-CDD.txt","PLN00220 tubulin beta chain")</f>
        <v>PLN00220 tubulin beta chain</v>
      </c>
      <c r="EA34" s="75">
        <v>0</v>
      </c>
      <c r="EB34" s="75">
        <v>96.2</v>
      </c>
      <c r="EC34" s="75" t="s">
        <v>2972</v>
      </c>
      <c r="ED34" s="75" t="s">
        <v>2973</v>
      </c>
      <c r="EE34" s="75" t="str">
        <f>HYPERLINK(".\links\KOG\EEC03514.1-KOG.txt","CDD:227356 COG5023, COG5023, Tubulin")</f>
        <v>CDD:227356 COG5023, COG5023, Tubulin</v>
      </c>
      <c r="EF34" s="75">
        <v>0</v>
      </c>
      <c r="EG34" s="75">
        <v>97.5</v>
      </c>
      <c r="EH34" s="75" t="s">
        <v>2974</v>
      </c>
      <c r="EI34" s="75" t="s">
        <v>2779</v>
      </c>
      <c r="EJ34" s="75" t="str">
        <f>HYPERLINK(".\links\PFAM\EEC03514.1-PFAM.txt","Tubulin_C Tubulin C-terminal domain")</f>
        <v>Tubulin_C Tubulin C-terminal domain</v>
      </c>
      <c r="EK34" s="79">
        <v>4.0000000000000003E-63</v>
      </c>
      <c r="EL34" s="75">
        <v>100</v>
      </c>
      <c r="EM34" s="75" t="s">
        <v>2975</v>
      </c>
      <c r="EN34" s="75" t="s">
        <v>2772</v>
      </c>
      <c r="EO34" s="75" t="str">
        <f>HYPERLINK(".\links\SMART\EEC03514.1-SMART.txt","CDD:214867 smart00864, Tubulin, Tubulin/FtsZ family, GTPase domain")</f>
        <v>CDD:214867 smart00864, Tubulin, Tubulin/FtsZ family, GTPase domain</v>
      </c>
      <c r="EP34" s="79">
        <v>5.0000000000000002E-63</v>
      </c>
      <c r="EQ34" s="75">
        <v>112</v>
      </c>
      <c r="ER34" s="75" t="s">
        <v>2976</v>
      </c>
      <c r="ES34" s="75" t="s">
        <v>2772</v>
      </c>
      <c r="ET34" s="75" t="str">
        <f>HYPERLINK(".\links\TSF\EEC03514.1-TSF.txt","30-79 30-79, Alpha2Macroblobulin||H|I")</f>
        <v>30-79 30-79, Alpha2Macroblobulin||H|I</v>
      </c>
      <c r="EU34" s="75">
        <v>0.88</v>
      </c>
      <c r="EV34" s="75">
        <v>3.9</v>
      </c>
      <c r="EW34" s="75" t="s">
        <v>2977</v>
      </c>
      <c r="EX34" s="75" t="s">
        <v>2978</v>
      </c>
      <c r="EY34" s="75" t="s">
        <v>2772</v>
      </c>
      <c r="EZ34" s="75" t="s">
        <v>2808</v>
      </c>
      <c r="FA34" s="75" t="s">
        <v>2979</v>
      </c>
    </row>
    <row r="35" spans="1:157" x14ac:dyDescent="0.2">
      <c r="A35" s="75" t="str">
        <f>HYPERLINK(".\links\PEP\EEC05915.1-PEP.txt","EEC05915.1")</f>
        <v>EEC05915.1</v>
      </c>
      <c r="B35" s="75" t="s">
        <v>2768</v>
      </c>
      <c r="C35" s="75">
        <v>451</v>
      </c>
      <c r="D35" s="75" t="s">
        <v>2980</v>
      </c>
      <c r="E35" s="75" t="s">
        <v>48</v>
      </c>
      <c r="F35" s="75" t="s">
        <v>2771</v>
      </c>
      <c r="G35" s="75" t="str">
        <f>HYPERLINK(".\links\Sigp\EEC05915.1-SigP.txt","CYT")</f>
        <v>CYT</v>
      </c>
      <c r="H35" s="75" t="s">
        <v>2772</v>
      </c>
      <c r="I35" s="75">
        <v>50.029000000000003</v>
      </c>
      <c r="J35" s="75">
        <v>4.96</v>
      </c>
      <c r="K35" s="75" t="s">
        <v>2772</v>
      </c>
      <c r="L35" s="75" t="s">
        <v>2772</v>
      </c>
      <c r="M35" s="75" t="str">
        <f>HYPERLINK(".\links\netoglyc\EEC05915.1-netoglyc.txt","1")</f>
        <v>1</v>
      </c>
      <c r="N35" s="75" t="s">
        <v>2981</v>
      </c>
      <c r="O35" s="75">
        <v>451</v>
      </c>
      <c r="P35" s="75">
        <v>0</v>
      </c>
      <c r="Q35" s="75" t="s">
        <v>2772</v>
      </c>
      <c r="R35" s="75" t="s">
        <v>2772</v>
      </c>
      <c r="S35" s="75" t="s">
        <v>2772</v>
      </c>
      <c r="T35" s="75" t="s">
        <v>2772</v>
      </c>
      <c r="U35" s="75" t="s">
        <v>2772</v>
      </c>
      <c r="V35" s="75" t="s">
        <v>2772</v>
      </c>
      <c r="W35" s="75">
        <v>11.1</v>
      </c>
      <c r="X35" s="75">
        <v>8.1</v>
      </c>
      <c r="Y35" s="75">
        <v>4.4000000000000004</v>
      </c>
      <c r="Z35" s="75" t="s">
        <v>2774</v>
      </c>
      <c r="AA35" s="77">
        <v>12.638580931263901</v>
      </c>
      <c r="AB35" s="75">
        <v>0.17</v>
      </c>
      <c r="AD35" s="75">
        <v>12</v>
      </c>
      <c r="AE35" s="75" t="str">
        <f>HYPERLINK(".\links\pep\EEC05915.1-sulf.txt","1")</f>
        <v>1</v>
      </c>
      <c r="AF35" s="75" t="str">
        <f>HYPERLINK(".\links\pep\EEC05915.1-tyr-sulf.txt","Fasta with y")</f>
        <v>Fasta with y</v>
      </c>
      <c r="AG35" s="75" t="s">
        <v>2772</v>
      </c>
      <c r="AH35" s="75" t="s">
        <v>2772</v>
      </c>
      <c r="AI35" s="75" t="s">
        <v>2772</v>
      </c>
      <c r="AJ35" s="75">
        <v>1</v>
      </c>
      <c r="AK35" s="75" t="s">
        <v>2772</v>
      </c>
      <c r="AL35" s="75" t="s">
        <v>2772</v>
      </c>
      <c r="AM35" s="75" t="s">
        <v>2772</v>
      </c>
      <c r="AN35" s="75" t="s">
        <v>2772</v>
      </c>
      <c r="AO35" s="78" t="str">
        <f>HYPERLINK(".\links\AAM-CEMENT-2018\EEC05915.1-AAM-CEMENT-2018.txt","Extracted CDS")</f>
        <v>Extracted CDS</v>
      </c>
      <c r="AP35" s="75" t="str">
        <f>HYPERLINK("http://www.ncbi.nlm.nih.gov/sutils/blink.cgi?pid=Aam-178138","0.0")</f>
        <v>0.0</v>
      </c>
      <c r="AQ35" s="75" t="str">
        <f>HYPERLINK("http://www.ncbi.nlm.nih.gov/protein/Aam-178138","Aam-178138")</f>
        <v>Aam-178138</v>
      </c>
      <c r="AR35" s="75">
        <v>924</v>
      </c>
      <c r="AS35" s="75">
        <v>445</v>
      </c>
      <c r="AT35" s="75">
        <v>477</v>
      </c>
      <c r="AU35" s="75">
        <v>98</v>
      </c>
      <c r="AV35" s="75">
        <v>99</v>
      </c>
      <c r="AW35" s="75">
        <v>93</v>
      </c>
      <c r="AX35" s="75">
        <v>5</v>
      </c>
      <c r="AY35" s="75">
        <v>0</v>
      </c>
      <c r="AZ35" s="75">
        <v>33</v>
      </c>
      <c r="BA35" s="75">
        <v>7</v>
      </c>
      <c r="BB35" s="75">
        <v>1</v>
      </c>
      <c r="BC35" s="75" t="s">
        <v>2775</v>
      </c>
      <c r="BD35" s="78" t="str">
        <f>HYPERLINK(".\links\CDD\EEC05915.1-CDD.txt","PTZ00335 tubulin alpha chain")</f>
        <v>PTZ00335 tubulin alpha chain</v>
      </c>
      <c r="BE35" s="75">
        <v>0</v>
      </c>
      <c r="BF35" s="75">
        <v>100</v>
      </c>
      <c r="BG35" s="75" t="s">
        <v>2982</v>
      </c>
      <c r="BH35" s="75" t="s">
        <v>2983</v>
      </c>
      <c r="BI35" s="75" t="str">
        <f>HYPERLINK(".\links\KOG\EEC05915.1-KOG.txt","CDD:227356 COG5023, COG5023, Tubulin")</f>
        <v>CDD:227356 COG5023, COG5023, Tubulin</v>
      </c>
      <c r="BJ35" s="75">
        <v>0</v>
      </c>
      <c r="BK35" s="75">
        <v>101.6</v>
      </c>
      <c r="BL35" s="75" t="s">
        <v>2974</v>
      </c>
      <c r="BM35" s="75" t="s">
        <v>2779</v>
      </c>
      <c r="BN35" s="78" t="str">
        <f>HYPERLINK(".\links\PFAM\EEC05915.1-PFAM.txt","Tubulin_C Tubulin C-terminal domain")</f>
        <v>Tubulin_C Tubulin C-terminal domain</v>
      </c>
      <c r="BO35" s="79">
        <v>1.9999999999999999E-77</v>
      </c>
      <c r="BP35" s="75">
        <v>104</v>
      </c>
      <c r="BQ35" s="75" t="s">
        <v>2975</v>
      </c>
      <c r="BR35" s="75" t="s">
        <v>2772</v>
      </c>
      <c r="BS35" s="78" t="str">
        <f>HYPERLINK(".\links\SMART\EEC05915.1-SMART.txt","CDD:214867 smart00864, Tubulin, Tubulin/FtsZ family, GTPase domain")</f>
        <v>CDD:214867 smart00864, Tubulin, Tubulin/FtsZ family, GTPase domain</v>
      </c>
      <c r="BT35" s="79">
        <v>1.0000000000000001E-68</v>
      </c>
      <c r="BU35" s="75">
        <v>112</v>
      </c>
      <c r="BV35" s="75" t="s">
        <v>2976</v>
      </c>
      <c r="BW35" s="75" t="s">
        <v>2772</v>
      </c>
      <c r="BX35" s="78" t="str">
        <f>HYPERLINK(".\links\TSF\EEC05915.1-TSF.txt","25-35 25-35, Alpha2Macroblobulin||H|I")</f>
        <v>25-35 25-35, Alpha2Macroblobulin||H|I</v>
      </c>
      <c r="BY35" s="75">
        <v>1.0999999999999999E-2</v>
      </c>
      <c r="BZ35" s="75">
        <v>7</v>
      </c>
      <c r="CA35" s="75" t="s">
        <v>2984</v>
      </c>
      <c r="CB35" s="75" t="s">
        <v>2978</v>
      </c>
      <c r="CC35" s="75" t="s">
        <v>2772</v>
      </c>
      <c r="CD35" s="75" t="s">
        <v>2808</v>
      </c>
      <c r="CE35" s="75" t="s">
        <v>2985</v>
      </c>
      <c r="CF35" s="75">
        <f>HYPERLINK(".\links\cluster-b\Ixsc-cement-202225-50SimCLU2.txt", 2)</f>
        <v>2</v>
      </c>
      <c r="CG35" s="75">
        <f>HYPERLINK(".\links\cluster-b\Ixsc-cement-202225-50SimCLTL2.txt", 13)</f>
        <v>13</v>
      </c>
      <c r="CH35" s="75">
        <f>HYPERLINK(".\links\cluster-b\Ixsc-cement-202230-50SimCLU2.txt", 2)</f>
        <v>2</v>
      </c>
      <c r="CI35" s="75">
        <f>HYPERLINK(".\links\cluster-b\Ixsc-cement-202230-50SimCLTL2.txt", 12)</f>
        <v>12</v>
      </c>
      <c r="CJ35" s="75">
        <f>HYPERLINK(".\links\cluster-b\Ixsc-cement-202235-50SimCLU2.txt", 2)</f>
        <v>2</v>
      </c>
      <c r="CK35" s="75">
        <f>HYPERLINK(".\links\cluster-b\Ixsc-cement-202235-50SimCLTL2.txt", 12)</f>
        <v>12</v>
      </c>
      <c r="CL35" s="75">
        <f>HYPERLINK(".\links\cluster-b\Ixsc-cement-202240-50SimCLU1.txt", 1)</f>
        <v>1</v>
      </c>
      <c r="CM35" s="75">
        <f>HYPERLINK(".\links\cluster-b\Ixsc-cement-202240-50SimCLTL1.txt", 12)</f>
        <v>12</v>
      </c>
      <c r="CN35" s="75">
        <f>HYPERLINK(".\links\cluster-b\Ixsc-cement-202245-50SimCLU1.txt", 1)</f>
        <v>1</v>
      </c>
      <c r="CO35" s="75">
        <f>HYPERLINK(".\links\cluster-b\Ixsc-cement-202245-50SimCLTL1.txt", 11)</f>
        <v>11</v>
      </c>
      <c r="CP35" s="75">
        <f>HYPERLINK(".\links\cluster-b\Ixsc-cement-202250-50SimCLU1.txt", 1)</f>
        <v>1</v>
      </c>
      <c r="CQ35" s="75">
        <f>HYPERLINK(".\links\cluster-b\Ixsc-cement-202250-50SimCLTL1.txt", 10)</f>
        <v>10</v>
      </c>
      <c r="CR35" s="75">
        <f>HYPERLINK(".\links\cluster-b\Ixsc-cement-202255-50SimCLU1.txt", 1)</f>
        <v>1</v>
      </c>
      <c r="CS35" s="75">
        <f>HYPERLINK(".\links\cluster-b\Ixsc-cement-202255-50SimCLTL1.txt", 10)</f>
        <v>10</v>
      </c>
      <c r="CT35" s="75">
        <f>HYPERLINK(".\links\cluster-b\Ixsc-cement-202260-50SimCLU2.txt", 2)</f>
        <v>2</v>
      </c>
      <c r="CU35" s="75">
        <f>HYPERLINK(".\links\cluster-b\Ixsc-cement-202260-50SimCLTL2.txt", 6)</f>
        <v>6</v>
      </c>
      <c r="CV35" s="75">
        <f>HYPERLINK(".\links\cluster-b\Ixsc-cement-202265-50SimCLU2.txt", 2)</f>
        <v>2</v>
      </c>
      <c r="CW35" s="75">
        <f>HYPERLINK(".\links\cluster-b\Ixsc-cement-202265-50SimCLTL2.txt", 5)</f>
        <v>5</v>
      </c>
      <c r="CX35" s="75">
        <f>HYPERLINK(".\links\cluster-b\Ixsc-cement-202270-50SimCLU3.txt", 3)</f>
        <v>3</v>
      </c>
      <c r="CY35" s="75">
        <f>HYPERLINK(".\links\cluster-b\Ixsc-cement-202270-50SimCLTL3.txt", 4)</f>
        <v>4</v>
      </c>
      <c r="CZ35" s="75">
        <f>HYPERLINK(".\links\cluster-b\Ixsc-cement-202275-50SimCLU3.txt", 3)</f>
        <v>3</v>
      </c>
      <c r="DA35" s="75">
        <f>HYPERLINK(".\links\cluster-b\Ixsc-cement-202275-50SimCLTL3.txt", 4)</f>
        <v>4</v>
      </c>
      <c r="DB35" s="75">
        <f>HYPERLINK(".\links\cluster-b\Ixsc-cement-202280-50SimCLU2.txt", 2)</f>
        <v>2</v>
      </c>
      <c r="DC35" s="75">
        <f>HYPERLINK(".\links\cluster-b\Ixsc-cement-202280-50SimCLTL2.txt", 4)</f>
        <v>4</v>
      </c>
      <c r="DD35" s="75">
        <f>HYPERLINK(".\links\cluster-b\Ixsc-cement-202285-50SimCLU1.txt", 1)</f>
        <v>1</v>
      </c>
      <c r="DE35" s="75">
        <f>HYPERLINK(".\links\cluster-b\Ixsc-cement-202285-50SimCLTL1.txt", 4)</f>
        <v>4</v>
      </c>
      <c r="DF35" s="75">
        <f>HYPERLINK(".\links\cluster-b\Ixsc-cement-202290-50SimCLU4.txt", 4)</f>
        <v>4</v>
      </c>
      <c r="DG35" s="75">
        <f>HYPERLINK(".\links\cluster-b\Ixsc-cement-202290-50SimCLTL4.txt", 3)</f>
        <v>3</v>
      </c>
      <c r="DH35" s="75">
        <f>HYPERLINK(".\links\cluster-b\Ixsc-cement-202295-50SimCLU4.txt", 4)</f>
        <v>4</v>
      </c>
      <c r="DI35" s="75">
        <f>HYPERLINK(".\links\cluster-b\Ixsc-cement-202295-50SimCLTL4.txt", 3)</f>
        <v>3</v>
      </c>
      <c r="DJ35" s="75" t="s">
        <v>198</v>
      </c>
      <c r="DK35" s="75" t="str">
        <f>HYPERLINK(".\links\AAM-CEMENT-2018\EEC05915.1-AAM-CEMENT-2018.txt","Extracted CDS")</f>
        <v>Extracted CDS</v>
      </c>
      <c r="DL35" s="75" t="str">
        <f>HYPERLINK("http://www.ncbi.nlm.nih.gov/sutils/blink.cgi?pid=Aam-178138","0.0")</f>
        <v>0.0</v>
      </c>
      <c r="DM35" s="75" t="str">
        <f>HYPERLINK("http://www.ncbi.nlm.nih.gov/protein/Aam-178138","Aam-178138")</f>
        <v>Aam-178138</v>
      </c>
      <c r="DN35" s="75">
        <v>924</v>
      </c>
      <c r="DO35" s="75">
        <v>445</v>
      </c>
      <c r="DP35" s="75">
        <v>477</v>
      </c>
      <c r="DQ35" s="75">
        <v>98</v>
      </c>
      <c r="DR35" s="75">
        <v>99</v>
      </c>
      <c r="DS35" s="75">
        <v>93</v>
      </c>
      <c r="DT35" s="75">
        <v>5</v>
      </c>
      <c r="DU35" s="75">
        <v>0</v>
      </c>
      <c r="DV35" s="75">
        <v>33</v>
      </c>
      <c r="DW35" s="75">
        <v>7</v>
      </c>
      <c r="DX35" s="75">
        <v>1</v>
      </c>
      <c r="DY35" s="75" t="s">
        <v>2775</v>
      </c>
      <c r="DZ35" s="75" t="str">
        <f>HYPERLINK(".\links\CDD\EEC05915.1-CDD.txt","PTZ00335 tubulin alpha chain")</f>
        <v>PTZ00335 tubulin alpha chain</v>
      </c>
      <c r="EA35" s="75">
        <v>0</v>
      </c>
      <c r="EB35" s="75">
        <v>100</v>
      </c>
      <c r="EC35" s="75" t="s">
        <v>2982</v>
      </c>
      <c r="ED35" s="75" t="s">
        <v>2983</v>
      </c>
      <c r="EE35" s="75" t="str">
        <f>HYPERLINK(".\links\KOG\EEC05915.1-KOG.txt","CDD:227356 COG5023, COG5023, Tubulin")</f>
        <v>CDD:227356 COG5023, COG5023, Tubulin</v>
      </c>
      <c r="EF35" s="75">
        <v>0</v>
      </c>
      <c r="EG35" s="75">
        <v>101.6</v>
      </c>
      <c r="EH35" s="75" t="s">
        <v>2974</v>
      </c>
      <c r="EI35" s="75" t="s">
        <v>2779</v>
      </c>
      <c r="EJ35" s="75" t="str">
        <f>HYPERLINK(".\links\PFAM\EEC05915.1-PFAM.txt","Tubulin_C Tubulin C-terminal domain")</f>
        <v>Tubulin_C Tubulin C-terminal domain</v>
      </c>
      <c r="EK35" s="79">
        <v>1.9999999999999999E-77</v>
      </c>
      <c r="EL35" s="75">
        <v>104</v>
      </c>
      <c r="EM35" s="75" t="s">
        <v>2975</v>
      </c>
      <c r="EN35" s="75" t="s">
        <v>2772</v>
      </c>
      <c r="EO35" s="75" t="str">
        <f>HYPERLINK(".\links\SMART\EEC05915.1-SMART.txt","CDD:214867 smart00864, Tubulin, Tubulin/FtsZ family, GTPase domain")</f>
        <v>CDD:214867 smart00864, Tubulin, Tubulin/FtsZ family, GTPase domain</v>
      </c>
      <c r="EP35" s="79">
        <v>1.0000000000000001E-68</v>
      </c>
      <c r="EQ35" s="75">
        <v>112</v>
      </c>
      <c r="ER35" s="75" t="s">
        <v>2976</v>
      </c>
      <c r="ES35" s="75" t="s">
        <v>2772</v>
      </c>
      <c r="ET35" s="75" t="str">
        <f>HYPERLINK(".\links\TSF\EEC05915.1-TSF.txt","25-35 25-35, Alpha2Macroblobulin||H|I")</f>
        <v>25-35 25-35, Alpha2Macroblobulin||H|I</v>
      </c>
      <c r="EU35" s="75">
        <v>1.0999999999999999E-2</v>
      </c>
      <c r="EV35" s="75">
        <v>7</v>
      </c>
      <c r="EW35" s="75" t="s">
        <v>2984</v>
      </c>
      <c r="EX35" s="75" t="s">
        <v>2978</v>
      </c>
      <c r="EY35" s="75" t="s">
        <v>2772</v>
      </c>
      <c r="EZ35" s="75" t="s">
        <v>2808</v>
      </c>
      <c r="FA35" s="75" t="s">
        <v>2985</v>
      </c>
    </row>
    <row r="36" spans="1:157" x14ac:dyDescent="0.2">
      <c r="A36" s="75" t="str">
        <f>HYPERLINK(".\links\PEP\EEC20578.1-PEP.txt","EEC20578.1")</f>
        <v>EEC20578.1</v>
      </c>
      <c r="B36" s="75" t="s">
        <v>2768</v>
      </c>
      <c r="C36" s="75">
        <v>451</v>
      </c>
      <c r="D36" s="75" t="s">
        <v>2980</v>
      </c>
      <c r="E36" s="76" t="s">
        <v>48</v>
      </c>
      <c r="F36" s="75" t="s">
        <v>2771</v>
      </c>
      <c r="G36" s="75" t="str">
        <f>HYPERLINK(".\links\Sigp\EEC20578.1-SigP.txt","CYT")</f>
        <v>CYT</v>
      </c>
      <c r="H36" s="75" t="s">
        <v>2772</v>
      </c>
      <c r="I36" s="75">
        <v>50.046999999999997</v>
      </c>
      <c r="J36" s="75">
        <v>4.96</v>
      </c>
      <c r="K36" s="75" t="s">
        <v>2772</v>
      </c>
      <c r="L36" s="75" t="s">
        <v>2772</v>
      </c>
      <c r="M36" s="75" t="str">
        <f>HYPERLINK(".\links\netoglyc\EEC20578.1-netoglyc.txt","1")</f>
        <v>1</v>
      </c>
      <c r="N36" s="75" t="s">
        <v>2986</v>
      </c>
      <c r="O36" s="75">
        <v>451</v>
      </c>
      <c r="P36" s="75">
        <v>0</v>
      </c>
      <c r="Q36" s="75" t="s">
        <v>2772</v>
      </c>
      <c r="R36" s="75" t="s">
        <v>2772</v>
      </c>
      <c r="S36" s="75" t="s">
        <v>2772</v>
      </c>
      <c r="T36" s="75" t="s">
        <v>2772</v>
      </c>
      <c r="U36" s="75" t="s">
        <v>2772</v>
      </c>
      <c r="V36" s="75" t="s">
        <v>2772</v>
      </c>
      <c r="W36" s="75">
        <v>11.3</v>
      </c>
      <c r="X36" s="75">
        <v>7.8</v>
      </c>
      <c r="Y36" s="75">
        <v>4.4000000000000004</v>
      </c>
      <c r="Z36" s="75" t="s">
        <v>2774</v>
      </c>
      <c r="AA36" s="77">
        <v>12.4168514412417</v>
      </c>
      <c r="AB36" s="75">
        <v>0.16</v>
      </c>
      <c r="AD36" s="75">
        <v>12</v>
      </c>
      <c r="AE36" s="75" t="str">
        <f>HYPERLINK(".\links\pep\EEC20578.1-sulf.txt","1")</f>
        <v>1</v>
      </c>
      <c r="AF36" s="75" t="str">
        <f>HYPERLINK(".\links\pep\EEC20578.1-tyr-sulf.txt","Fasta with y")</f>
        <v>Fasta with y</v>
      </c>
      <c r="AG36" s="75" t="s">
        <v>2772</v>
      </c>
      <c r="AH36" s="75" t="s">
        <v>2772</v>
      </c>
      <c r="AI36" s="75" t="s">
        <v>2772</v>
      </c>
      <c r="AJ36" s="75">
        <v>1</v>
      </c>
      <c r="AK36" s="75" t="s">
        <v>2772</v>
      </c>
      <c r="AL36" s="75" t="s">
        <v>2772</v>
      </c>
      <c r="AM36" s="75" t="s">
        <v>2772</v>
      </c>
      <c r="AN36" s="75" t="s">
        <v>2772</v>
      </c>
      <c r="AO36" s="78" t="str">
        <f>HYPERLINK(".\links\AAM-CEMENT-2018\EEC20578.1-AAM-CEMENT-2018.txt","Extracted CDS")</f>
        <v>Extracted CDS</v>
      </c>
      <c r="AP36" s="75" t="str">
        <f>HYPERLINK("http://www.ncbi.nlm.nih.gov/sutils/blink.cgi?pid=Aam-178138","0.0")</f>
        <v>0.0</v>
      </c>
      <c r="AQ36" s="75" t="str">
        <f>HYPERLINK("http://www.ncbi.nlm.nih.gov/protein/Aam-178138","Aam-178138")</f>
        <v>Aam-178138</v>
      </c>
      <c r="AR36" s="75">
        <v>923</v>
      </c>
      <c r="AS36" s="75">
        <v>445</v>
      </c>
      <c r="AT36" s="75">
        <v>477</v>
      </c>
      <c r="AU36" s="75">
        <v>98</v>
      </c>
      <c r="AV36" s="75">
        <v>99</v>
      </c>
      <c r="AW36" s="75">
        <v>93</v>
      </c>
      <c r="AX36" s="75">
        <v>6</v>
      </c>
      <c r="AY36" s="75">
        <v>0</v>
      </c>
      <c r="AZ36" s="75">
        <v>33</v>
      </c>
      <c r="BA36" s="75">
        <v>7</v>
      </c>
      <c r="BB36" s="75">
        <v>1</v>
      </c>
      <c r="BC36" s="75" t="s">
        <v>2775</v>
      </c>
      <c r="BD36" s="78" t="str">
        <f>HYPERLINK(".\links\CDD\EEC20578.1-CDD.txt","PTZ00335 tubulin alpha chain")</f>
        <v>PTZ00335 tubulin alpha chain</v>
      </c>
      <c r="BE36" s="75">
        <v>0</v>
      </c>
      <c r="BF36" s="75">
        <v>100</v>
      </c>
      <c r="BG36" s="75" t="s">
        <v>2982</v>
      </c>
      <c r="BH36" s="75" t="s">
        <v>2983</v>
      </c>
      <c r="BI36" s="75" t="str">
        <f>HYPERLINK(".\links\KOG\EEC20578.1-KOG.txt","CDD:227356 COG5023, COG5023, Tubulin")</f>
        <v>CDD:227356 COG5023, COG5023, Tubulin</v>
      </c>
      <c r="BJ36" s="75">
        <v>0</v>
      </c>
      <c r="BK36" s="75">
        <v>101.6</v>
      </c>
      <c r="BL36" s="75" t="s">
        <v>2974</v>
      </c>
      <c r="BM36" s="75" t="s">
        <v>2779</v>
      </c>
      <c r="BN36" s="78" t="str">
        <f>HYPERLINK(".\links\PFAM\EEC20578.1-PFAM.txt","Tubulin_C Tubulin C-terminal domain")</f>
        <v>Tubulin_C Tubulin C-terminal domain</v>
      </c>
      <c r="BO36" s="79">
        <v>4.9999999999999996E-78</v>
      </c>
      <c r="BP36" s="75">
        <v>104</v>
      </c>
      <c r="BQ36" s="75" t="s">
        <v>2975</v>
      </c>
      <c r="BR36" s="75" t="s">
        <v>2772</v>
      </c>
      <c r="BS36" s="78" t="str">
        <f>HYPERLINK(".\links\SMART\EEC20578.1-SMART.txt","CDD:214867 smart00864, Tubulin, Tubulin/FtsZ family, GTPase domain")</f>
        <v>CDD:214867 smart00864, Tubulin, Tubulin/FtsZ family, GTPase domain</v>
      </c>
      <c r="BT36" s="79">
        <v>1.9999999999999999E-69</v>
      </c>
      <c r="BU36" s="75">
        <v>112</v>
      </c>
      <c r="BV36" s="75" t="s">
        <v>2976</v>
      </c>
      <c r="BW36" s="75" t="s">
        <v>2772</v>
      </c>
      <c r="BX36" s="78" t="str">
        <f>HYPERLINK(".\links\TSF\EEC20578.1-TSF.txt","25-35 25-35, Alpha2Macroblobulin||H|I")</f>
        <v>25-35 25-35, Alpha2Macroblobulin||H|I</v>
      </c>
      <c r="BY36" s="75">
        <v>8.0000000000000002E-3</v>
      </c>
      <c r="BZ36" s="75">
        <v>7</v>
      </c>
      <c r="CA36" s="75" t="s">
        <v>2984</v>
      </c>
      <c r="CB36" s="75" t="s">
        <v>2978</v>
      </c>
      <c r="CC36" s="75" t="s">
        <v>2772</v>
      </c>
      <c r="CD36" s="75" t="s">
        <v>2808</v>
      </c>
      <c r="CE36" s="75" t="s">
        <v>2985</v>
      </c>
      <c r="CF36" s="75">
        <f>HYPERLINK(".\links\cluster-b\Ixsc-cement-202225-50SimCLU2.txt", 2)</f>
        <v>2</v>
      </c>
      <c r="CG36" s="75">
        <f>HYPERLINK(".\links\cluster-b\Ixsc-cement-202225-50SimCLTL2.txt", 13)</f>
        <v>13</v>
      </c>
      <c r="CH36" s="75">
        <f>HYPERLINK(".\links\cluster-b\Ixsc-cement-202230-50SimCLU2.txt", 2)</f>
        <v>2</v>
      </c>
      <c r="CI36" s="75">
        <f>HYPERLINK(".\links\cluster-b\Ixsc-cement-202230-50SimCLTL2.txt", 12)</f>
        <v>12</v>
      </c>
      <c r="CJ36" s="75">
        <f>HYPERLINK(".\links\cluster-b\Ixsc-cement-202235-50SimCLU2.txt", 2)</f>
        <v>2</v>
      </c>
      <c r="CK36" s="75">
        <f>HYPERLINK(".\links\cluster-b\Ixsc-cement-202235-50SimCLTL2.txt", 12)</f>
        <v>12</v>
      </c>
      <c r="CL36" s="75">
        <f>HYPERLINK(".\links\cluster-b\Ixsc-cement-202240-50SimCLU1.txt", 1)</f>
        <v>1</v>
      </c>
      <c r="CM36" s="75">
        <f>HYPERLINK(".\links\cluster-b\Ixsc-cement-202240-50SimCLTL1.txt", 12)</f>
        <v>12</v>
      </c>
      <c r="CN36" s="75">
        <f>HYPERLINK(".\links\cluster-b\Ixsc-cement-202245-50SimCLU1.txt", 1)</f>
        <v>1</v>
      </c>
      <c r="CO36" s="75">
        <f>HYPERLINK(".\links\cluster-b\Ixsc-cement-202245-50SimCLTL1.txt", 11)</f>
        <v>11</v>
      </c>
      <c r="CP36" s="75">
        <f>HYPERLINK(".\links\cluster-b\Ixsc-cement-202250-50SimCLU1.txt", 1)</f>
        <v>1</v>
      </c>
      <c r="CQ36" s="75">
        <f>HYPERLINK(".\links\cluster-b\Ixsc-cement-202250-50SimCLTL1.txt", 10)</f>
        <v>10</v>
      </c>
      <c r="CR36" s="75">
        <f>HYPERLINK(".\links\cluster-b\Ixsc-cement-202255-50SimCLU1.txt", 1)</f>
        <v>1</v>
      </c>
      <c r="CS36" s="75">
        <f>HYPERLINK(".\links\cluster-b\Ixsc-cement-202255-50SimCLTL1.txt", 10)</f>
        <v>10</v>
      </c>
      <c r="CT36" s="75">
        <f>HYPERLINK(".\links\cluster-b\Ixsc-cement-202260-50SimCLU2.txt", 2)</f>
        <v>2</v>
      </c>
      <c r="CU36" s="75">
        <f>HYPERLINK(".\links\cluster-b\Ixsc-cement-202260-50SimCLTL2.txt", 6)</f>
        <v>6</v>
      </c>
      <c r="CV36" s="75">
        <f>HYPERLINK(".\links\cluster-b\Ixsc-cement-202265-50SimCLU2.txt", 2)</f>
        <v>2</v>
      </c>
      <c r="CW36" s="75">
        <f>HYPERLINK(".\links\cluster-b\Ixsc-cement-202265-50SimCLTL2.txt", 5)</f>
        <v>5</v>
      </c>
      <c r="CX36" s="75">
        <f>HYPERLINK(".\links\cluster-b\Ixsc-cement-202270-50SimCLU3.txt", 3)</f>
        <v>3</v>
      </c>
      <c r="CY36" s="75">
        <f>HYPERLINK(".\links\cluster-b\Ixsc-cement-202270-50SimCLTL3.txt", 4)</f>
        <v>4</v>
      </c>
      <c r="CZ36" s="75">
        <f>HYPERLINK(".\links\cluster-b\Ixsc-cement-202275-50SimCLU3.txt", 3)</f>
        <v>3</v>
      </c>
      <c r="DA36" s="75">
        <f>HYPERLINK(".\links\cluster-b\Ixsc-cement-202275-50SimCLTL3.txt", 4)</f>
        <v>4</v>
      </c>
      <c r="DB36" s="75">
        <f>HYPERLINK(".\links\cluster-b\Ixsc-cement-202280-50SimCLU2.txt", 2)</f>
        <v>2</v>
      </c>
      <c r="DC36" s="75">
        <f>HYPERLINK(".\links\cluster-b\Ixsc-cement-202280-50SimCLTL2.txt", 4)</f>
        <v>4</v>
      </c>
      <c r="DD36" s="75">
        <f>HYPERLINK(".\links\cluster-b\Ixsc-cement-202285-50SimCLU1.txt", 1)</f>
        <v>1</v>
      </c>
      <c r="DE36" s="75">
        <f>HYPERLINK(".\links\cluster-b\Ixsc-cement-202285-50SimCLTL1.txt", 4)</f>
        <v>4</v>
      </c>
      <c r="DF36" s="75">
        <f>HYPERLINK(".\links\cluster-b\Ixsc-cement-202290-50SimCLU4.txt", 4)</f>
        <v>4</v>
      </c>
      <c r="DG36" s="75">
        <f>HYPERLINK(".\links\cluster-b\Ixsc-cement-202290-50SimCLTL4.txt", 3)</f>
        <v>3</v>
      </c>
      <c r="DH36" s="75">
        <f>HYPERLINK(".\links\cluster-b\Ixsc-cement-202295-50SimCLU4.txt", 4)</f>
        <v>4</v>
      </c>
      <c r="DI36" s="75">
        <f>HYPERLINK(".\links\cluster-b\Ixsc-cement-202295-50SimCLTL4.txt", 3)</f>
        <v>3</v>
      </c>
      <c r="DJ36" s="75" t="s">
        <v>205</v>
      </c>
      <c r="DK36" s="75" t="str">
        <f>HYPERLINK(".\links\AAM-CEMENT-2018\EEC20578.1-AAM-CEMENT-2018.txt","Extracted CDS")</f>
        <v>Extracted CDS</v>
      </c>
      <c r="DL36" s="75" t="str">
        <f>HYPERLINK("http://www.ncbi.nlm.nih.gov/sutils/blink.cgi?pid=Aam-178138","0.0")</f>
        <v>0.0</v>
      </c>
      <c r="DM36" s="75" t="str">
        <f>HYPERLINK("http://www.ncbi.nlm.nih.gov/protein/Aam-178138","Aam-178138")</f>
        <v>Aam-178138</v>
      </c>
      <c r="DN36" s="75">
        <v>923</v>
      </c>
      <c r="DO36" s="75">
        <v>445</v>
      </c>
      <c r="DP36" s="75">
        <v>477</v>
      </c>
      <c r="DQ36" s="75">
        <v>98</v>
      </c>
      <c r="DR36" s="75">
        <v>99</v>
      </c>
      <c r="DS36" s="75">
        <v>93</v>
      </c>
      <c r="DT36" s="75">
        <v>6</v>
      </c>
      <c r="DU36" s="75">
        <v>0</v>
      </c>
      <c r="DV36" s="75">
        <v>33</v>
      </c>
      <c r="DW36" s="75">
        <v>7</v>
      </c>
      <c r="DX36" s="75">
        <v>1</v>
      </c>
      <c r="DY36" s="75" t="s">
        <v>2775</v>
      </c>
      <c r="DZ36" s="75" t="str">
        <f>HYPERLINK(".\links\CDD\EEC20578.1-CDD.txt","PTZ00335 tubulin alpha chain")</f>
        <v>PTZ00335 tubulin alpha chain</v>
      </c>
      <c r="EA36" s="75">
        <v>0</v>
      </c>
      <c r="EB36" s="75">
        <v>100</v>
      </c>
      <c r="EC36" s="75" t="s">
        <v>2982</v>
      </c>
      <c r="ED36" s="75" t="s">
        <v>2983</v>
      </c>
      <c r="EE36" s="75" t="str">
        <f>HYPERLINK(".\links\KOG\EEC20578.1-KOG.txt","CDD:227356 COG5023, COG5023, Tubulin")</f>
        <v>CDD:227356 COG5023, COG5023, Tubulin</v>
      </c>
      <c r="EF36" s="75">
        <v>0</v>
      </c>
      <c r="EG36" s="75">
        <v>101.6</v>
      </c>
      <c r="EH36" s="75" t="s">
        <v>2974</v>
      </c>
      <c r="EI36" s="75" t="s">
        <v>2779</v>
      </c>
      <c r="EJ36" s="75" t="str">
        <f>HYPERLINK(".\links\PFAM\EEC20578.1-PFAM.txt","Tubulin_C Tubulin C-terminal domain")</f>
        <v>Tubulin_C Tubulin C-terminal domain</v>
      </c>
      <c r="EK36" s="79">
        <v>4.9999999999999996E-78</v>
      </c>
      <c r="EL36" s="75">
        <v>104</v>
      </c>
      <c r="EM36" s="75" t="s">
        <v>2975</v>
      </c>
      <c r="EN36" s="75" t="s">
        <v>2772</v>
      </c>
      <c r="EO36" s="75" t="str">
        <f>HYPERLINK(".\links\SMART\EEC20578.1-SMART.txt","CDD:214867 smart00864, Tubulin, Tubulin/FtsZ family, GTPase domain")</f>
        <v>CDD:214867 smart00864, Tubulin, Tubulin/FtsZ family, GTPase domain</v>
      </c>
      <c r="EP36" s="79">
        <v>1.9999999999999999E-69</v>
      </c>
      <c r="EQ36" s="75">
        <v>112</v>
      </c>
      <c r="ER36" s="75" t="s">
        <v>2976</v>
      </c>
      <c r="ES36" s="75" t="s">
        <v>2772</v>
      </c>
      <c r="ET36" s="75" t="str">
        <f>HYPERLINK(".\links\TSF\EEC20578.1-TSF.txt","25-35 25-35, Alpha2Macroblobulin||H|I")</f>
        <v>25-35 25-35, Alpha2Macroblobulin||H|I</v>
      </c>
      <c r="EU36" s="75">
        <v>8.0000000000000002E-3</v>
      </c>
      <c r="EV36" s="75">
        <v>7</v>
      </c>
      <c r="EW36" s="75" t="s">
        <v>2984</v>
      </c>
      <c r="EX36" s="75" t="s">
        <v>2978</v>
      </c>
      <c r="EY36" s="75" t="s">
        <v>2772</v>
      </c>
      <c r="EZ36" s="75" t="s">
        <v>2808</v>
      </c>
      <c r="FA36" s="75" t="s">
        <v>2985</v>
      </c>
    </row>
    <row r="37" spans="1:157" x14ac:dyDescent="0.2">
      <c r="A37" s="75" t="str">
        <f>HYPERLINK(".\links\PEP\ADJ68002.1-PEP.txt","ADJ68002.1")</f>
        <v>ADJ68002.1</v>
      </c>
      <c r="B37" s="75" t="s">
        <v>2768</v>
      </c>
      <c r="C37" s="75">
        <v>451</v>
      </c>
      <c r="D37" s="75" t="s">
        <v>2980</v>
      </c>
      <c r="E37" s="76" t="s">
        <v>48</v>
      </c>
      <c r="F37" s="75" t="s">
        <v>2771</v>
      </c>
      <c r="G37" s="75" t="str">
        <f>HYPERLINK(".\links\Sigp\ADJ68002.1-SigP.txt","CYT")</f>
        <v>CYT</v>
      </c>
      <c r="H37" s="75" t="s">
        <v>2772</v>
      </c>
      <c r="I37" s="75">
        <v>49.936999999999998</v>
      </c>
      <c r="J37" s="75">
        <v>4.92</v>
      </c>
      <c r="K37" s="75" t="s">
        <v>2772</v>
      </c>
      <c r="L37" s="75" t="s">
        <v>2772</v>
      </c>
      <c r="M37" s="75" t="str">
        <f>HYPERLINK(".\links\netoglyc\ADJ68002.1-netoglyc.txt","1")</f>
        <v>1</v>
      </c>
      <c r="N37" s="75" t="s">
        <v>2981</v>
      </c>
      <c r="O37" s="75">
        <v>451</v>
      </c>
      <c r="P37" s="75">
        <v>0</v>
      </c>
      <c r="Q37" s="75" t="s">
        <v>2772</v>
      </c>
      <c r="R37" s="75" t="s">
        <v>2772</v>
      </c>
      <c r="S37" s="75" t="s">
        <v>2772</v>
      </c>
      <c r="T37" s="75" t="s">
        <v>2772</v>
      </c>
      <c r="U37" s="75" t="s">
        <v>2772</v>
      </c>
      <c r="V37" s="75" t="s">
        <v>2772</v>
      </c>
      <c r="W37" s="75">
        <v>11.1</v>
      </c>
      <c r="X37" s="75">
        <v>8.1</v>
      </c>
      <c r="Y37" s="75">
        <v>4.4000000000000004</v>
      </c>
      <c r="Z37" s="75" t="s">
        <v>2774</v>
      </c>
      <c r="AA37" s="77">
        <v>12.638580931263901</v>
      </c>
      <c r="AB37" s="75">
        <v>0.17</v>
      </c>
      <c r="AD37" s="75">
        <v>12</v>
      </c>
      <c r="AE37" s="75" t="str">
        <f>HYPERLINK(".\links\pep\ADJ68002.1-sulf.txt","1")</f>
        <v>1</v>
      </c>
      <c r="AF37" s="75" t="str">
        <f>HYPERLINK(".\links\pep\ADJ68002.1-tyr-sulf.txt","Fasta with y")</f>
        <v>Fasta with y</v>
      </c>
      <c r="AG37" s="75" t="s">
        <v>2772</v>
      </c>
      <c r="AH37" s="75" t="s">
        <v>2772</v>
      </c>
      <c r="AI37" s="75" t="s">
        <v>2772</v>
      </c>
      <c r="AJ37" s="75">
        <v>1</v>
      </c>
      <c r="AK37" s="75" t="s">
        <v>2772</v>
      </c>
      <c r="AL37" s="75" t="s">
        <v>2772</v>
      </c>
      <c r="AM37" s="75" t="s">
        <v>2772</v>
      </c>
      <c r="AN37" s="75" t="s">
        <v>2772</v>
      </c>
      <c r="AO37" s="78" t="str">
        <f>HYPERLINK(".\links\AAM-CEMENT-2018\ADJ68002.1-AAM-CEMENT-2018.txt","Extracted CDS")</f>
        <v>Extracted CDS</v>
      </c>
      <c r="AP37" s="75" t="str">
        <f>HYPERLINK("http://www.ncbi.nlm.nih.gov/sutils/blink.cgi?pid=Aam-178138","0.0")</f>
        <v>0.0</v>
      </c>
      <c r="AQ37" s="75" t="str">
        <f>HYPERLINK("http://www.ncbi.nlm.nih.gov/protein/Aam-178138","Aam-178138")</f>
        <v>Aam-178138</v>
      </c>
      <c r="AR37" s="75">
        <v>923</v>
      </c>
      <c r="AS37" s="75">
        <v>445</v>
      </c>
      <c r="AT37" s="75">
        <v>477</v>
      </c>
      <c r="AU37" s="75">
        <v>98</v>
      </c>
      <c r="AV37" s="75">
        <v>99</v>
      </c>
      <c r="AW37" s="75">
        <v>93</v>
      </c>
      <c r="AX37" s="75">
        <v>5</v>
      </c>
      <c r="AY37" s="75">
        <v>0</v>
      </c>
      <c r="AZ37" s="75">
        <v>33</v>
      </c>
      <c r="BA37" s="75">
        <v>7</v>
      </c>
      <c r="BB37" s="75">
        <v>1</v>
      </c>
      <c r="BC37" s="75" t="s">
        <v>2775</v>
      </c>
      <c r="BD37" s="78" t="str">
        <f>HYPERLINK(".\links\CDD\ADJ68002.1-CDD.txt","PTZ00335 tubulin alpha chain")</f>
        <v>PTZ00335 tubulin alpha chain</v>
      </c>
      <c r="BE37" s="75">
        <v>0</v>
      </c>
      <c r="BF37" s="75">
        <v>100</v>
      </c>
      <c r="BG37" s="75" t="s">
        <v>2982</v>
      </c>
      <c r="BH37" s="75" t="s">
        <v>2983</v>
      </c>
      <c r="BI37" s="75" t="str">
        <f>HYPERLINK(".\links\KOG\ADJ68002.1-KOG.txt","CDD:227356 COG5023, COG5023, Tubulin")</f>
        <v>CDD:227356 COG5023, COG5023, Tubulin</v>
      </c>
      <c r="BJ37" s="75">
        <v>0</v>
      </c>
      <c r="BK37" s="75">
        <v>101.6</v>
      </c>
      <c r="BL37" s="75" t="s">
        <v>2974</v>
      </c>
      <c r="BM37" s="75" t="s">
        <v>2779</v>
      </c>
      <c r="BN37" s="78" t="str">
        <f>HYPERLINK(".\links\PFAM\ADJ68002.1-PFAM.txt","Tubulin_C Tubulin C-terminal domain")</f>
        <v>Tubulin_C Tubulin C-terminal domain</v>
      </c>
      <c r="BO37" s="79">
        <v>4.9999999999999996E-78</v>
      </c>
      <c r="BP37" s="75">
        <v>104</v>
      </c>
      <c r="BQ37" s="75" t="s">
        <v>2975</v>
      </c>
      <c r="BR37" s="75" t="s">
        <v>2772</v>
      </c>
      <c r="BS37" s="78" t="str">
        <f>HYPERLINK(".\links\SMART\ADJ68002.1-SMART.txt","CDD:214867 smart00864, Tubulin, Tubulin/FtsZ family, GTPase domain")</f>
        <v>CDD:214867 smart00864, Tubulin, Tubulin/FtsZ family, GTPase domain</v>
      </c>
      <c r="BT37" s="79">
        <v>1.0000000000000001E-68</v>
      </c>
      <c r="BU37" s="75">
        <v>112</v>
      </c>
      <c r="BV37" s="75" t="s">
        <v>2976</v>
      </c>
      <c r="BW37" s="75" t="s">
        <v>2772</v>
      </c>
      <c r="BX37" s="78" t="str">
        <f>HYPERLINK(".\links\TSF\ADJ68002.1-TSF.txt","25-35 25-35, Alpha2Macroblobulin||H|I")</f>
        <v>25-35 25-35, Alpha2Macroblobulin||H|I</v>
      </c>
      <c r="BY37" s="75">
        <v>1.0999999999999999E-2</v>
      </c>
      <c r="BZ37" s="75">
        <v>7</v>
      </c>
      <c r="CA37" s="75" t="s">
        <v>2984</v>
      </c>
      <c r="CB37" s="75" t="s">
        <v>2978</v>
      </c>
      <c r="CC37" s="75" t="s">
        <v>2772</v>
      </c>
      <c r="CD37" s="75" t="s">
        <v>2808</v>
      </c>
      <c r="CE37" s="75" t="s">
        <v>2985</v>
      </c>
      <c r="CF37" s="75">
        <f>HYPERLINK(".\links\cluster-b\Ixsc-cement-202225-50SimCLU2.txt", 2)</f>
        <v>2</v>
      </c>
      <c r="CG37" s="75">
        <f>HYPERLINK(".\links\cluster-b\Ixsc-cement-202225-50SimCLTL2.txt", 13)</f>
        <v>13</v>
      </c>
      <c r="CH37" s="75">
        <f>HYPERLINK(".\links\cluster-b\Ixsc-cement-202230-50SimCLU2.txt", 2)</f>
        <v>2</v>
      </c>
      <c r="CI37" s="75">
        <f>HYPERLINK(".\links\cluster-b\Ixsc-cement-202230-50SimCLTL2.txt", 12)</f>
        <v>12</v>
      </c>
      <c r="CJ37" s="75">
        <f>HYPERLINK(".\links\cluster-b\Ixsc-cement-202235-50SimCLU2.txt", 2)</f>
        <v>2</v>
      </c>
      <c r="CK37" s="75">
        <f>HYPERLINK(".\links\cluster-b\Ixsc-cement-202235-50SimCLTL2.txt", 12)</f>
        <v>12</v>
      </c>
      <c r="CL37" s="75">
        <f>HYPERLINK(".\links\cluster-b\Ixsc-cement-202240-50SimCLU1.txt", 1)</f>
        <v>1</v>
      </c>
      <c r="CM37" s="75">
        <f>HYPERLINK(".\links\cluster-b\Ixsc-cement-202240-50SimCLTL1.txt", 12)</f>
        <v>12</v>
      </c>
      <c r="CN37" s="75">
        <f>HYPERLINK(".\links\cluster-b\Ixsc-cement-202245-50SimCLU1.txt", 1)</f>
        <v>1</v>
      </c>
      <c r="CO37" s="75">
        <f>HYPERLINK(".\links\cluster-b\Ixsc-cement-202245-50SimCLTL1.txt", 11)</f>
        <v>11</v>
      </c>
      <c r="CP37" s="75">
        <f>HYPERLINK(".\links\cluster-b\Ixsc-cement-202250-50SimCLU1.txt", 1)</f>
        <v>1</v>
      </c>
      <c r="CQ37" s="75">
        <f>HYPERLINK(".\links\cluster-b\Ixsc-cement-202250-50SimCLTL1.txt", 10)</f>
        <v>10</v>
      </c>
      <c r="CR37" s="75">
        <f>HYPERLINK(".\links\cluster-b\Ixsc-cement-202255-50SimCLU1.txt", 1)</f>
        <v>1</v>
      </c>
      <c r="CS37" s="75">
        <f>HYPERLINK(".\links\cluster-b\Ixsc-cement-202255-50SimCLTL1.txt", 10)</f>
        <v>10</v>
      </c>
      <c r="CT37" s="75">
        <f>HYPERLINK(".\links\cluster-b\Ixsc-cement-202260-50SimCLU2.txt", 2)</f>
        <v>2</v>
      </c>
      <c r="CU37" s="75">
        <f>HYPERLINK(".\links\cluster-b\Ixsc-cement-202260-50SimCLTL2.txt", 6)</f>
        <v>6</v>
      </c>
      <c r="CV37" s="75">
        <f>HYPERLINK(".\links\cluster-b\Ixsc-cement-202265-50SimCLU2.txt", 2)</f>
        <v>2</v>
      </c>
      <c r="CW37" s="75">
        <f>HYPERLINK(".\links\cluster-b\Ixsc-cement-202265-50SimCLTL2.txt", 5)</f>
        <v>5</v>
      </c>
      <c r="CX37" s="75">
        <f>HYPERLINK(".\links\cluster-b\Ixsc-cement-202270-50SimCLU3.txt", 3)</f>
        <v>3</v>
      </c>
      <c r="CY37" s="75">
        <f>HYPERLINK(".\links\cluster-b\Ixsc-cement-202270-50SimCLTL3.txt", 4)</f>
        <v>4</v>
      </c>
      <c r="CZ37" s="75">
        <f>HYPERLINK(".\links\cluster-b\Ixsc-cement-202275-50SimCLU3.txt", 3)</f>
        <v>3</v>
      </c>
      <c r="DA37" s="75">
        <f>HYPERLINK(".\links\cluster-b\Ixsc-cement-202275-50SimCLTL3.txt", 4)</f>
        <v>4</v>
      </c>
      <c r="DB37" s="75">
        <f>HYPERLINK(".\links\cluster-b\Ixsc-cement-202280-50SimCLU2.txt", 2)</f>
        <v>2</v>
      </c>
      <c r="DC37" s="75">
        <f>HYPERLINK(".\links\cluster-b\Ixsc-cement-202280-50SimCLTL2.txt", 4)</f>
        <v>4</v>
      </c>
      <c r="DD37" s="75">
        <f>HYPERLINK(".\links\cluster-b\Ixsc-cement-202285-50SimCLU1.txt", 1)</f>
        <v>1</v>
      </c>
      <c r="DE37" s="75">
        <f>HYPERLINK(".\links\cluster-b\Ixsc-cement-202285-50SimCLTL1.txt", 4)</f>
        <v>4</v>
      </c>
      <c r="DF37" s="75">
        <f>HYPERLINK(".\links\cluster-b\Ixsc-cement-202290-50SimCLU4.txt", 4)</f>
        <v>4</v>
      </c>
      <c r="DG37" s="75">
        <f>HYPERLINK(".\links\cluster-b\Ixsc-cement-202290-50SimCLTL4.txt", 3)</f>
        <v>3</v>
      </c>
      <c r="DH37" s="75">
        <f>HYPERLINK(".\links\cluster-b\Ixsc-cement-202295-50SimCLU4.txt", 4)</f>
        <v>4</v>
      </c>
      <c r="DI37" s="75">
        <f>HYPERLINK(".\links\cluster-b\Ixsc-cement-202295-50SimCLTL4.txt", 3)</f>
        <v>3</v>
      </c>
      <c r="DJ37" s="75" t="s">
        <v>191</v>
      </c>
      <c r="DK37" s="75" t="str">
        <f>HYPERLINK(".\links\AAM-CEMENT-2018\ADJ68002.1-AAM-CEMENT-2018.txt","Extracted CDS")</f>
        <v>Extracted CDS</v>
      </c>
      <c r="DL37" s="75" t="str">
        <f>HYPERLINK("http://www.ncbi.nlm.nih.gov/sutils/blink.cgi?pid=Aam-178138","0.0")</f>
        <v>0.0</v>
      </c>
      <c r="DM37" s="75" t="str">
        <f>HYPERLINK("http://www.ncbi.nlm.nih.gov/protein/Aam-178138","Aam-178138")</f>
        <v>Aam-178138</v>
      </c>
      <c r="DN37" s="75">
        <v>923</v>
      </c>
      <c r="DO37" s="75">
        <v>445</v>
      </c>
      <c r="DP37" s="75">
        <v>477</v>
      </c>
      <c r="DQ37" s="75">
        <v>98</v>
      </c>
      <c r="DR37" s="75">
        <v>99</v>
      </c>
      <c r="DS37" s="75">
        <v>93</v>
      </c>
      <c r="DT37" s="75">
        <v>5</v>
      </c>
      <c r="DU37" s="75">
        <v>0</v>
      </c>
      <c r="DV37" s="75">
        <v>33</v>
      </c>
      <c r="DW37" s="75">
        <v>7</v>
      </c>
      <c r="DX37" s="75">
        <v>1</v>
      </c>
      <c r="DY37" s="75" t="s">
        <v>2775</v>
      </c>
      <c r="DZ37" s="75" t="str">
        <f>HYPERLINK(".\links\CDD\ADJ68002.1-CDD.txt","PTZ00335 tubulin alpha chain")</f>
        <v>PTZ00335 tubulin alpha chain</v>
      </c>
      <c r="EA37" s="75">
        <v>0</v>
      </c>
      <c r="EB37" s="75">
        <v>100</v>
      </c>
      <c r="EC37" s="75" t="s">
        <v>2982</v>
      </c>
      <c r="ED37" s="75" t="s">
        <v>2983</v>
      </c>
      <c r="EE37" s="75" t="str">
        <f>HYPERLINK(".\links\KOG\ADJ68002.1-KOG.txt","CDD:227356 COG5023, COG5023, Tubulin")</f>
        <v>CDD:227356 COG5023, COG5023, Tubulin</v>
      </c>
      <c r="EF37" s="75">
        <v>0</v>
      </c>
      <c r="EG37" s="75">
        <v>101.6</v>
      </c>
      <c r="EH37" s="75" t="s">
        <v>2974</v>
      </c>
      <c r="EI37" s="75" t="s">
        <v>2779</v>
      </c>
      <c r="EJ37" s="75" t="str">
        <f>HYPERLINK(".\links\PFAM\ADJ68002.1-PFAM.txt","Tubulin_C Tubulin C-terminal domain")</f>
        <v>Tubulin_C Tubulin C-terminal domain</v>
      </c>
      <c r="EK37" s="79">
        <v>4.9999999999999996E-78</v>
      </c>
      <c r="EL37" s="75">
        <v>104</v>
      </c>
      <c r="EM37" s="75" t="s">
        <v>2975</v>
      </c>
      <c r="EN37" s="75" t="s">
        <v>2772</v>
      </c>
      <c r="EO37" s="75" t="str">
        <f>HYPERLINK(".\links\SMART\ADJ68002.1-SMART.txt","CDD:214867 smart00864, Tubulin, Tubulin/FtsZ family, GTPase domain")</f>
        <v>CDD:214867 smart00864, Tubulin, Tubulin/FtsZ family, GTPase domain</v>
      </c>
      <c r="EP37" s="79">
        <v>1.0000000000000001E-68</v>
      </c>
      <c r="EQ37" s="75">
        <v>112</v>
      </c>
      <c r="ER37" s="75" t="s">
        <v>2976</v>
      </c>
      <c r="ES37" s="75" t="s">
        <v>2772</v>
      </c>
      <c r="ET37" s="75" t="str">
        <f>HYPERLINK(".\links\TSF\ADJ68002.1-TSF.txt","25-35 25-35, Alpha2Macroblobulin||H|I")</f>
        <v>25-35 25-35, Alpha2Macroblobulin||H|I</v>
      </c>
      <c r="EU37" s="75">
        <v>1.0999999999999999E-2</v>
      </c>
      <c r="EV37" s="75">
        <v>7</v>
      </c>
      <c r="EW37" s="75" t="s">
        <v>2984</v>
      </c>
      <c r="EX37" s="75" t="s">
        <v>2978</v>
      </c>
      <c r="EY37" s="75" t="s">
        <v>2772</v>
      </c>
      <c r="EZ37" s="75" t="s">
        <v>2808</v>
      </c>
      <c r="FA37" s="75" t="s">
        <v>2985</v>
      </c>
    </row>
    <row r="38" spans="1:157" x14ac:dyDescent="0.2">
      <c r="A38" s="75" t="str">
        <f>HYPERLINK(".\links\PEP\EEC20577.1-PEP.txt","EEC20577.1")</f>
        <v>EEC20577.1</v>
      </c>
      <c r="B38" s="75" t="s">
        <v>2768</v>
      </c>
      <c r="C38" s="75">
        <v>394</v>
      </c>
      <c r="D38" s="75" t="s">
        <v>2987</v>
      </c>
      <c r="E38" s="76" t="s">
        <v>48</v>
      </c>
      <c r="F38" s="75" t="s">
        <v>2771</v>
      </c>
      <c r="G38" s="75" t="str">
        <f>HYPERLINK(".\links\Sigp\EEC20577.1-SigP.txt","CYT")</f>
        <v>CYT</v>
      </c>
      <c r="H38" s="75" t="s">
        <v>2772</v>
      </c>
      <c r="I38" s="75">
        <v>43.540999999999997</v>
      </c>
      <c r="J38" s="75">
        <v>5.87</v>
      </c>
      <c r="K38" s="75" t="s">
        <v>2772</v>
      </c>
      <c r="L38" s="75" t="s">
        <v>2772</v>
      </c>
      <c r="M38" s="75" t="str">
        <f>HYPERLINK(".\links\netoglyc\EEC20577.1-netoglyc.txt","11")</f>
        <v>11</v>
      </c>
      <c r="N38" s="75" t="s">
        <v>2971</v>
      </c>
      <c r="O38" s="75">
        <v>394</v>
      </c>
      <c r="P38" s="75">
        <v>0</v>
      </c>
      <c r="Q38" s="75" t="s">
        <v>2772</v>
      </c>
      <c r="R38" s="75" t="s">
        <v>2772</v>
      </c>
      <c r="S38" s="75" t="s">
        <v>2772</v>
      </c>
      <c r="T38" s="75" t="s">
        <v>2772</v>
      </c>
      <c r="U38" s="75" t="s">
        <v>2772</v>
      </c>
      <c r="V38" s="75" t="s">
        <v>2988</v>
      </c>
      <c r="W38" s="75">
        <v>16.5</v>
      </c>
      <c r="X38" s="75">
        <v>5.2</v>
      </c>
      <c r="Y38" s="75">
        <v>6.5</v>
      </c>
      <c r="Z38" s="75" t="s">
        <v>2774</v>
      </c>
      <c r="AA38" s="77">
        <v>11.9289340101523</v>
      </c>
      <c r="AB38" s="75">
        <v>0.27</v>
      </c>
      <c r="AC38" s="75" t="s">
        <v>2989</v>
      </c>
      <c r="AD38" s="75">
        <v>15</v>
      </c>
      <c r="AE38" s="75" t="str">
        <f>HYPERLINK(".\links\pep\EEC20577.1-sulf.txt","1")</f>
        <v>1</v>
      </c>
      <c r="AF38" s="75" t="str">
        <f>HYPERLINK(".\links\pep\EEC20577.1-tyr-sulf.txt","Fasta with y")</f>
        <v>Fasta with y</v>
      </c>
      <c r="AG38" s="75" t="s">
        <v>2772</v>
      </c>
      <c r="AH38" s="75">
        <v>1</v>
      </c>
      <c r="AI38" s="75" t="s">
        <v>2772</v>
      </c>
      <c r="AJ38" s="75">
        <v>3</v>
      </c>
      <c r="AK38" s="75" t="s">
        <v>2772</v>
      </c>
      <c r="AL38" s="75" t="s">
        <v>2772</v>
      </c>
      <c r="AM38" s="75" t="s">
        <v>2772</v>
      </c>
      <c r="AN38" s="75" t="s">
        <v>2772</v>
      </c>
      <c r="AO38" s="78" t="str">
        <f>HYPERLINK(".\links\AAM-CEMENT-2018\EEC20577.1-AAM-CEMENT-2018.txt","Extracted CDS")</f>
        <v>Extracted CDS</v>
      </c>
      <c r="AP38" s="75" t="str">
        <f>HYPERLINK("http://www.ncbi.nlm.nih.gov/sutils/blink.cgi?pid=Aam-178138","0.0")</f>
        <v>0.0</v>
      </c>
      <c r="AQ38" s="75" t="str">
        <f>HYPERLINK("http://www.ncbi.nlm.nih.gov/protein/Aam-178138","Aam-178138")</f>
        <v>Aam-178138</v>
      </c>
      <c r="AR38" s="75">
        <v>613</v>
      </c>
      <c r="AS38" s="75">
        <v>294</v>
      </c>
      <c r="AT38" s="75">
        <v>477</v>
      </c>
      <c r="AU38" s="75">
        <v>98</v>
      </c>
      <c r="AV38" s="75">
        <v>99</v>
      </c>
      <c r="AW38" s="75">
        <v>62</v>
      </c>
      <c r="AX38" s="75">
        <v>4</v>
      </c>
      <c r="AY38" s="75">
        <v>0</v>
      </c>
      <c r="AZ38" s="75">
        <v>180</v>
      </c>
      <c r="BA38" s="75">
        <v>1</v>
      </c>
      <c r="BB38" s="75">
        <v>1</v>
      </c>
      <c r="BC38" s="75" t="s">
        <v>2775</v>
      </c>
      <c r="BD38" s="78" t="str">
        <f>HYPERLINK(".\links\CDD\EEC20577.1-CDD.txt","PTZ00335 tubulin alpha chain")</f>
        <v>PTZ00335 tubulin alpha chain</v>
      </c>
      <c r="BE38" s="75">
        <v>0</v>
      </c>
      <c r="BF38" s="75">
        <v>65.599999999999994</v>
      </c>
      <c r="BG38" s="75" t="s">
        <v>2982</v>
      </c>
      <c r="BH38" s="75" t="s">
        <v>2983</v>
      </c>
      <c r="BI38" s="75" t="str">
        <f>HYPERLINK(".\links\KOG\EEC20577.1-KOG.txt","CDD:227356 COG5023, COG5023, Tubulin")</f>
        <v>CDD:227356 COG5023, COG5023, Tubulin</v>
      </c>
      <c r="BJ38" s="79">
        <v>2E-179</v>
      </c>
      <c r="BK38" s="75">
        <v>66.099999999999994</v>
      </c>
      <c r="BL38" s="75" t="s">
        <v>2974</v>
      </c>
      <c r="BM38" s="75" t="s">
        <v>2779</v>
      </c>
      <c r="BN38" s="78" t="str">
        <f>HYPERLINK(".\links\PFAM\EEC20577.1-PFAM.txt","Tubulin_C Tubulin C-terminal domain")</f>
        <v>Tubulin_C Tubulin C-terminal domain</v>
      </c>
      <c r="BO38" s="79">
        <v>3.9999999999999997E-77</v>
      </c>
      <c r="BP38" s="75">
        <v>104</v>
      </c>
      <c r="BQ38" s="75" t="s">
        <v>2975</v>
      </c>
      <c r="BR38" s="75" t="s">
        <v>2772</v>
      </c>
      <c r="BS38" s="78" t="str">
        <f>HYPERLINK(".\links\SMART\EEC20577.1-SMART.txt","CDD:214867 smart00864, Tubulin, Tubulin/FtsZ family, GTPase domain")</f>
        <v>CDD:214867 smart00864, Tubulin, Tubulin/FtsZ family, GTPase domain</v>
      </c>
      <c r="BT38" s="79">
        <v>1.9999999999999999E-29</v>
      </c>
      <c r="BU38" s="75">
        <v>48.4</v>
      </c>
      <c r="BV38" s="75" t="s">
        <v>2976</v>
      </c>
      <c r="BW38" s="75" t="s">
        <v>2772</v>
      </c>
      <c r="BX38" s="78" t="str">
        <f>HYPERLINK(".\links\TSF\EEC20577.1-TSF.txt","25-35 25-35, Alpha2Macroblobulin||H|I")</f>
        <v>25-35 25-35, Alpha2Macroblobulin||H|I</v>
      </c>
      <c r="BY38" s="75">
        <v>8.9999999999999993E-3</v>
      </c>
      <c r="BZ38" s="75">
        <v>7</v>
      </c>
      <c r="CA38" s="75" t="s">
        <v>2984</v>
      </c>
      <c r="CB38" s="75" t="s">
        <v>2978</v>
      </c>
      <c r="CC38" s="75" t="s">
        <v>2772</v>
      </c>
      <c r="CD38" s="75" t="s">
        <v>2808</v>
      </c>
      <c r="CE38" s="75" t="s">
        <v>2985</v>
      </c>
      <c r="CF38" s="75">
        <f>HYPERLINK(".\links\cluster-b\Ixsc-cement-202225-50SimCLU2.txt", 2)</f>
        <v>2</v>
      </c>
      <c r="CG38" s="75">
        <f>HYPERLINK(".\links\cluster-b\Ixsc-cement-202225-50SimCLTL2.txt", 13)</f>
        <v>13</v>
      </c>
      <c r="CH38" s="75">
        <f>HYPERLINK(".\links\cluster-b\Ixsc-cement-202230-50SimCLU2.txt", 2)</f>
        <v>2</v>
      </c>
      <c r="CI38" s="75">
        <f>HYPERLINK(".\links\cluster-b\Ixsc-cement-202230-50SimCLTL2.txt", 12)</f>
        <v>12</v>
      </c>
      <c r="CJ38" s="75">
        <f>HYPERLINK(".\links\cluster-b\Ixsc-cement-202235-50SimCLU2.txt", 2)</f>
        <v>2</v>
      </c>
      <c r="CK38" s="75">
        <f>HYPERLINK(".\links\cluster-b\Ixsc-cement-202235-50SimCLTL2.txt", 12)</f>
        <v>12</v>
      </c>
      <c r="CL38" s="75">
        <f>HYPERLINK(".\links\cluster-b\Ixsc-cement-202240-50SimCLU1.txt", 1)</f>
        <v>1</v>
      </c>
      <c r="CM38" s="75">
        <f>HYPERLINK(".\links\cluster-b\Ixsc-cement-202240-50SimCLTL1.txt", 12)</f>
        <v>12</v>
      </c>
      <c r="CN38" s="75">
        <f>HYPERLINK(".\links\cluster-b\Ixsc-cement-202245-50SimCLU1.txt", 1)</f>
        <v>1</v>
      </c>
      <c r="CO38" s="75">
        <f>HYPERLINK(".\links\cluster-b\Ixsc-cement-202245-50SimCLTL1.txt", 11)</f>
        <v>11</v>
      </c>
      <c r="CP38" s="75">
        <f>HYPERLINK(".\links\cluster-b\Ixsc-cement-202250-50SimCLU1.txt", 1)</f>
        <v>1</v>
      </c>
      <c r="CQ38" s="75">
        <f>HYPERLINK(".\links\cluster-b\Ixsc-cement-202250-50SimCLTL1.txt", 10)</f>
        <v>10</v>
      </c>
      <c r="CR38" s="75">
        <f>HYPERLINK(".\links\cluster-b\Ixsc-cement-202255-50SimCLU1.txt", 1)</f>
        <v>1</v>
      </c>
      <c r="CS38" s="75">
        <f>HYPERLINK(".\links\cluster-b\Ixsc-cement-202255-50SimCLTL1.txt", 10)</f>
        <v>10</v>
      </c>
      <c r="CT38" s="75">
        <f>HYPERLINK(".\links\cluster-b\Ixsc-cement-202260-50SimCLU2.txt", 2)</f>
        <v>2</v>
      </c>
      <c r="CU38" s="75">
        <f>HYPERLINK(".\links\cluster-b\Ixsc-cement-202260-50SimCLTL2.txt", 6)</f>
        <v>6</v>
      </c>
      <c r="CV38" s="75">
        <v>103</v>
      </c>
      <c r="CW38" s="75">
        <v>1</v>
      </c>
      <c r="CX38" s="75">
        <v>107</v>
      </c>
      <c r="CY38" s="75">
        <v>1</v>
      </c>
      <c r="CZ38" s="75">
        <v>110</v>
      </c>
      <c r="DA38" s="75">
        <v>1</v>
      </c>
      <c r="DB38" s="75">
        <v>116</v>
      </c>
      <c r="DC38" s="75">
        <v>1</v>
      </c>
      <c r="DD38" s="75">
        <v>121</v>
      </c>
      <c r="DE38" s="75">
        <v>1</v>
      </c>
      <c r="DF38" s="75">
        <v>123</v>
      </c>
      <c r="DG38" s="75">
        <v>1</v>
      </c>
      <c r="DH38" s="75">
        <v>124</v>
      </c>
      <c r="DI38" s="75">
        <v>1</v>
      </c>
      <c r="DJ38" s="75" t="s">
        <v>204</v>
      </c>
      <c r="DK38" s="75" t="str">
        <f>HYPERLINK(".\links\AAM-CEMENT-2018\EEC20577.1-AAM-CEMENT-2018.txt","Extracted CDS")</f>
        <v>Extracted CDS</v>
      </c>
      <c r="DL38" s="75" t="str">
        <f>HYPERLINK("http://www.ncbi.nlm.nih.gov/sutils/blink.cgi?pid=Aam-178138","0.0")</f>
        <v>0.0</v>
      </c>
      <c r="DM38" s="75" t="str">
        <f>HYPERLINK("http://www.ncbi.nlm.nih.gov/protein/Aam-178138","Aam-178138")</f>
        <v>Aam-178138</v>
      </c>
      <c r="DN38" s="75">
        <v>613</v>
      </c>
      <c r="DO38" s="75">
        <v>294</v>
      </c>
      <c r="DP38" s="75">
        <v>477</v>
      </c>
      <c r="DQ38" s="75">
        <v>98</v>
      </c>
      <c r="DR38" s="75">
        <v>99</v>
      </c>
      <c r="DS38" s="75">
        <v>62</v>
      </c>
      <c r="DT38" s="75">
        <v>4</v>
      </c>
      <c r="DU38" s="75">
        <v>0</v>
      </c>
      <c r="DV38" s="75">
        <v>180</v>
      </c>
      <c r="DW38" s="75">
        <v>1</v>
      </c>
      <c r="DX38" s="75">
        <v>1</v>
      </c>
      <c r="DY38" s="75" t="s">
        <v>2775</v>
      </c>
      <c r="DZ38" s="75" t="str">
        <f>HYPERLINK(".\links\CDD\EEC20577.1-CDD.txt","PTZ00335 tubulin alpha chain")</f>
        <v>PTZ00335 tubulin alpha chain</v>
      </c>
      <c r="EA38" s="75">
        <v>0</v>
      </c>
      <c r="EB38" s="75">
        <v>65.599999999999994</v>
      </c>
      <c r="EC38" s="75" t="s">
        <v>2982</v>
      </c>
      <c r="ED38" s="75" t="s">
        <v>2983</v>
      </c>
      <c r="EE38" s="75" t="str">
        <f>HYPERLINK(".\links\KOG\EEC20577.1-KOG.txt","CDD:227356 COG5023, COG5023, Tubulin")</f>
        <v>CDD:227356 COG5023, COG5023, Tubulin</v>
      </c>
      <c r="EF38" s="79">
        <v>2E-179</v>
      </c>
      <c r="EG38" s="75">
        <v>66.099999999999994</v>
      </c>
      <c r="EH38" s="75" t="s">
        <v>2974</v>
      </c>
      <c r="EI38" s="75" t="s">
        <v>2779</v>
      </c>
      <c r="EJ38" s="75" t="str">
        <f>HYPERLINK(".\links\PFAM\EEC20577.1-PFAM.txt","Tubulin_C Tubulin C-terminal domain")</f>
        <v>Tubulin_C Tubulin C-terminal domain</v>
      </c>
      <c r="EK38" s="79">
        <v>3.9999999999999997E-77</v>
      </c>
      <c r="EL38" s="75">
        <v>104</v>
      </c>
      <c r="EM38" s="75" t="s">
        <v>2975</v>
      </c>
      <c r="EN38" s="75" t="s">
        <v>2772</v>
      </c>
      <c r="EO38" s="75" t="str">
        <f>HYPERLINK(".\links\SMART\EEC20577.1-SMART.txt","CDD:214867 smart00864, Tubulin, Tubulin/FtsZ family, GTPase domain")</f>
        <v>CDD:214867 smart00864, Tubulin, Tubulin/FtsZ family, GTPase domain</v>
      </c>
      <c r="EP38" s="79">
        <v>1.9999999999999999E-29</v>
      </c>
      <c r="EQ38" s="75">
        <v>48.4</v>
      </c>
      <c r="ER38" s="75" t="s">
        <v>2976</v>
      </c>
      <c r="ES38" s="75" t="s">
        <v>2772</v>
      </c>
      <c r="ET38" s="75" t="str">
        <f>HYPERLINK(".\links\TSF\EEC20577.1-TSF.txt","25-35 25-35, Alpha2Macroblobulin||H|I")</f>
        <v>25-35 25-35, Alpha2Macroblobulin||H|I</v>
      </c>
      <c r="EU38" s="75">
        <v>8.9999999999999993E-3</v>
      </c>
      <c r="EV38" s="75">
        <v>7</v>
      </c>
      <c r="EW38" s="75" t="s">
        <v>2984</v>
      </c>
      <c r="EX38" s="75" t="s">
        <v>2978</v>
      </c>
      <c r="EY38" s="75" t="s">
        <v>2772</v>
      </c>
      <c r="EZ38" s="75" t="s">
        <v>2808</v>
      </c>
      <c r="FA38" s="75" t="s">
        <v>2985</v>
      </c>
    </row>
    <row r="39" spans="1:157" x14ac:dyDescent="0.2">
      <c r="A39" s="75" t="str">
        <f>HYPERLINK(".\links\PEP\EEC11984.1-PEP.txt","EEC11984.1")</f>
        <v>EEC11984.1</v>
      </c>
      <c r="B39" s="75" t="s">
        <v>2990</v>
      </c>
      <c r="C39" s="75">
        <v>239</v>
      </c>
      <c r="D39" s="75" t="s">
        <v>2991</v>
      </c>
      <c r="E39" s="76" t="s">
        <v>48</v>
      </c>
      <c r="F39" s="75" t="s">
        <v>2771</v>
      </c>
      <c r="G39" s="75" t="str">
        <f>HYPERLINK(".\links\Sigp\EEC11984.1-SigP.txt","CYT")</f>
        <v>CYT</v>
      </c>
      <c r="H39" s="75" t="s">
        <v>2772</v>
      </c>
      <c r="I39" s="75">
        <v>26.32</v>
      </c>
      <c r="J39" s="75">
        <v>4.66</v>
      </c>
      <c r="K39" s="75" t="s">
        <v>2772</v>
      </c>
      <c r="L39" s="75" t="s">
        <v>2772</v>
      </c>
      <c r="M39" s="75" t="str">
        <f>HYPERLINK(".\links\netoglyc\EEC11984.1-netoglyc.txt","0")</f>
        <v>0</v>
      </c>
      <c r="N39" s="75" t="s">
        <v>2992</v>
      </c>
      <c r="O39" s="75">
        <v>239</v>
      </c>
      <c r="P39" s="75">
        <v>0</v>
      </c>
      <c r="Q39" s="75" t="s">
        <v>2772</v>
      </c>
      <c r="R39" s="75" t="s">
        <v>2772</v>
      </c>
      <c r="S39" s="75" t="s">
        <v>2772</v>
      </c>
      <c r="T39" s="75" t="s">
        <v>2772</v>
      </c>
      <c r="U39" s="75" t="s">
        <v>2772</v>
      </c>
      <c r="V39" s="75" t="s">
        <v>2772</v>
      </c>
      <c r="W39" s="75">
        <v>15.6</v>
      </c>
      <c r="X39" s="75">
        <v>9</v>
      </c>
      <c r="Y39" s="75">
        <v>4.5</v>
      </c>
      <c r="Z39" s="75" t="s">
        <v>2774</v>
      </c>
      <c r="AA39" s="77">
        <v>13.807531380753099</v>
      </c>
      <c r="AB39" s="75">
        <v>0.27</v>
      </c>
      <c r="AD39" s="75">
        <v>7</v>
      </c>
      <c r="AE39" s="75" t="s">
        <v>2772</v>
      </c>
      <c r="AF39" s="75" t="s">
        <v>2772</v>
      </c>
      <c r="AG39" s="75" t="s">
        <v>2772</v>
      </c>
      <c r="AH39" s="75" t="s">
        <v>2772</v>
      </c>
      <c r="AI39" s="75">
        <v>1</v>
      </c>
      <c r="AJ39" s="75">
        <v>1</v>
      </c>
      <c r="AK39" s="75" t="s">
        <v>2772</v>
      </c>
      <c r="AL39" s="75" t="s">
        <v>2772</v>
      </c>
      <c r="AM39" s="75" t="s">
        <v>2772</v>
      </c>
      <c r="AN39" s="75" t="s">
        <v>2772</v>
      </c>
      <c r="AO39" s="78" t="str">
        <f>HYPERLINK(".\links\AAM-CEMENT-2018\EEC11984.1-AAM-CEMENT-2018.txt","Extracted CDS")</f>
        <v>Extracted CDS</v>
      </c>
      <c r="AP39" s="75" t="str">
        <f>HYPERLINK("http://www.ncbi.nlm.nih.gov/sutils/blink.cgi?pid=Aam-178493","1E-167")</f>
        <v>1E-167</v>
      </c>
      <c r="AQ39" s="75" t="str">
        <f>HYPERLINK("http://www.ncbi.nlm.nih.gov/protein/Aam-178493","Aam-178493")</f>
        <v>Aam-178493</v>
      </c>
      <c r="AR39" s="75">
        <v>462</v>
      </c>
      <c r="AS39" s="75">
        <v>224</v>
      </c>
      <c r="AT39" s="75">
        <v>446</v>
      </c>
      <c r="AU39" s="75">
        <v>98</v>
      </c>
      <c r="AV39" s="75">
        <v>99</v>
      </c>
      <c r="AW39" s="75">
        <v>50</v>
      </c>
      <c r="AX39" s="75">
        <v>4</v>
      </c>
      <c r="AY39" s="75">
        <v>0</v>
      </c>
      <c r="AZ39" s="75">
        <v>18</v>
      </c>
      <c r="BA39" s="75">
        <v>16</v>
      </c>
      <c r="BB39" s="75">
        <v>1</v>
      </c>
      <c r="BC39" s="75" t="s">
        <v>2775</v>
      </c>
      <c r="BD39" s="78" t="str">
        <f>HYPERLINK(".\links\CDD\EEC11984.1-CDD.txt","PTZ00010 tubulin beta chain")</f>
        <v>PTZ00010 tubulin beta chain</v>
      </c>
      <c r="BE39" s="79">
        <v>9.0000000000000002E-167</v>
      </c>
      <c r="BF39" s="75">
        <v>50.1</v>
      </c>
      <c r="BG39" s="75" t="s">
        <v>2993</v>
      </c>
      <c r="BH39" s="75" t="s">
        <v>2994</v>
      </c>
      <c r="BI39" s="75" t="str">
        <f>HYPERLINK(".\links\KOG\EEC11984.1-KOG.txt","CDD:227356 COG5023, COG5023, Tubulin")</f>
        <v>CDD:227356 COG5023, COG5023, Tubulin</v>
      </c>
      <c r="BJ39" s="79">
        <v>2.0000000000000002E-130</v>
      </c>
      <c r="BK39" s="75">
        <v>50.3</v>
      </c>
      <c r="BL39" s="75" t="s">
        <v>2974</v>
      </c>
      <c r="BM39" s="75" t="s">
        <v>2779</v>
      </c>
      <c r="BN39" s="78" t="str">
        <f>HYPERLINK(".\links\PFAM\EEC11984.1-PFAM.txt","Tubulin Tubulin/FtsZ family GTPase domain")</f>
        <v>Tubulin Tubulin/FtsZ family GTPase domain</v>
      </c>
      <c r="BO39" s="79">
        <v>8.9999999999999994E-55</v>
      </c>
      <c r="BP39" s="75">
        <v>102.6</v>
      </c>
      <c r="BQ39" s="75" t="s">
        <v>2995</v>
      </c>
      <c r="BR39" s="75" t="s">
        <v>2772</v>
      </c>
      <c r="BS39" s="78" t="str">
        <f>HYPERLINK(".\links\SMART\EEC11984.1-SMART.txt","CDD:214867 smart00864, Tubulin, Tubulin/FtsZ family, GTPase domain")</f>
        <v>CDD:214867 smart00864, Tubulin, Tubulin/FtsZ family, GTPase domain</v>
      </c>
      <c r="BT39" s="79">
        <v>2.0000000000000001E-63</v>
      </c>
      <c r="BU39" s="75">
        <v>104.7</v>
      </c>
      <c r="BV39" s="75" t="s">
        <v>2976</v>
      </c>
      <c r="BW39" s="75" t="s">
        <v>2772</v>
      </c>
      <c r="BX39" s="78" t="str">
        <f>HYPERLINK(".\links\TSF\EEC11984.1-TSF.txt","25-27 25-27, Transposon|L1_transposon|S|")</f>
        <v>25-27 25-27, Transposon|L1_transposon|S|</v>
      </c>
      <c r="BY39" s="75">
        <v>1.8</v>
      </c>
      <c r="BZ39" s="75">
        <v>7</v>
      </c>
      <c r="CA39" s="75" t="s">
        <v>2996</v>
      </c>
      <c r="CB39" s="75" t="s">
        <v>2997</v>
      </c>
      <c r="CC39" s="75" t="s">
        <v>2998</v>
      </c>
      <c r="CD39" s="75" t="s">
        <v>2785</v>
      </c>
      <c r="CE39" s="75" t="s">
        <v>2999</v>
      </c>
      <c r="CF39" s="75">
        <f>HYPERLINK(".\links\cluster-b\Ixsc-cement-202225-50SimCLU2.txt", 2)</f>
        <v>2</v>
      </c>
      <c r="CG39" s="75">
        <f>HYPERLINK(".\links\cluster-b\Ixsc-cement-202225-50SimCLTL2.txt", 13)</f>
        <v>13</v>
      </c>
      <c r="CH39" s="75">
        <f>HYPERLINK(".\links\cluster-b\Ixsc-cement-202230-50SimCLU2.txt", 2)</f>
        <v>2</v>
      </c>
      <c r="CI39" s="75">
        <f>HYPERLINK(".\links\cluster-b\Ixsc-cement-202230-50SimCLTL2.txt", 12)</f>
        <v>12</v>
      </c>
      <c r="CJ39" s="75">
        <f>HYPERLINK(".\links\cluster-b\Ixsc-cement-202235-50SimCLU2.txt", 2)</f>
        <v>2</v>
      </c>
      <c r="CK39" s="75">
        <f>HYPERLINK(".\links\cluster-b\Ixsc-cement-202235-50SimCLTL2.txt", 12)</f>
        <v>12</v>
      </c>
      <c r="CL39" s="75">
        <f>HYPERLINK(".\links\cluster-b\Ixsc-cement-202240-50SimCLU1.txt", 1)</f>
        <v>1</v>
      </c>
      <c r="CM39" s="75">
        <f>HYPERLINK(".\links\cluster-b\Ixsc-cement-202240-50SimCLTL1.txt", 12)</f>
        <v>12</v>
      </c>
      <c r="CN39" s="75">
        <f>HYPERLINK(".\links\cluster-b\Ixsc-cement-202245-50SimCLU1.txt", 1)</f>
        <v>1</v>
      </c>
      <c r="CO39" s="75">
        <f>HYPERLINK(".\links\cluster-b\Ixsc-cement-202245-50SimCLTL1.txt", 11)</f>
        <v>11</v>
      </c>
      <c r="CP39" s="75">
        <v>63</v>
      </c>
      <c r="CQ39" s="75">
        <v>1</v>
      </c>
      <c r="CR39" s="75">
        <v>64</v>
      </c>
      <c r="CS39" s="75">
        <v>1</v>
      </c>
      <c r="CT39" s="75">
        <v>68</v>
      </c>
      <c r="CU39" s="75">
        <v>1</v>
      </c>
      <c r="CV39" s="75">
        <v>71</v>
      </c>
      <c r="CW39" s="75">
        <v>1</v>
      </c>
      <c r="CX39" s="75">
        <v>75</v>
      </c>
      <c r="CY39" s="75">
        <v>1</v>
      </c>
      <c r="CZ39" s="75">
        <v>77</v>
      </c>
      <c r="DA39" s="75">
        <v>1</v>
      </c>
      <c r="DB39" s="75">
        <v>83</v>
      </c>
      <c r="DC39" s="75">
        <v>1</v>
      </c>
      <c r="DD39" s="75">
        <v>86</v>
      </c>
      <c r="DE39" s="75">
        <v>1</v>
      </c>
      <c r="DF39" s="75">
        <v>88</v>
      </c>
      <c r="DG39" s="75">
        <v>1</v>
      </c>
      <c r="DH39" s="75">
        <v>89</v>
      </c>
      <c r="DI39" s="75">
        <v>1</v>
      </c>
      <c r="DJ39" s="75" t="s">
        <v>201</v>
      </c>
      <c r="DK39" s="75" t="str">
        <f>HYPERLINK(".\links\AAM-CEMENT-2018\EEC11984.1-AAM-CEMENT-2018.txt","Extracted CDS")</f>
        <v>Extracted CDS</v>
      </c>
      <c r="DL39" s="75" t="str">
        <f>HYPERLINK("http://www.ncbi.nlm.nih.gov/sutils/blink.cgi?pid=Aam-178493","1E-167")</f>
        <v>1E-167</v>
      </c>
      <c r="DM39" s="75" t="str">
        <f>HYPERLINK("http://www.ncbi.nlm.nih.gov/protein/Aam-178493","Aam-178493")</f>
        <v>Aam-178493</v>
      </c>
      <c r="DN39" s="75">
        <v>462</v>
      </c>
      <c r="DO39" s="75">
        <v>224</v>
      </c>
      <c r="DP39" s="75">
        <v>446</v>
      </c>
      <c r="DQ39" s="75">
        <v>98</v>
      </c>
      <c r="DR39" s="75">
        <v>99</v>
      </c>
      <c r="DS39" s="75">
        <v>50</v>
      </c>
      <c r="DT39" s="75">
        <v>4</v>
      </c>
      <c r="DU39" s="75">
        <v>0</v>
      </c>
      <c r="DV39" s="75">
        <v>18</v>
      </c>
      <c r="DW39" s="75">
        <v>16</v>
      </c>
      <c r="DX39" s="75">
        <v>1</v>
      </c>
      <c r="DY39" s="75" t="s">
        <v>2775</v>
      </c>
      <c r="DZ39" s="75" t="str">
        <f>HYPERLINK(".\links\CDD\EEC11984.1-CDD.txt","PTZ00010 tubulin beta chain")</f>
        <v>PTZ00010 tubulin beta chain</v>
      </c>
      <c r="EA39" s="79">
        <v>9.0000000000000002E-167</v>
      </c>
      <c r="EB39" s="75">
        <v>50.1</v>
      </c>
      <c r="EC39" s="75" t="s">
        <v>2993</v>
      </c>
      <c r="ED39" s="75" t="s">
        <v>2994</v>
      </c>
      <c r="EE39" s="75" t="str">
        <f>HYPERLINK(".\links\KOG\EEC11984.1-KOG.txt","CDD:227356 COG5023, COG5023, Tubulin")</f>
        <v>CDD:227356 COG5023, COG5023, Tubulin</v>
      </c>
      <c r="EF39" s="79">
        <v>2.0000000000000002E-130</v>
      </c>
      <c r="EG39" s="75">
        <v>50.3</v>
      </c>
      <c r="EH39" s="75" t="s">
        <v>2974</v>
      </c>
      <c r="EI39" s="75" t="s">
        <v>2779</v>
      </c>
      <c r="EJ39" s="75" t="str">
        <f>HYPERLINK(".\links\PFAM\EEC11984.1-PFAM.txt","Tubulin Tubulin/FtsZ family GTPase domain")</f>
        <v>Tubulin Tubulin/FtsZ family GTPase domain</v>
      </c>
      <c r="EK39" s="79">
        <v>8.9999999999999994E-55</v>
      </c>
      <c r="EL39" s="75">
        <v>102.6</v>
      </c>
      <c r="EM39" s="75" t="s">
        <v>2995</v>
      </c>
      <c r="EN39" s="75" t="s">
        <v>2772</v>
      </c>
      <c r="EO39" s="75" t="str">
        <f>HYPERLINK(".\links\SMART\EEC11984.1-SMART.txt","CDD:214867 smart00864, Tubulin, Tubulin/FtsZ family, GTPase domain")</f>
        <v>CDD:214867 smart00864, Tubulin, Tubulin/FtsZ family, GTPase domain</v>
      </c>
      <c r="EP39" s="79">
        <v>2.0000000000000001E-63</v>
      </c>
      <c r="EQ39" s="75">
        <v>104.7</v>
      </c>
      <c r="ER39" s="75" t="s">
        <v>2976</v>
      </c>
      <c r="ES39" s="75" t="s">
        <v>2772</v>
      </c>
      <c r="ET39" s="75" t="str">
        <f>HYPERLINK(".\links\TSF\EEC11984.1-TSF.txt","25-27 25-27, Transposon|L1_transposon|S|")</f>
        <v>25-27 25-27, Transposon|L1_transposon|S|</v>
      </c>
      <c r="EU39" s="75">
        <v>1.8</v>
      </c>
      <c r="EV39" s="75">
        <v>7</v>
      </c>
      <c r="EW39" s="75" t="s">
        <v>2996</v>
      </c>
      <c r="EX39" s="75" t="s">
        <v>2997</v>
      </c>
      <c r="EY39" s="75" t="s">
        <v>2998</v>
      </c>
      <c r="EZ39" s="75" t="s">
        <v>2785</v>
      </c>
      <c r="FA39" s="75" t="s">
        <v>2999</v>
      </c>
    </row>
    <row r="40" spans="1:157" x14ac:dyDescent="0.2">
      <c r="A40" s="75" t="str">
        <f>HYPERLINK(".\links\PEP\EEC03517.1-PEP.txt","EEC03517.1")</f>
        <v>EEC03517.1</v>
      </c>
      <c r="B40" s="75" t="s">
        <v>2768</v>
      </c>
      <c r="C40" s="75">
        <v>446</v>
      </c>
      <c r="D40" s="75" t="s">
        <v>2970</v>
      </c>
      <c r="E40" s="76" t="s">
        <v>48</v>
      </c>
      <c r="F40" s="75" t="s">
        <v>2771</v>
      </c>
      <c r="G40" s="75" t="str">
        <f>HYPERLINK(".\links\Sigp\EEC03517.1-SigP.txt","CYT")</f>
        <v>CYT</v>
      </c>
      <c r="H40" s="75" t="s">
        <v>2772</v>
      </c>
      <c r="I40" s="75">
        <v>49.956000000000003</v>
      </c>
      <c r="J40" s="75">
        <v>4.79</v>
      </c>
      <c r="K40" s="75" t="s">
        <v>2772</v>
      </c>
      <c r="L40" s="75" t="s">
        <v>2772</v>
      </c>
      <c r="M40" s="75" t="str">
        <f>HYPERLINK(".\links\netoglyc\EEC03517.1-netoglyc.txt","1")</f>
        <v>1</v>
      </c>
      <c r="N40" s="75" t="s">
        <v>2971</v>
      </c>
      <c r="O40" s="75">
        <v>446</v>
      </c>
      <c r="P40" s="75">
        <v>0</v>
      </c>
      <c r="Q40" s="75" t="s">
        <v>2772</v>
      </c>
      <c r="R40" s="75" t="s">
        <v>2772</v>
      </c>
      <c r="S40" s="75" t="s">
        <v>2772</v>
      </c>
      <c r="T40" s="75" t="s">
        <v>2772</v>
      </c>
      <c r="U40" s="75" t="s">
        <v>2772</v>
      </c>
      <c r="V40" s="75" t="s">
        <v>2772</v>
      </c>
      <c r="W40" s="75">
        <v>12.8</v>
      </c>
      <c r="X40" s="75">
        <v>7.7</v>
      </c>
      <c r="Y40" s="75">
        <v>4.4000000000000004</v>
      </c>
      <c r="Z40" s="75" t="s">
        <v>2774</v>
      </c>
      <c r="AA40" s="77">
        <v>12.3318385650224</v>
      </c>
      <c r="AB40" s="75">
        <v>0.17</v>
      </c>
      <c r="AD40" s="75">
        <v>8</v>
      </c>
      <c r="AE40" s="75" t="str">
        <f>HYPERLINK(".\links\pep\EEC03517.1-sulf.txt","2")</f>
        <v>2</v>
      </c>
      <c r="AF40" s="75" t="str">
        <f>HYPERLINK(".\links\pep\EEC03517.1-tyr-sulf.txt","Fasta with y")</f>
        <v>Fasta with y</v>
      </c>
      <c r="AG40" s="75" t="s">
        <v>2772</v>
      </c>
      <c r="AH40" s="75" t="s">
        <v>2772</v>
      </c>
      <c r="AI40" s="75">
        <v>1</v>
      </c>
      <c r="AJ40" s="75">
        <v>3</v>
      </c>
      <c r="AK40" s="75" t="s">
        <v>2772</v>
      </c>
      <c r="AL40" s="75" t="s">
        <v>2772</v>
      </c>
      <c r="AM40" s="75" t="s">
        <v>2772</v>
      </c>
      <c r="AN40" s="75" t="s">
        <v>2772</v>
      </c>
      <c r="AO40" s="78" t="str">
        <f>HYPERLINK(".\links\AAM-CEMENT-2018\EEC03517.1-AAM-CEMENT-2018.txt","Extracted CDS")</f>
        <v>Extracted CDS</v>
      </c>
      <c r="AP40" s="75" t="str">
        <f>HYPERLINK("http://www.ncbi.nlm.nih.gov/sutils/blink.cgi?pid=Aam-178493","0.0")</f>
        <v>0.0</v>
      </c>
      <c r="AQ40" s="75" t="str">
        <f>HYPERLINK("http://www.ncbi.nlm.nih.gov/protein/Aam-178493","Aam-178493")</f>
        <v>Aam-178493</v>
      </c>
      <c r="AR40" s="75">
        <v>865</v>
      </c>
      <c r="AS40" s="75">
        <v>431</v>
      </c>
      <c r="AT40" s="75">
        <v>446</v>
      </c>
      <c r="AU40" s="75">
        <v>97</v>
      </c>
      <c r="AV40" s="75">
        <v>99</v>
      </c>
      <c r="AW40" s="75">
        <v>97</v>
      </c>
      <c r="AX40" s="75">
        <v>10</v>
      </c>
      <c r="AY40" s="75">
        <v>0</v>
      </c>
      <c r="AZ40" s="75">
        <v>1</v>
      </c>
      <c r="BA40" s="75">
        <v>1</v>
      </c>
      <c r="BB40" s="75">
        <v>1</v>
      </c>
      <c r="BC40" s="75" t="s">
        <v>2775</v>
      </c>
      <c r="BD40" s="78" t="str">
        <f>HYPERLINK(".\links\CDD\EEC03517.1-CDD.txt","PLN00220 tubulin beta chain")</f>
        <v>PLN00220 tubulin beta chain</v>
      </c>
      <c r="BE40" s="75">
        <v>0</v>
      </c>
      <c r="BF40" s="75">
        <v>96.2</v>
      </c>
      <c r="BG40" s="75" t="s">
        <v>2972</v>
      </c>
      <c r="BH40" s="75" t="s">
        <v>2973</v>
      </c>
      <c r="BI40" s="75" t="str">
        <f>HYPERLINK(".\links\KOG\EEC03517.1-KOG.txt","CDD:227356 COG5023, COG5023, Tubulin")</f>
        <v>CDD:227356 COG5023, COG5023, Tubulin</v>
      </c>
      <c r="BJ40" s="75">
        <v>0</v>
      </c>
      <c r="BK40" s="75">
        <v>97.5</v>
      </c>
      <c r="BL40" s="75" t="s">
        <v>2974</v>
      </c>
      <c r="BM40" s="75" t="s">
        <v>2779</v>
      </c>
      <c r="BN40" s="78" t="str">
        <f>HYPERLINK(".\links\PFAM\EEC03517.1-PFAM.txt","Tubulin_C Tubulin C-terminal domain")</f>
        <v>Tubulin_C Tubulin C-terminal domain</v>
      </c>
      <c r="BO40" s="79">
        <v>2.0000000000000001E-63</v>
      </c>
      <c r="BP40" s="75">
        <v>100</v>
      </c>
      <c r="BQ40" s="75" t="s">
        <v>2975</v>
      </c>
      <c r="BR40" s="75" t="s">
        <v>2772</v>
      </c>
      <c r="BS40" s="78" t="str">
        <f>HYPERLINK(".\links\SMART\EEC03517.1-SMART.txt","CDD:214867 smart00864, Tubulin, Tubulin/FtsZ family, GTPase domain")</f>
        <v>CDD:214867 smart00864, Tubulin, Tubulin/FtsZ family, GTPase domain</v>
      </c>
      <c r="BT40" s="79">
        <v>3.0000000000000002E-60</v>
      </c>
      <c r="BU40" s="75">
        <v>112</v>
      </c>
      <c r="BV40" s="75" t="s">
        <v>2976</v>
      </c>
      <c r="BW40" s="75" t="s">
        <v>2772</v>
      </c>
      <c r="BX40" s="78" t="str">
        <f>HYPERLINK(".\links\TSF\EEC03517.1-TSF.txt","30-79 30-79, Alpha2Macroblobulin||H|I")</f>
        <v>30-79 30-79, Alpha2Macroblobulin||H|I</v>
      </c>
      <c r="BY40" s="75">
        <v>0.88</v>
      </c>
      <c r="BZ40" s="75">
        <v>3.9</v>
      </c>
      <c r="CA40" s="75" t="s">
        <v>2977</v>
      </c>
      <c r="CB40" s="75" t="s">
        <v>2978</v>
      </c>
      <c r="CC40" s="75" t="s">
        <v>2772</v>
      </c>
      <c r="CD40" s="75" t="s">
        <v>2808</v>
      </c>
      <c r="CE40" s="75" t="s">
        <v>2979</v>
      </c>
      <c r="CF40" s="75">
        <f>HYPERLINK(".\links\cluster-b\Ixsc-cement-202225-50SimCLU2.txt", 2)</f>
        <v>2</v>
      </c>
      <c r="CG40" s="75">
        <f>HYPERLINK(".\links\cluster-b\Ixsc-cement-202225-50SimCLTL2.txt", 13)</f>
        <v>13</v>
      </c>
      <c r="CH40" s="75">
        <f>HYPERLINK(".\links\cluster-b\Ixsc-cement-202230-50SimCLU2.txt", 2)</f>
        <v>2</v>
      </c>
      <c r="CI40" s="75">
        <f>HYPERLINK(".\links\cluster-b\Ixsc-cement-202230-50SimCLTL2.txt", 12)</f>
        <v>12</v>
      </c>
      <c r="CJ40" s="75">
        <f>HYPERLINK(".\links\cluster-b\Ixsc-cement-202235-50SimCLU2.txt", 2)</f>
        <v>2</v>
      </c>
      <c r="CK40" s="75">
        <f>HYPERLINK(".\links\cluster-b\Ixsc-cement-202235-50SimCLTL2.txt", 12)</f>
        <v>12</v>
      </c>
      <c r="CL40" s="75">
        <f>HYPERLINK(".\links\cluster-b\Ixsc-cement-202240-50SimCLU1.txt", 1)</f>
        <v>1</v>
      </c>
      <c r="CM40" s="75">
        <f>HYPERLINK(".\links\cluster-b\Ixsc-cement-202240-50SimCLTL1.txt", 12)</f>
        <v>12</v>
      </c>
      <c r="CN40" s="75">
        <f>HYPERLINK(".\links\cluster-b\Ixsc-cement-202245-50SimCLU1.txt", 1)</f>
        <v>1</v>
      </c>
      <c r="CO40" s="75">
        <f>HYPERLINK(".\links\cluster-b\Ixsc-cement-202245-50SimCLTL1.txt", 11)</f>
        <v>11</v>
      </c>
      <c r="CP40" s="75">
        <f>HYPERLINK(".\links\cluster-b\Ixsc-cement-202250-50SimCLU1.txt", 1)</f>
        <v>1</v>
      </c>
      <c r="CQ40" s="75">
        <f>HYPERLINK(".\links\cluster-b\Ixsc-cement-202250-50SimCLTL1.txt", 10)</f>
        <v>10</v>
      </c>
      <c r="CR40" s="75">
        <f>HYPERLINK(".\links\cluster-b\Ixsc-cement-202255-50SimCLU1.txt", 1)</f>
        <v>1</v>
      </c>
      <c r="CS40" s="75">
        <f>HYPERLINK(".\links\cluster-b\Ixsc-cement-202255-50SimCLTL1.txt", 10)</f>
        <v>10</v>
      </c>
      <c r="CT40" s="75">
        <f>HYPERLINK(".\links\cluster-b\Ixsc-cement-202260-50SimCLU5.txt", 5)</f>
        <v>5</v>
      </c>
      <c r="CU40" s="75">
        <f>HYPERLINK(".\links\cluster-b\Ixsc-cement-202260-50SimCLTL5.txt", 4)</f>
        <v>4</v>
      </c>
      <c r="CV40" s="75">
        <f>HYPERLINK(".\links\cluster-b\Ixsc-cement-202265-50SimCLU4.txt", 4)</f>
        <v>4</v>
      </c>
      <c r="CW40" s="75">
        <f>HYPERLINK(".\links\cluster-b\Ixsc-cement-202265-50SimCLTL4.txt", 4)</f>
        <v>4</v>
      </c>
      <c r="CX40" s="75">
        <f>HYPERLINK(".\links\cluster-b\Ixsc-cement-202270-50SimCLU6.txt", 6)</f>
        <v>6</v>
      </c>
      <c r="CY40" s="75">
        <f>HYPERLINK(".\links\cluster-b\Ixsc-cement-202270-50SimCLTL6.txt", 3)</f>
        <v>3</v>
      </c>
      <c r="CZ40" s="75">
        <f>HYPERLINK(".\links\cluster-b\Ixsc-cement-202275-50SimCLU6.txt", 6)</f>
        <v>6</v>
      </c>
      <c r="DA40" s="75">
        <f>HYPERLINK(".\links\cluster-b\Ixsc-cement-202275-50SimCLTL6.txt", 3)</f>
        <v>3</v>
      </c>
      <c r="DB40" s="75">
        <f>HYPERLINK(".\links\cluster-b\Ixsc-cement-202280-50SimCLU5.txt", 5)</f>
        <v>5</v>
      </c>
      <c r="DC40" s="75">
        <f>HYPERLINK(".\links\cluster-b\Ixsc-cement-202280-50SimCLTL5.txt", 3)</f>
        <v>3</v>
      </c>
      <c r="DD40" s="75">
        <f>HYPERLINK(".\links\cluster-b\Ixsc-cement-202285-50SimCLU4.txt", 4)</f>
        <v>4</v>
      </c>
      <c r="DE40" s="75">
        <f>HYPERLINK(".\links\cluster-b\Ixsc-cement-202285-50SimCLTL4.txt", 3)</f>
        <v>3</v>
      </c>
      <c r="DF40" s="75">
        <f>HYPERLINK(".\links\cluster-b\Ixsc-cement-202290-50SimCLU3.txt", 3)</f>
        <v>3</v>
      </c>
      <c r="DG40" s="75">
        <f>HYPERLINK(".\links\cluster-b\Ixsc-cement-202290-50SimCLTL3.txt", 3)</f>
        <v>3</v>
      </c>
      <c r="DH40" s="75">
        <f>HYPERLINK(".\links\cluster-b\Ixsc-cement-202295-50SimCLU3.txt", 3)</f>
        <v>3</v>
      </c>
      <c r="DI40" s="75">
        <f>HYPERLINK(".\links\cluster-b\Ixsc-cement-202295-50SimCLTL3.txt", 3)</f>
        <v>3</v>
      </c>
      <c r="DJ40" s="75" t="s">
        <v>195</v>
      </c>
      <c r="DK40" s="75" t="str">
        <f>HYPERLINK(".\links\AAM-CEMENT-2018\EEC03517.1-AAM-CEMENT-2018.txt","Extracted CDS")</f>
        <v>Extracted CDS</v>
      </c>
      <c r="DL40" s="75" t="str">
        <f>HYPERLINK("http://www.ncbi.nlm.nih.gov/sutils/blink.cgi?pid=Aam-178493","0.0")</f>
        <v>0.0</v>
      </c>
      <c r="DM40" s="75" t="str">
        <f>HYPERLINK("http://www.ncbi.nlm.nih.gov/protein/Aam-178493","Aam-178493")</f>
        <v>Aam-178493</v>
      </c>
      <c r="DN40" s="75">
        <v>865</v>
      </c>
      <c r="DO40" s="75">
        <v>431</v>
      </c>
      <c r="DP40" s="75">
        <v>446</v>
      </c>
      <c r="DQ40" s="75">
        <v>97</v>
      </c>
      <c r="DR40" s="75">
        <v>99</v>
      </c>
      <c r="DS40" s="75">
        <v>97</v>
      </c>
      <c r="DT40" s="75">
        <v>10</v>
      </c>
      <c r="DU40" s="75">
        <v>0</v>
      </c>
      <c r="DV40" s="75">
        <v>1</v>
      </c>
      <c r="DW40" s="75">
        <v>1</v>
      </c>
      <c r="DX40" s="75">
        <v>1</v>
      </c>
      <c r="DY40" s="75" t="s">
        <v>2775</v>
      </c>
      <c r="DZ40" s="75" t="str">
        <f>HYPERLINK(".\links\CDD\EEC03517.1-CDD.txt","PLN00220 tubulin beta chain")</f>
        <v>PLN00220 tubulin beta chain</v>
      </c>
      <c r="EA40" s="75">
        <v>0</v>
      </c>
      <c r="EB40" s="75">
        <v>96.2</v>
      </c>
      <c r="EC40" s="75" t="s">
        <v>2972</v>
      </c>
      <c r="ED40" s="75" t="s">
        <v>2973</v>
      </c>
      <c r="EE40" s="75" t="str">
        <f>HYPERLINK(".\links\KOG\EEC03517.1-KOG.txt","CDD:227356 COG5023, COG5023, Tubulin")</f>
        <v>CDD:227356 COG5023, COG5023, Tubulin</v>
      </c>
      <c r="EF40" s="75">
        <v>0</v>
      </c>
      <c r="EG40" s="75">
        <v>97.5</v>
      </c>
      <c r="EH40" s="75" t="s">
        <v>2974</v>
      </c>
      <c r="EI40" s="75" t="s">
        <v>2779</v>
      </c>
      <c r="EJ40" s="75" t="str">
        <f>HYPERLINK(".\links\PFAM\EEC03517.1-PFAM.txt","Tubulin_C Tubulin C-terminal domain")</f>
        <v>Tubulin_C Tubulin C-terminal domain</v>
      </c>
      <c r="EK40" s="79">
        <v>2.0000000000000001E-63</v>
      </c>
      <c r="EL40" s="75">
        <v>100</v>
      </c>
      <c r="EM40" s="75" t="s">
        <v>2975</v>
      </c>
      <c r="EN40" s="75" t="s">
        <v>2772</v>
      </c>
      <c r="EO40" s="75" t="str">
        <f>HYPERLINK(".\links\SMART\EEC03517.1-SMART.txt","CDD:214867 smart00864, Tubulin, Tubulin/FtsZ family, GTPase domain")</f>
        <v>CDD:214867 smart00864, Tubulin, Tubulin/FtsZ family, GTPase domain</v>
      </c>
      <c r="EP40" s="79">
        <v>3.0000000000000002E-60</v>
      </c>
      <c r="EQ40" s="75">
        <v>112</v>
      </c>
      <c r="ER40" s="75" t="s">
        <v>2976</v>
      </c>
      <c r="ES40" s="75" t="s">
        <v>2772</v>
      </c>
      <c r="ET40" s="75" t="str">
        <f>HYPERLINK(".\links\TSF\EEC03517.1-TSF.txt","30-79 30-79, Alpha2Macroblobulin||H|I")</f>
        <v>30-79 30-79, Alpha2Macroblobulin||H|I</v>
      </c>
      <c r="EU40" s="75">
        <v>0.88</v>
      </c>
      <c r="EV40" s="75">
        <v>3.9</v>
      </c>
      <c r="EW40" s="75" t="s">
        <v>2977</v>
      </c>
      <c r="EX40" s="75" t="s">
        <v>2978</v>
      </c>
      <c r="EY40" s="75" t="s">
        <v>2772</v>
      </c>
      <c r="EZ40" s="75" t="s">
        <v>2808</v>
      </c>
      <c r="FA40" s="75" t="s">
        <v>2979</v>
      </c>
    </row>
    <row r="41" spans="1:157" x14ac:dyDescent="0.2">
      <c r="A41" s="75" t="str">
        <f>HYPERLINK(".\links\PEP\EEC06076.1-PEP.txt","EEC06076.1")</f>
        <v>EEC06076.1</v>
      </c>
      <c r="B41" s="75" t="s">
        <v>2768</v>
      </c>
      <c r="C41" s="75">
        <v>300</v>
      </c>
      <c r="D41" s="75" t="s">
        <v>3000</v>
      </c>
      <c r="E41" s="76" t="s">
        <v>48</v>
      </c>
      <c r="F41" s="75" t="s">
        <v>2771</v>
      </c>
      <c r="G41" s="75" t="str">
        <f>HYPERLINK(".\links\Sigp\EEC06076.1-SigP.txt","CYT")</f>
        <v>CYT</v>
      </c>
      <c r="H41" s="75" t="s">
        <v>2772</v>
      </c>
      <c r="I41" s="75">
        <v>34.24</v>
      </c>
      <c r="J41" s="75">
        <v>4.79</v>
      </c>
      <c r="K41" s="75" t="s">
        <v>2772</v>
      </c>
      <c r="L41" s="75" t="s">
        <v>2772</v>
      </c>
      <c r="M41" s="75" t="str">
        <f>HYPERLINK(".\links\netoglyc\EEC06076.1-netoglyc.txt","0")</f>
        <v>0</v>
      </c>
      <c r="N41" s="75" t="s">
        <v>2971</v>
      </c>
      <c r="O41" s="75">
        <v>300</v>
      </c>
      <c r="P41" s="75">
        <v>0</v>
      </c>
      <c r="Q41" s="75" t="s">
        <v>2772</v>
      </c>
      <c r="R41" s="75" t="s">
        <v>2772</v>
      </c>
      <c r="S41" s="75" t="s">
        <v>2772</v>
      </c>
      <c r="T41" s="75" t="s">
        <v>2772</v>
      </c>
      <c r="U41" s="75" t="s">
        <v>2772</v>
      </c>
      <c r="V41" s="75" t="s">
        <v>2772</v>
      </c>
      <c r="W41" s="75">
        <v>13.4</v>
      </c>
      <c r="X41" s="75">
        <v>4.2</v>
      </c>
      <c r="Y41" s="75">
        <v>4.9000000000000004</v>
      </c>
      <c r="Z41" s="75" t="s">
        <v>2774</v>
      </c>
      <c r="AA41" s="77">
        <v>9.3333333333333304</v>
      </c>
      <c r="AB41" s="75">
        <v>0.23</v>
      </c>
      <c r="AD41" s="75">
        <v>5</v>
      </c>
      <c r="AE41" s="75" t="str">
        <f>HYPERLINK(".\links\pep\EEC06076.1-sulf.txt","1")</f>
        <v>1</v>
      </c>
      <c r="AF41" s="75" t="str">
        <f>HYPERLINK(".\links\pep\EEC06076.1-tyr-sulf.txt","Fasta with y")</f>
        <v>Fasta with y</v>
      </c>
      <c r="AG41" s="75" t="s">
        <v>2772</v>
      </c>
      <c r="AH41" s="75" t="s">
        <v>2772</v>
      </c>
      <c r="AI41" s="75" t="s">
        <v>2772</v>
      </c>
      <c r="AJ41" s="75">
        <v>2</v>
      </c>
      <c r="AK41" s="75" t="s">
        <v>2772</v>
      </c>
      <c r="AL41" s="75" t="s">
        <v>2772</v>
      </c>
      <c r="AM41" s="75" t="s">
        <v>2772</v>
      </c>
      <c r="AN41" s="75" t="s">
        <v>2772</v>
      </c>
      <c r="AO41" s="78" t="str">
        <f>HYPERLINK(".\links\AAM-CEMENT-2018\EEC06076.1-AAM-CEMENT-2018.txt","Extracted CDS")</f>
        <v>Extracted CDS</v>
      </c>
      <c r="AP41" s="75" t="str">
        <f>HYPERLINK("http://www.ncbi.nlm.nih.gov/sutils/blink.cgi?pid=Aam-178493","0.0")</f>
        <v>0.0</v>
      </c>
      <c r="AQ41" s="75" t="str">
        <f>HYPERLINK("http://www.ncbi.nlm.nih.gov/protein/Aam-178493","Aam-178493")</f>
        <v>Aam-178493</v>
      </c>
      <c r="AR41" s="75">
        <v>593</v>
      </c>
      <c r="AS41" s="75">
        <v>296</v>
      </c>
      <c r="AT41" s="75">
        <v>446</v>
      </c>
      <c r="AU41" s="75">
        <v>97</v>
      </c>
      <c r="AV41" s="75">
        <v>99</v>
      </c>
      <c r="AW41" s="75">
        <v>66</v>
      </c>
      <c r="AX41" s="75">
        <v>8</v>
      </c>
      <c r="AY41" s="75">
        <v>0</v>
      </c>
      <c r="AZ41" s="75">
        <v>151</v>
      </c>
      <c r="BA41" s="75">
        <v>5</v>
      </c>
      <c r="BB41" s="75">
        <v>1</v>
      </c>
      <c r="BC41" s="75" t="s">
        <v>2775</v>
      </c>
      <c r="BD41" s="78" t="str">
        <f>HYPERLINK(".\links\CDD\EEC06076.1-CDD.txt","PLN00220 tubulin beta chain")</f>
        <v>PLN00220 tubulin beta chain</v>
      </c>
      <c r="BE41" s="75">
        <v>0</v>
      </c>
      <c r="BF41" s="75">
        <v>63.5</v>
      </c>
      <c r="BG41" s="75" t="s">
        <v>2972</v>
      </c>
      <c r="BH41" s="75" t="s">
        <v>2973</v>
      </c>
      <c r="BI41" s="75" t="str">
        <f>HYPERLINK(".\links\KOG\EEC06076.1-KOG.txt","CDD:227356 COG5023, COG5023, Tubulin")</f>
        <v>CDD:227356 COG5023, COG5023, Tubulin</v>
      </c>
      <c r="BJ41" s="79">
        <v>9E-175</v>
      </c>
      <c r="BK41" s="75">
        <v>64.599999999999994</v>
      </c>
      <c r="BL41" s="75" t="s">
        <v>2974</v>
      </c>
      <c r="BM41" s="75" t="s">
        <v>2779</v>
      </c>
      <c r="BN41" s="78" t="str">
        <f>HYPERLINK(".\links\PFAM\EEC06076.1-PFAM.txt","Tubulin_C Tubulin C-terminal domain")</f>
        <v>Tubulin_C Tubulin C-terminal domain</v>
      </c>
      <c r="BO41" s="79">
        <v>1.0000000000000001E-63</v>
      </c>
      <c r="BP41" s="75">
        <v>100</v>
      </c>
      <c r="BQ41" s="75" t="s">
        <v>2975</v>
      </c>
      <c r="BR41" s="75" t="s">
        <v>2772</v>
      </c>
      <c r="BS41" s="78" t="str">
        <f>HYPERLINK(".\links\SMART\EEC06076.1-SMART.txt","CDD:214868 smart00865, Tubulin_C, Tubulin/FtsZ family, C-terminal domain")</f>
        <v>CDD:214868 smart00865, Tubulin_C, Tubulin/FtsZ family, C-terminal domain</v>
      </c>
      <c r="BT41" s="79">
        <v>4.0000000000000002E-33</v>
      </c>
      <c r="BU41" s="75">
        <v>118.3</v>
      </c>
      <c r="BV41" s="75" t="s">
        <v>3001</v>
      </c>
      <c r="BW41" s="75" t="s">
        <v>2772</v>
      </c>
      <c r="BX41" s="78" t="str">
        <f>HYPERLINK(".\links\TSF\EEC06076.1-TSF.txt","30-79 30-79, Alpha2Macroblobulin||H|I")</f>
        <v>30-79 30-79, Alpha2Macroblobulin||H|I</v>
      </c>
      <c r="BY41" s="75">
        <v>0.52</v>
      </c>
      <c r="BZ41" s="75">
        <v>3.9</v>
      </c>
      <c r="CA41" s="75" t="s">
        <v>2977</v>
      </c>
      <c r="CB41" s="75" t="s">
        <v>2978</v>
      </c>
      <c r="CC41" s="75" t="s">
        <v>2772</v>
      </c>
      <c r="CD41" s="75" t="s">
        <v>2808</v>
      </c>
      <c r="CE41" s="75" t="s">
        <v>2979</v>
      </c>
      <c r="CF41" s="75">
        <f>HYPERLINK(".\links\cluster-b\Ixsc-cement-202225-50SimCLU2.txt", 2)</f>
        <v>2</v>
      </c>
      <c r="CG41" s="75">
        <f>HYPERLINK(".\links\cluster-b\Ixsc-cement-202225-50SimCLTL2.txt", 13)</f>
        <v>13</v>
      </c>
      <c r="CH41" s="75">
        <f>HYPERLINK(".\links\cluster-b\Ixsc-cement-202230-50SimCLU2.txt", 2)</f>
        <v>2</v>
      </c>
      <c r="CI41" s="75">
        <f>HYPERLINK(".\links\cluster-b\Ixsc-cement-202230-50SimCLTL2.txt", 12)</f>
        <v>12</v>
      </c>
      <c r="CJ41" s="75">
        <f>HYPERLINK(".\links\cluster-b\Ixsc-cement-202235-50SimCLU2.txt", 2)</f>
        <v>2</v>
      </c>
      <c r="CK41" s="75">
        <f>HYPERLINK(".\links\cluster-b\Ixsc-cement-202235-50SimCLTL2.txt", 12)</f>
        <v>12</v>
      </c>
      <c r="CL41" s="75">
        <f>HYPERLINK(".\links\cluster-b\Ixsc-cement-202240-50SimCLU1.txt", 1)</f>
        <v>1</v>
      </c>
      <c r="CM41" s="75">
        <f>HYPERLINK(".\links\cluster-b\Ixsc-cement-202240-50SimCLTL1.txt", 12)</f>
        <v>12</v>
      </c>
      <c r="CN41" s="75">
        <f>HYPERLINK(".\links\cluster-b\Ixsc-cement-202245-50SimCLU1.txt", 1)</f>
        <v>1</v>
      </c>
      <c r="CO41" s="75">
        <f>HYPERLINK(".\links\cluster-b\Ixsc-cement-202245-50SimCLTL1.txt", 11)</f>
        <v>11</v>
      </c>
      <c r="CP41" s="75">
        <f>HYPERLINK(".\links\cluster-b\Ixsc-cement-202250-50SimCLU1.txt", 1)</f>
        <v>1</v>
      </c>
      <c r="CQ41" s="75">
        <f>HYPERLINK(".\links\cluster-b\Ixsc-cement-202250-50SimCLTL1.txt", 10)</f>
        <v>10</v>
      </c>
      <c r="CR41" s="75">
        <f>HYPERLINK(".\links\cluster-b\Ixsc-cement-202255-50SimCLU1.txt", 1)</f>
        <v>1</v>
      </c>
      <c r="CS41" s="75">
        <f>HYPERLINK(".\links\cluster-b\Ixsc-cement-202255-50SimCLTL1.txt", 10)</f>
        <v>10</v>
      </c>
      <c r="CT41" s="75">
        <f>HYPERLINK(".\links\cluster-b\Ixsc-cement-202260-50SimCLU5.txt", 5)</f>
        <v>5</v>
      </c>
      <c r="CU41" s="75">
        <f>HYPERLINK(".\links\cluster-b\Ixsc-cement-202260-50SimCLTL5.txt", 4)</f>
        <v>4</v>
      </c>
      <c r="CV41" s="75">
        <f>HYPERLINK(".\links\cluster-b\Ixsc-cement-202265-50SimCLU4.txt", 4)</f>
        <v>4</v>
      </c>
      <c r="CW41" s="75">
        <f>HYPERLINK(".\links\cluster-b\Ixsc-cement-202265-50SimCLTL4.txt", 4)</f>
        <v>4</v>
      </c>
      <c r="CX41" s="75">
        <v>53</v>
      </c>
      <c r="CY41" s="75">
        <v>1</v>
      </c>
      <c r="CZ41" s="75">
        <v>55</v>
      </c>
      <c r="DA41" s="75">
        <v>1</v>
      </c>
      <c r="DB41" s="75">
        <v>56</v>
      </c>
      <c r="DC41" s="75">
        <v>1</v>
      </c>
      <c r="DD41" s="75">
        <v>57</v>
      </c>
      <c r="DE41" s="75">
        <v>1</v>
      </c>
      <c r="DF41" s="75">
        <v>57</v>
      </c>
      <c r="DG41" s="75">
        <v>1</v>
      </c>
      <c r="DH41" s="75">
        <v>58</v>
      </c>
      <c r="DI41" s="75">
        <v>1</v>
      </c>
      <c r="DJ41" s="75" t="s">
        <v>199</v>
      </c>
      <c r="DK41" s="75" t="str">
        <f>HYPERLINK(".\links\AAM-CEMENT-2018\EEC06076.1-AAM-CEMENT-2018.txt","Extracted CDS")</f>
        <v>Extracted CDS</v>
      </c>
      <c r="DL41" s="75" t="str">
        <f>HYPERLINK("http://www.ncbi.nlm.nih.gov/sutils/blink.cgi?pid=Aam-178493","0.0")</f>
        <v>0.0</v>
      </c>
      <c r="DM41" s="75" t="str">
        <f>HYPERLINK("http://www.ncbi.nlm.nih.gov/protein/Aam-178493","Aam-178493")</f>
        <v>Aam-178493</v>
      </c>
      <c r="DN41" s="75">
        <v>593</v>
      </c>
      <c r="DO41" s="75">
        <v>296</v>
      </c>
      <c r="DP41" s="75">
        <v>446</v>
      </c>
      <c r="DQ41" s="75">
        <v>97</v>
      </c>
      <c r="DR41" s="75">
        <v>99</v>
      </c>
      <c r="DS41" s="75">
        <v>66</v>
      </c>
      <c r="DT41" s="75">
        <v>8</v>
      </c>
      <c r="DU41" s="75">
        <v>0</v>
      </c>
      <c r="DV41" s="75">
        <v>151</v>
      </c>
      <c r="DW41" s="75">
        <v>5</v>
      </c>
      <c r="DX41" s="75">
        <v>1</v>
      </c>
      <c r="DY41" s="75" t="s">
        <v>2775</v>
      </c>
      <c r="DZ41" s="75" t="str">
        <f>HYPERLINK(".\links\CDD\EEC06076.1-CDD.txt","PLN00220 tubulin beta chain")</f>
        <v>PLN00220 tubulin beta chain</v>
      </c>
      <c r="EA41" s="75">
        <v>0</v>
      </c>
      <c r="EB41" s="75">
        <v>63.5</v>
      </c>
      <c r="EC41" s="75" t="s">
        <v>2972</v>
      </c>
      <c r="ED41" s="75" t="s">
        <v>2973</v>
      </c>
      <c r="EE41" s="75" t="str">
        <f>HYPERLINK(".\links\KOG\EEC06076.1-KOG.txt","CDD:227356 COG5023, COG5023, Tubulin")</f>
        <v>CDD:227356 COG5023, COG5023, Tubulin</v>
      </c>
      <c r="EF41" s="79">
        <v>9E-175</v>
      </c>
      <c r="EG41" s="75">
        <v>64.599999999999994</v>
      </c>
      <c r="EH41" s="75" t="s">
        <v>2974</v>
      </c>
      <c r="EI41" s="75" t="s">
        <v>2779</v>
      </c>
      <c r="EJ41" s="75" t="str">
        <f>HYPERLINK(".\links\PFAM\EEC06076.1-PFAM.txt","Tubulin_C Tubulin C-terminal domain")</f>
        <v>Tubulin_C Tubulin C-terminal domain</v>
      </c>
      <c r="EK41" s="79">
        <v>1.0000000000000001E-63</v>
      </c>
      <c r="EL41" s="75">
        <v>100</v>
      </c>
      <c r="EM41" s="75" t="s">
        <v>2975</v>
      </c>
      <c r="EN41" s="75" t="s">
        <v>2772</v>
      </c>
      <c r="EO41" s="75" t="str">
        <f>HYPERLINK(".\links\SMART\EEC06076.1-SMART.txt","CDD:214868 smart00865, Tubulin_C, Tubulin/FtsZ family, C-terminal domain")</f>
        <v>CDD:214868 smart00865, Tubulin_C, Tubulin/FtsZ family, C-terminal domain</v>
      </c>
      <c r="EP41" s="79">
        <v>4.0000000000000002E-33</v>
      </c>
      <c r="EQ41" s="75">
        <v>118.3</v>
      </c>
      <c r="ER41" s="75" t="s">
        <v>3001</v>
      </c>
      <c r="ES41" s="75" t="s">
        <v>2772</v>
      </c>
      <c r="ET41" s="75" t="str">
        <f>HYPERLINK(".\links\TSF\EEC06076.1-TSF.txt","30-79 30-79, Alpha2Macroblobulin||H|I")</f>
        <v>30-79 30-79, Alpha2Macroblobulin||H|I</v>
      </c>
      <c r="EU41" s="75">
        <v>0.52</v>
      </c>
      <c r="EV41" s="75">
        <v>3.9</v>
      </c>
      <c r="EW41" s="75" t="s">
        <v>2977</v>
      </c>
      <c r="EX41" s="75" t="s">
        <v>2978</v>
      </c>
      <c r="EY41" s="75" t="s">
        <v>2772</v>
      </c>
      <c r="EZ41" s="75" t="s">
        <v>2808</v>
      </c>
      <c r="FA41" s="75" t="s">
        <v>2979</v>
      </c>
    </row>
    <row r="42" spans="1:157" x14ac:dyDescent="0.2">
      <c r="A42" s="75" t="str">
        <f>HYPERLINK(".\links\PEP\EEC05710.1-PEP.txt","EEC05710.1")</f>
        <v>EEC05710.1</v>
      </c>
      <c r="B42" s="75" t="s">
        <v>2768</v>
      </c>
      <c r="C42" s="75">
        <v>499</v>
      </c>
      <c r="D42" s="75" t="s">
        <v>2987</v>
      </c>
      <c r="E42" s="76" t="s">
        <v>48</v>
      </c>
      <c r="F42" s="75" t="s">
        <v>2771</v>
      </c>
      <c r="G42" s="75" t="str">
        <f>HYPERLINK(".\links\Sigp\EEC05710.1-SigP.txt","CYT")</f>
        <v>CYT</v>
      </c>
      <c r="H42" s="75" t="s">
        <v>2772</v>
      </c>
      <c r="I42" s="75">
        <v>55.026000000000003</v>
      </c>
      <c r="J42" s="75">
        <v>5.5</v>
      </c>
      <c r="K42" s="75" t="s">
        <v>2772</v>
      </c>
      <c r="L42" s="75" t="s">
        <v>2772</v>
      </c>
      <c r="M42" s="75" t="str">
        <f>HYPERLINK(".\links\netoglyc\EEC05710.1-netoglyc.txt","2")</f>
        <v>2</v>
      </c>
      <c r="N42" s="75" t="s">
        <v>3002</v>
      </c>
      <c r="O42" s="75">
        <v>499</v>
      </c>
      <c r="P42" s="75">
        <v>0</v>
      </c>
      <c r="Q42" s="75" t="s">
        <v>2772</v>
      </c>
      <c r="R42" s="75" t="s">
        <v>2772</v>
      </c>
      <c r="S42" s="75" t="s">
        <v>2772</v>
      </c>
      <c r="T42" s="75" t="s">
        <v>2772</v>
      </c>
      <c r="U42" s="75" t="s">
        <v>2772</v>
      </c>
      <c r="V42" s="75" t="s">
        <v>2772</v>
      </c>
      <c r="W42" s="75">
        <v>11.8</v>
      </c>
      <c r="X42" s="75">
        <v>7.7</v>
      </c>
      <c r="Y42" s="75">
        <v>4.5</v>
      </c>
      <c r="Z42" s="75" t="s">
        <v>2774</v>
      </c>
      <c r="AA42" s="77">
        <v>12.4248496993988</v>
      </c>
      <c r="AB42" s="75">
        <v>0.15</v>
      </c>
      <c r="AD42" s="75">
        <v>14</v>
      </c>
      <c r="AE42" s="75" t="str">
        <f>HYPERLINK(".\links\pep\EEC05710.1-sulf.txt","1")</f>
        <v>1</v>
      </c>
      <c r="AF42" s="75" t="str">
        <f>HYPERLINK(".\links\pep\EEC05710.1-tyr-sulf.txt","Fasta with y")</f>
        <v>Fasta with y</v>
      </c>
      <c r="AG42" s="75" t="s">
        <v>2772</v>
      </c>
      <c r="AH42" s="75" t="s">
        <v>2772</v>
      </c>
      <c r="AI42" s="75" t="s">
        <v>2772</v>
      </c>
      <c r="AJ42" s="75">
        <v>1</v>
      </c>
      <c r="AK42" s="75" t="s">
        <v>2772</v>
      </c>
      <c r="AL42" s="75" t="s">
        <v>2772</v>
      </c>
      <c r="AM42" s="75" t="s">
        <v>2772</v>
      </c>
      <c r="AN42" s="75" t="s">
        <v>2772</v>
      </c>
      <c r="AO42" s="78" t="str">
        <f>HYPERLINK(".\links\AAM-CEMENT-2018\EEC05710.1-AAM-CEMENT-2018.txt","Extracted CDS")</f>
        <v>Extracted CDS</v>
      </c>
      <c r="AP42" s="75" t="str">
        <f>HYPERLINK("http://www.ncbi.nlm.nih.gov/sutils/blink.cgi?pid=Aam-1369","0.0")</f>
        <v>0.0</v>
      </c>
      <c r="AQ42" s="75" t="str">
        <f>HYPERLINK("http://www.ncbi.nlm.nih.gov/protein/Aam-1369","Aam-1369")</f>
        <v>Aam-1369</v>
      </c>
      <c r="AR42" s="75">
        <v>904</v>
      </c>
      <c r="AS42" s="75">
        <v>453</v>
      </c>
      <c r="AT42" s="75">
        <v>458</v>
      </c>
      <c r="AU42" s="75">
        <v>96</v>
      </c>
      <c r="AV42" s="75">
        <v>98</v>
      </c>
      <c r="AW42" s="75">
        <v>99</v>
      </c>
      <c r="AX42" s="75">
        <v>14</v>
      </c>
      <c r="AY42" s="75">
        <v>0</v>
      </c>
      <c r="AZ42" s="75">
        <v>6</v>
      </c>
      <c r="BA42" s="75">
        <v>47</v>
      </c>
      <c r="BB42" s="75">
        <v>1</v>
      </c>
      <c r="BC42" s="75" t="s">
        <v>2775</v>
      </c>
      <c r="BD42" s="78" t="str">
        <f>HYPERLINK(".\links\CDD\EEC05710.1-CDD.txt","PTZ00335 tubulin alpha chain")</f>
        <v>PTZ00335 tubulin alpha chain</v>
      </c>
      <c r="BE42" s="75">
        <v>0</v>
      </c>
      <c r="BF42" s="75">
        <v>100</v>
      </c>
      <c r="BG42" s="75" t="s">
        <v>2982</v>
      </c>
      <c r="BH42" s="75" t="s">
        <v>2983</v>
      </c>
      <c r="BI42" s="75" t="str">
        <f>HYPERLINK(".\links\KOG\EEC05710.1-KOG.txt","CDD:227356 COG5023, COG5023, Tubulin")</f>
        <v>CDD:227356 COG5023, COG5023, Tubulin</v>
      </c>
      <c r="BJ42" s="75">
        <v>0</v>
      </c>
      <c r="BK42" s="75">
        <v>101.6</v>
      </c>
      <c r="BL42" s="75" t="s">
        <v>2974</v>
      </c>
      <c r="BM42" s="75" t="s">
        <v>2779</v>
      </c>
      <c r="BN42" s="78" t="str">
        <f>HYPERLINK(".\links\PFAM\EEC05710.1-PFAM.txt","Tubulin_C Tubulin C-terminal domain")</f>
        <v>Tubulin_C Tubulin C-terminal domain</v>
      </c>
      <c r="BO42" s="79">
        <v>3.0000000000000002E-77</v>
      </c>
      <c r="BP42" s="75">
        <v>104</v>
      </c>
      <c r="BQ42" s="75" t="s">
        <v>2975</v>
      </c>
      <c r="BR42" s="75" t="s">
        <v>2772</v>
      </c>
      <c r="BS42" s="78" t="str">
        <f>HYPERLINK(".\links\SMART\EEC05710.1-SMART.txt","CDD:214867 smart00864, Tubulin, Tubulin/FtsZ family, GTPase domain")</f>
        <v>CDD:214867 smart00864, Tubulin, Tubulin/FtsZ family, GTPase domain</v>
      </c>
      <c r="BT42" s="79">
        <v>1.9999999999999999E-67</v>
      </c>
      <c r="BU42" s="75">
        <v>112</v>
      </c>
      <c r="BV42" s="75" t="s">
        <v>2976</v>
      </c>
      <c r="BW42" s="75" t="s">
        <v>2772</v>
      </c>
      <c r="BX42" s="78" t="str">
        <f>HYPERLINK(".\links\TSF\EEC05710.1-TSF.txt","40-530 40-530, Lipocalin||S|")</f>
        <v>40-530 40-530, Lipocalin||S|</v>
      </c>
      <c r="BY42" s="75">
        <v>0.03</v>
      </c>
      <c r="BZ42" s="75">
        <v>38.4</v>
      </c>
      <c r="CA42" s="75" t="s">
        <v>3003</v>
      </c>
      <c r="CB42" s="75" t="s">
        <v>3004</v>
      </c>
      <c r="CC42" s="75" t="s">
        <v>2772</v>
      </c>
      <c r="CD42" s="75" t="s">
        <v>2785</v>
      </c>
      <c r="CE42" s="75" t="s">
        <v>3005</v>
      </c>
      <c r="CF42" s="75">
        <f>HYPERLINK(".\links\cluster-b\Ixsc-cement-202225-50SimCLU2.txt", 2)</f>
        <v>2</v>
      </c>
      <c r="CG42" s="75">
        <f>HYPERLINK(".\links\cluster-b\Ixsc-cement-202225-50SimCLTL2.txt", 13)</f>
        <v>13</v>
      </c>
      <c r="CH42" s="75">
        <f>HYPERLINK(".\links\cluster-b\Ixsc-cement-202230-50SimCLU2.txt", 2)</f>
        <v>2</v>
      </c>
      <c r="CI42" s="75">
        <f>HYPERLINK(".\links\cluster-b\Ixsc-cement-202230-50SimCLTL2.txt", 12)</f>
        <v>12</v>
      </c>
      <c r="CJ42" s="75">
        <f>HYPERLINK(".\links\cluster-b\Ixsc-cement-202235-50SimCLU2.txt", 2)</f>
        <v>2</v>
      </c>
      <c r="CK42" s="75">
        <f>HYPERLINK(".\links\cluster-b\Ixsc-cement-202235-50SimCLTL2.txt", 12)</f>
        <v>12</v>
      </c>
      <c r="CL42" s="75">
        <f>HYPERLINK(".\links\cluster-b\Ixsc-cement-202240-50SimCLU1.txt", 1)</f>
        <v>1</v>
      </c>
      <c r="CM42" s="75">
        <f>HYPERLINK(".\links\cluster-b\Ixsc-cement-202240-50SimCLTL1.txt", 12)</f>
        <v>12</v>
      </c>
      <c r="CN42" s="75">
        <f>HYPERLINK(".\links\cluster-b\Ixsc-cement-202245-50SimCLU1.txt", 1)</f>
        <v>1</v>
      </c>
      <c r="CO42" s="75">
        <f>HYPERLINK(".\links\cluster-b\Ixsc-cement-202245-50SimCLTL1.txt", 11)</f>
        <v>11</v>
      </c>
      <c r="CP42" s="75">
        <f>HYPERLINK(".\links\cluster-b\Ixsc-cement-202250-50SimCLU1.txt", 1)</f>
        <v>1</v>
      </c>
      <c r="CQ42" s="75">
        <f>HYPERLINK(".\links\cluster-b\Ixsc-cement-202250-50SimCLTL1.txt", 10)</f>
        <v>10</v>
      </c>
      <c r="CR42" s="75">
        <f>HYPERLINK(".\links\cluster-b\Ixsc-cement-202255-50SimCLU1.txt", 1)</f>
        <v>1</v>
      </c>
      <c r="CS42" s="75">
        <f>HYPERLINK(".\links\cluster-b\Ixsc-cement-202255-50SimCLTL1.txt", 10)</f>
        <v>10</v>
      </c>
      <c r="CT42" s="75">
        <f>HYPERLINK(".\links\cluster-b\Ixsc-cement-202260-50SimCLU2.txt", 2)</f>
        <v>2</v>
      </c>
      <c r="CU42" s="75">
        <f>HYPERLINK(".\links\cluster-b\Ixsc-cement-202260-50SimCLTL2.txt", 6)</f>
        <v>6</v>
      </c>
      <c r="CV42" s="75">
        <f>HYPERLINK(".\links\cluster-b\Ixsc-cement-202265-50SimCLU2.txt", 2)</f>
        <v>2</v>
      </c>
      <c r="CW42" s="75">
        <f>HYPERLINK(".\links\cluster-b\Ixsc-cement-202265-50SimCLTL2.txt", 5)</f>
        <v>5</v>
      </c>
      <c r="CX42" s="75">
        <f>HYPERLINK(".\links\cluster-b\Ixsc-cement-202270-50SimCLU3.txt", 3)</f>
        <v>3</v>
      </c>
      <c r="CY42" s="75">
        <f>HYPERLINK(".\links\cluster-b\Ixsc-cement-202270-50SimCLTL3.txt", 4)</f>
        <v>4</v>
      </c>
      <c r="CZ42" s="75">
        <f>HYPERLINK(".\links\cluster-b\Ixsc-cement-202275-50SimCLU3.txt", 3)</f>
        <v>3</v>
      </c>
      <c r="DA42" s="75">
        <f>HYPERLINK(".\links\cluster-b\Ixsc-cement-202275-50SimCLTL3.txt", 4)</f>
        <v>4</v>
      </c>
      <c r="DB42" s="75">
        <f>HYPERLINK(".\links\cluster-b\Ixsc-cement-202280-50SimCLU2.txt", 2)</f>
        <v>2</v>
      </c>
      <c r="DC42" s="75">
        <f>HYPERLINK(".\links\cluster-b\Ixsc-cement-202280-50SimCLTL2.txt", 4)</f>
        <v>4</v>
      </c>
      <c r="DD42" s="75">
        <f>HYPERLINK(".\links\cluster-b\Ixsc-cement-202285-50SimCLU1.txt", 1)</f>
        <v>1</v>
      </c>
      <c r="DE42" s="75">
        <f>HYPERLINK(".\links\cluster-b\Ixsc-cement-202285-50SimCLTL1.txt", 4)</f>
        <v>4</v>
      </c>
      <c r="DF42" s="75">
        <v>53</v>
      </c>
      <c r="DG42" s="75">
        <v>1</v>
      </c>
      <c r="DH42" s="75">
        <v>54</v>
      </c>
      <c r="DI42" s="75">
        <v>1</v>
      </c>
      <c r="DJ42" s="75" t="s">
        <v>197</v>
      </c>
      <c r="DK42" s="75" t="str">
        <f>HYPERLINK(".\links\AAM-CEMENT-2018\EEC05710.1-AAM-CEMENT-2018.txt","Extracted CDS")</f>
        <v>Extracted CDS</v>
      </c>
      <c r="DL42" s="75" t="str">
        <f>HYPERLINK("http://www.ncbi.nlm.nih.gov/sutils/blink.cgi?pid=Aam-1369","0.0")</f>
        <v>0.0</v>
      </c>
      <c r="DM42" s="75" t="str">
        <f>HYPERLINK("http://www.ncbi.nlm.nih.gov/protein/Aam-1369","Aam-1369")</f>
        <v>Aam-1369</v>
      </c>
      <c r="DN42" s="75">
        <v>904</v>
      </c>
      <c r="DO42" s="75">
        <v>453</v>
      </c>
      <c r="DP42" s="75">
        <v>458</v>
      </c>
      <c r="DQ42" s="75">
        <v>96</v>
      </c>
      <c r="DR42" s="75">
        <v>98</v>
      </c>
      <c r="DS42" s="75">
        <v>99</v>
      </c>
      <c r="DT42" s="75">
        <v>14</v>
      </c>
      <c r="DU42" s="75">
        <v>0</v>
      </c>
      <c r="DV42" s="75">
        <v>6</v>
      </c>
      <c r="DW42" s="75">
        <v>47</v>
      </c>
      <c r="DX42" s="75">
        <v>1</v>
      </c>
      <c r="DY42" s="75" t="s">
        <v>2775</v>
      </c>
      <c r="DZ42" s="75" t="str">
        <f>HYPERLINK(".\links\CDD\EEC05710.1-CDD.txt","PTZ00335 tubulin alpha chain")</f>
        <v>PTZ00335 tubulin alpha chain</v>
      </c>
      <c r="EA42" s="75">
        <v>0</v>
      </c>
      <c r="EB42" s="75">
        <v>100</v>
      </c>
      <c r="EC42" s="75" t="s">
        <v>2982</v>
      </c>
      <c r="ED42" s="75" t="s">
        <v>2983</v>
      </c>
      <c r="EE42" s="75" t="str">
        <f>HYPERLINK(".\links\KOG\EEC05710.1-KOG.txt","CDD:227356 COG5023, COG5023, Tubulin")</f>
        <v>CDD:227356 COG5023, COG5023, Tubulin</v>
      </c>
      <c r="EF42" s="75">
        <v>0</v>
      </c>
      <c r="EG42" s="75">
        <v>101.6</v>
      </c>
      <c r="EH42" s="75" t="s">
        <v>2974</v>
      </c>
      <c r="EI42" s="75" t="s">
        <v>2779</v>
      </c>
      <c r="EJ42" s="75" t="str">
        <f>HYPERLINK(".\links\PFAM\EEC05710.1-PFAM.txt","Tubulin_C Tubulin C-terminal domain")</f>
        <v>Tubulin_C Tubulin C-terminal domain</v>
      </c>
      <c r="EK42" s="79">
        <v>3.0000000000000002E-77</v>
      </c>
      <c r="EL42" s="75">
        <v>104</v>
      </c>
      <c r="EM42" s="75" t="s">
        <v>2975</v>
      </c>
      <c r="EN42" s="75" t="s">
        <v>2772</v>
      </c>
      <c r="EO42" s="75" t="str">
        <f>HYPERLINK(".\links\SMART\EEC05710.1-SMART.txt","CDD:214867 smart00864, Tubulin, Tubulin/FtsZ family, GTPase domain")</f>
        <v>CDD:214867 smart00864, Tubulin, Tubulin/FtsZ family, GTPase domain</v>
      </c>
      <c r="EP42" s="79">
        <v>1.9999999999999999E-67</v>
      </c>
      <c r="EQ42" s="75">
        <v>112</v>
      </c>
      <c r="ER42" s="75" t="s">
        <v>2976</v>
      </c>
      <c r="ES42" s="75" t="s">
        <v>2772</v>
      </c>
      <c r="ET42" s="75" t="str">
        <f>HYPERLINK(".\links\TSF\EEC05710.1-TSF.txt","40-530 40-530, Lipocalin||S|")</f>
        <v>40-530 40-530, Lipocalin||S|</v>
      </c>
      <c r="EU42" s="75">
        <v>0.03</v>
      </c>
      <c r="EV42" s="75">
        <v>38.4</v>
      </c>
      <c r="EW42" s="75" t="s">
        <v>3003</v>
      </c>
      <c r="EX42" s="75" t="s">
        <v>3004</v>
      </c>
      <c r="EY42" s="75" t="s">
        <v>2772</v>
      </c>
      <c r="EZ42" s="75" t="s">
        <v>2785</v>
      </c>
      <c r="FA42" s="75" t="s">
        <v>3005</v>
      </c>
    </row>
    <row r="43" spans="1:157" x14ac:dyDescent="0.2">
      <c r="A43" s="75" t="str">
        <f>HYPERLINK(".\links\PEP\EEC08136.1-PEP.txt","EEC08136.1")</f>
        <v>EEC08136.1</v>
      </c>
      <c r="B43" s="75" t="s">
        <v>2768</v>
      </c>
      <c r="C43" s="75">
        <v>271</v>
      </c>
      <c r="D43" s="75" t="s">
        <v>2987</v>
      </c>
      <c r="E43" s="76" t="s">
        <v>48</v>
      </c>
      <c r="F43" s="75" t="s">
        <v>2771</v>
      </c>
      <c r="G43" s="75" t="str">
        <f>HYPERLINK(".\links\Sigp\EEC08136.1-SigP.txt","CYT")</f>
        <v>CYT</v>
      </c>
      <c r="H43" s="75" t="s">
        <v>2772</v>
      </c>
      <c r="I43" s="75">
        <v>30.786999999999999</v>
      </c>
      <c r="J43" s="75">
        <v>8.94</v>
      </c>
      <c r="K43" s="75" t="s">
        <v>2772</v>
      </c>
      <c r="L43" s="75" t="s">
        <v>2772</v>
      </c>
      <c r="M43" s="75" t="str">
        <f>HYPERLINK(".\links\netoglyc\EEC08136.1-netoglyc.txt","0")</f>
        <v>0</v>
      </c>
      <c r="N43" s="75" t="s">
        <v>2971</v>
      </c>
      <c r="O43" s="75">
        <v>271</v>
      </c>
      <c r="P43" s="75">
        <v>0</v>
      </c>
      <c r="Q43" s="75" t="s">
        <v>2772</v>
      </c>
      <c r="R43" s="75" t="s">
        <v>2772</v>
      </c>
      <c r="S43" s="75" t="s">
        <v>2772</v>
      </c>
      <c r="T43" s="75" t="s">
        <v>2772</v>
      </c>
      <c r="U43" s="75" t="s">
        <v>2772</v>
      </c>
      <c r="V43" s="75" t="s">
        <v>2772</v>
      </c>
      <c r="W43" s="75">
        <v>10.5</v>
      </c>
      <c r="X43" s="75">
        <v>8</v>
      </c>
      <c r="Y43" s="75">
        <v>4.7</v>
      </c>
      <c r="Z43" s="75" t="s">
        <v>2774</v>
      </c>
      <c r="AA43" s="77">
        <v>12.915129151291501</v>
      </c>
      <c r="AB43" s="75">
        <v>0.24</v>
      </c>
      <c r="AD43" s="75">
        <v>3</v>
      </c>
      <c r="AE43" s="75" t="s">
        <v>2772</v>
      </c>
      <c r="AF43" s="75" t="s">
        <v>2772</v>
      </c>
      <c r="AG43" s="75" t="s">
        <v>2772</v>
      </c>
      <c r="AH43" s="75" t="s">
        <v>2772</v>
      </c>
      <c r="AI43" s="75">
        <v>1</v>
      </c>
      <c r="AJ43" s="75">
        <v>2</v>
      </c>
      <c r="AK43" s="75" t="s">
        <v>2772</v>
      </c>
      <c r="AL43" s="75" t="s">
        <v>2772</v>
      </c>
      <c r="AM43" s="75" t="s">
        <v>2772</v>
      </c>
      <c r="AN43" s="75" t="s">
        <v>2772</v>
      </c>
      <c r="AO43" s="78" t="str">
        <f>HYPERLINK(".\links\AAM-CEMENT-2018\EEC08136.1-AAM-CEMENT-2018.txt","Extracted CDS")</f>
        <v>Extracted CDS</v>
      </c>
      <c r="AP43" s="75" t="str">
        <f>HYPERLINK("http://www.ncbi.nlm.nih.gov/sutils/blink.cgi?pid=Aam-179802","1E-105")</f>
        <v>1E-105</v>
      </c>
      <c r="AQ43" s="75" t="str">
        <f>HYPERLINK("http://www.ncbi.nlm.nih.gov/protein/Aam-179802","Aam-179802")</f>
        <v>Aam-179802</v>
      </c>
      <c r="AR43" s="75">
        <v>306</v>
      </c>
      <c r="AS43" s="75">
        <v>149</v>
      </c>
      <c r="AT43" s="75">
        <v>446</v>
      </c>
      <c r="AU43" s="75">
        <v>95</v>
      </c>
      <c r="AV43" s="75">
        <v>97</v>
      </c>
      <c r="AW43" s="75">
        <v>33</v>
      </c>
      <c r="AX43" s="75">
        <v>6</v>
      </c>
      <c r="AY43" s="75">
        <v>0</v>
      </c>
      <c r="AZ43" s="75">
        <v>250</v>
      </c>
      <c r="BA43" s="75">
        <v>120</v>
      </c>
      <c r="BB43" s="75">
        <v>1</v>
      </c>
      <c r="BC43" s="75" t="s">
        <v>2775</v>
      </c>
      <c r="BD43" s="78" t="str">
        <f>HYPERLINK(".\links\CDD\EEC08136.1-CDD.txt","PLN00220 tubulin beta chain")</f>
        <v>PLN00220 tubulin beta chain</v>
      </c>
      <c r="BE43" s="75">
        <v>0</v>
      </c>
      <c r="BF43" s="75">
        <v>89</v>
      </c>
      <c r="BG43" s="75" t="s">
        <v>2972</v>
      </c>
      <c r="BH43" s="75" t="s">
        <v>2973</v>
      </c>
      <c r="BI43" s="75" t="str">
        <f>HYPERLINK(".\links\KOG\EEC08136.1-KOG.txt","CDD:227356 COG5023, COG5023, Tubulin")</f>
        <v>CDD:227356 COG5023, COG5023, Tubulin</v>
      </c>
      <c r="BJ43" s="79">
        <v>7.9999999999999996E-144</v>
      </c>
      <c r="BK43" s="75">
        <v>91</v>
      </c>
      <c r="BL43" s="75" t="s">
        <v>2974</v>
      </c>
      <c r="BM43" s="75" t="s">
        <v>2779</v>
      </c>
      <c r="BN43" s="78" t="str">
        <f>HYPERLINK(".\links\PFAM\EEC08136.1-PFAM.txt","Tubulin_C Tubulin C-terminal domain")</f>
        <v>Tubulin_C Tubulin C-terminal domain</v>
      </c>
      <c r="BO43" s="79">
        <v>7.0000000000000003E-62</v>
      </c>
      <c r="BP43" s="75">
        <v>100</v>
      </c>
      <c r="BQ43" s="75" t="s">
        <v>2975</v>
      </c>
      <c r="BR43" s="75" t="s">
        <v>2772</v>
      </c>
      <c r="BS43" s="78" t="str">
        <f>HYPERLINK(".\links\SMART\EEC08136.1-SMART.txt","CDD:214868 smart00865, Tubulin_C, Tubulin/FtsZ family, C-terminal domain")</f>
        <v>CDD:214868 smart00865, Tubulin_C, Tubulin/FtsZ family, C-terminal domain</v>
      </c>
      <c r="BT43" s="79">
        <v>7.0000000000000006E-30</v>
      </c>
      <c r="BU43" s="75">
        <v>114.2</v>
      </c>
      <c r="BV43" s="75" t="s">
        <v>3001</v>
      </c>
      <c r="BW43" s="75" t="s">
        <v>2772</v>
      </c>
      <c r="BX43" s="78" t="str">
        <f>HYPERLINK(".\links\TSF\EEC08136.1-TSF.txt","35-252 35-252, GRP|Chitin binding|S|")</f>
        <v>35-252 35-252, GRP|Chitin binding|S|</v>
      </c>
      <c r="BY43" s="75">
        <v>0.28000000000000003</v>
      </c>
      <c r="BZ43" s="75">
        <v>48.2</v>
      </c>
      <c r="CA43" s="75" t="s">
        <v>3006</v>
      </c>
      <c r="CB43" s="75" t="s">
        <v>2863</v>
      </c>
      <c r="CC43" s="75" t="s">
        <v>2864</v>
      </c>
      <c r="CD43" s="75" t="s">
        <v>2785</v>
      </c>
      <c r="CE43" s="75" t="s">
        <v>3007</v>
      </c>
      <c r="CF43" s="75">
        <f>HYPERLINK(".\links\cluster-b\Ixsc-cement-202225-50SimCLU2.txt", 2)</f>
        <v>2</v>
      </c>
      <c r="CG43" s="75">
        <f>HYPERLINK(".\links\cluster-b\Ixsc-cement-202225-50SimCLTL2.txt", 13)</f>
        <v>13</v>
      </c>
      <c r="CH43" s="75">
        <v>41</v>
      </c>
      <c r="CI43" s="75">
        <v>1</v>
      </c>
      <c r="CJ43" s="75">
        <v>42</v>
      </c>
      <c r="CK43" s="75">
        <v>1</v>
      </c>
      <c r="CL43" s="75">
        <v>46</v>
      </c>
      <c r="CM43" s="75">
        <v>1</v>
      </c>
      <c r="CN43" s="75">
        <v>47</v>
      </c>
      <c r="CO43" s="75">
        <v>1</v>
      </c>
      <c r="CP43" s="75">
        <v>48</v>
      </c>
      <c r="CQ43" s="75">
        <v>1</v>
      </c>
      <c r="CR43" s="75">
        <v>49</v>
      </c>
      <c r="CS43" s="75">
        <v>1</v>
      </c>
      <c r="CT43" s="75">
        <v>53</v>
      </c>
      <c r="CU43" s="75">
        <v>1</v>
      </c>
      <c r="CV43" s="75">
        <v>55</v>
      </c>
      <c r="CW43" s="75">
        <v>1</v>
      </c>
      <c r="CX43" s="75">
        <v>59</v>
      </c>
      <c r="CY43" s="75">
        <v>1</v>
      </c>
      <c r="CZ43" s="75">
        <v>61</v>
      </c>
      <c r="DA43" s="75">
        <v>1</v>
      </c>
      <c r="DB43" s="75">
        <v>64</v>
      </c>
      <c r="DC43" s="75">
        <v>1</v>
      </c>
      <c r="DD43" s="75">
        <v>65</v>
      </c>
      <c r="DE43" s="75">
        <v>1</v>
      </c>
      <c r="DF43" s="75">
        <v>66</v>
      </c>
      <c r="DG43" s="75">
        <v>1</v>
      </c>
      <c r="DH43" s="75">
        <v>67</v>
      </c>
      <c r="DI43" s="75">
        <v>1</v>
      </c>
      <c r="DJ43" s="75" t="s">
        <v>200</v>
      </c>
      <c r="DK43" s="75" t="str">
        <f>HYPERLINK(".\links\AAM-CEMENT-2018\EEC08136.1-AAM-CEMENT-2018.txt","Extracted CDS")</f>
        <v>Extracted CDS</v>
      </c>
      <c r="DL43" s="75" t="str">
        <f>HYPERLINK("http://www.ncbi.nlm.nih.gov/sutils/blink.cgi?pid=Aam-179802","1E-105")</f>
        <v>1E-105</v>
      </c>
      <c r="DM43" s="75" t="str">
        <f>HYPERLINK("http://www.ncbi.nlm.nih.gov/protein/Aam-179802","Aam-179802")</f>
        <v>Aam-179802</v>
      </c>
      <c r="DN43" s="75">
        <v>306</v>
      </c>
      <c r="DO43" s="75">
        <v>149</v>
      </c>
      <c r="DP43" s="75">
        <v>446</v>
      </c>
      <c r="DQ43" s="75">
        <v>95</v>
      </c>
      <c r="DR43" s="75">
        <v>97</v>
      </c>
      <c r="DS43" s="75">
        <v>33</v>
      </c>
      <c r="DT43" s="75">
        <v>6</v>
      </c>
      <c r="DU43" s="75">
        <v>0</v>
      </c>
      <c r="DV43" s="75">
        <v>250</v>
      </c>
      <c r="DW43" s="75">
        <v>120</v>
      </c>
      <c r="DX43" s="75">
        <v>1</v>
      </c>
      <c r="DY43" s="75" t="s">
        <v>2775</v>
      </c>
      <c r="DZ43" s="75" t="str">
        <f>HYPERLINK(".\links\CDD\EEC08136.1-CDD.txt","PLN00220 tubulin beta chain")</f>
        <v>PLN00220 tubulin beta chain</v>
      </c>
      <c r="EA43" s="75">
        <v>0</v>
      </c>
      <c r="EB43" s="75">
        <v>89</v>
      </c>
      <c r="EC43" s="75" t="s">
        <v>2972</v>
      </c>
      <c r="ED43" s="75" t="s">
        <v>2973</v>
      </c>
      <c r="EE43" s="75" t="str">
        <f>HYPERLINK(".\links\KOG\EEC08136.1-KOG.txt","CDD:227356 COG5023, COG5023, Tubulin")</f>
        <v>CDD:227356 COG5023, COG5023, Tubulin</v>
      </c>
      <c r="EF43" s="79">
        <v>7.9999999999999996E-144</v>
      </c>
      <c r="EG43" s="75">
        <v>91</v>
      </c>
      <c r="EH43" s="75" t="s">
        <v>2974</v>
      </c>
      <c r="EI43" s="75" t="s">
        <v>2779</v>
      </c>
      <c r="EJ43" s="75" t="str">
        <f>HYPERLINK(".\links\PFAM\EEC08136.1-PFAM.txt","Tubulin_C Tubulin C-terminal domain")</f>
        <v>Tubulin_C Tubulin C-terminal domain</v>
      </c>
      <c r="EK43" s="79">
        <v>7.0000000000000003E-62</v>
      </c>
      <c r="EL43" s="75">
        <v>100</v>
      </c>
      <c r="EM43" s="75" t="s">
        <v>2975</v>
      </c>
      <c r="EN43" s="75" t="s">
        <v>2772</v>
      </c>
      <c r="EO43" s="75" t="str">
        <f>HYPERLINK(".\links\SMART\EEC08136.1-SMART.txt","CDD:214868 smart00865, Tubulin_C, Tubulin/FtsZ family, C-terminal domain")</f>
        <v>CDD:214868 smart00865, Tubulin_C, Tubulin/FtsZ family, C-terminal domain</v>
      </c>
      <c r="EP43" s="79">
        <v>7.0000000000000006E-30</v>
      </c>
      <c r="EQ43" s="75">
        <v>114.2</v>
      </c>
      <c r="ER43" s="75" t="s">
        <v>3001</v>
      </c>
      <c r="ES43" s="75" t="s">
        <v>2772</v>
      </c>
      <c r="ET43" s="75" t="str">
        <f>HYPERLINK(".\links\TSF\EEC08136.1-TSF.txt","35-252 35-252, GRP|Chitin binding|S|")</f>
        <v>35-252 35-252, GRP|Chitin binding|S|</v>
      </c>
      <c r="EU43" s="75">
        <v>0.28000000000000003</v>
      </c>
      <c r="EV43" s="75">
        <v>48.2</v>
      </c>
      <c r="EW43" s="75" t="s">
        <v>3006</v>
      </c>
      <c r="EX43" s="75" t="s">
        <v>2863</v>
      </c>
      <c r="EY43" s="75" t="s">
        <v>2864</v>
      </c>
      <c r="EZ43" s="75" t="s">
        <v>2785</v>
      </c>
      <c r="FA43" s="75" t="s">
        <v>3007</v>
      </c>
    </row>
    <row r="44" spans="1:157" x14ac:dyDescent="0.2">
      <c r="A44" s="75" t="str">
        <f>HYPERLINK(".\links\PEP\EEC02794.1-PEP.txt","EEC02794.1")</f>
        <v>EEC02794.1</v>
      </c>
      <c r="B44" s="75" t="s">
        <v>2768</v>
      </c>
      <c r="C44" s="75">
        <v>634</v>
      </c>
      <c r="D44" s="75" t="s">
        <v>2987</v>
      </c>
      <c r="E44" s="76" t="s">
        <v>48</v>
      </c>
      <c r="F44" s="75" t="s">
        <v>2771</v>
      </c>
      <c r="G44" s="75" t="str">
        <f>HYPERLINK(".\links\Sigp\EEC02794.1-SigP.txt","CYT")</f>
        <v>CYT</v>
      </c>
      <c r="H44" s="75" t="s">
        <v>2772</v>
      </c>
      <c r="I44" s="75">
        <v>70.635000000000005</v>
      </c>
      <c r="J44" s="75">
        <v>5.22</v>
      </c>
      <c r="K44" s="75" t="s">
        <v>2772</v>
      </c>
      <c r="L44" s="75" t="s">
        <v>2772</v>
      </c>
      <c r="M44" s="75" t="str">
        <f>HYPERLINK(".\links\netoglyc\EEC02794.1-netoglyc.txt","3")</f>
        <v>3</v>
      </c>
      <c r="N44" s="75" t="s">
        <v>3008</v>
      </c>
      <c r="O44" s="75">
        <v>634</v>
      </c>
      <c r="P44" s="75">
        <v>0</v>
      </c>
      <c r="Q44" s="75" t="s">
        <v>2772</v>
      </c>
      <c r="R44" s="75" t="s">
        <v>2772</v>
      </c>
      <c r="S44" s="75" t="s">
        <v>2772</v>
      </c>
      <c r="T44" s="75" t="s">
        <v>2772</v>
      </c>
      <c r="U44" s="75" t="s">
        <v>2772</v>
      </c>
      <c r="V44" s="75" t="s">
        <v>2772</v>
      </c>
      <c r="W44" s="75">
        <v>12.7</v>
      </c>
      <c r="X44" s="75">
        <v>7.1</v>
      </c>
      <c r="Y44" s="75">
        <v>5</v>
      </c>
      <c r="Z44" s="75" t="s">
        <v>2774</v>
      </c>
      <c r="AA44" s="77">
        <v>12.3028391167192</v>
      </c>
      <c r="AB44" s="75">
        <v>0.13</v>
      </c>
      <c r="AD44" s="75">
        <v>22</v>
      </c>
      <c r="AE44" s="75" t="str">
        <f>HYPERLINK(".\links\pep\EEC02794.1-sulf.txt","2")</f>
        <v>2</v>
      </c>
      <c r="AF44" s="75" t="str">
        <f>HYPERLINK(".\links\pep\EEC02794.1-tyr-sulf.txt","Fasta with y")</f>
        <v>Fasta with y</v>
      </c>
      <c r="AG44" s="75" t="s">
        <v>2772</v>
      </c>
      <c r="AH44" s="75" t="s">
        <v>2772</v>
      </c>
      <c r="AI44" s="75" t="s">
        <v>2772</v>
      </c>
      <c r="AJ44" s="75">
        <v>1</v>
      </c>
      <c r="AK44" s="75" t="s">
        <v>2772</v>
      </c>
      <c r="AL44" s="75" t="s">
        <v>2772</v>
      </c>
      <c r="AM44" s="75" t="s">
        <v>2772</v>
      </c>
      <c r="AN44" s="75" t="s">
        <v>2772</v>
      </c>
      <c r="AO44" s="78" t="str">
        <f>HYPERLINK(".\links\AAM-CEMENT-2018\EEC02794.1-AAM-CEMENT-2018.txt","Extracted CDS")</f>
        <v>Extracted CDS</v>
      </c>
      <c r="AP44" s="75" t="str">
        <f>HYPERLINK("http://www.ncbi.nlm.nih.gov/sutils/blink.cgi?pid=Aam-1369","0.0")</f>
        <v>0.0</v>
      </c>
      <c r="AQ44" s="75" t="str">
        <f>HYPERLINK("http://www.ncbi.nlm.nih.gov/protein/Aam-1369","Aam-1369")</f>
        <v>Aam-1369</v>
      </c>
      <c r="AR44" s="75">
        <v>831</v>
      </c>
      <c r="AS44" s="75">
        <v>445</v>
      </c>
      <c r="AT44" s="75">
        <v>458</v>
      </c>
      <c r="AU44" s="75">
        <v>92</v>
      </c>
      <c r="AV44" s="75">
        <v>95</v>
      </c>
      <c r="AW44" s="75">
        <v>97</v>
      </c>
      <c r="AX44" s="75">
        <v>35</v>
      </c>
      <c r="AY44" s="75">
        <v>0</v>
      </c>
      <c r="AZ44" s="75">
        <v>10</v>
      </c>
      <c r="BA44" s="75">
        <v>1</v>
      </c>
      <c r="BB44" s="75">
        <v>1</v>
      </c>
      <c r="BC44" s="75" t="s">
        <v>2775</v>
      </c>
      <c r="BD44" s="78" t="str">
        <f>HYPERLINK(".\links\CDD\EEC02794.1-CDD.txt","PTZ00335 tubulin alpha chain")</f>
        <v>PTZ00335 tubulin alpha chain</v>
      </c>
      <c r="BE44" s="75">
        <v>0</v>
      </c>
      <c r="BF44" s="75">
        <v>99.8</v>
      </c>
      <c r="BG44" s="75" t="s">
        <v>2982</v>
      </c>
      <c r="BH44" s="75" t="s">
        <v>2983</v>
      </c>
      <c r="BI44" s="75" t="str">
        <f>HYPERLINK(".\links\KOG\EEC02794.1-KOG.txt","CDD:227356 COG5023, COG5023, Tubulin")</f>
        <v>CDD:227356 COG5023, COG5023, Tubulin</v>
      </c>
      <c r="BJ44" s="75">
        <v>0</v>
      </c>
      <c r="BK44" s="75">
        <v>101.4</v>
      </c>
      <c r="BL44" s="75" t="s">
        <v>2974</v>
      </c>
      <c r="BM44" s="75" t="s">
        <v>2779</v>
      </c>
      <c r="BN44" s="78" t="str">
        <f>HYPERLINK(".\links\PFAM\EEC02794.1-PFAM.txt","Tubulin_C Tubulin C-terminal domain")</f>
        <v>Tubulin_C Tubulin C-terminal domain</v>
      </c>
      <c r="BO44" s="79">
        <v>9.9999999999999997E-73</v>
      </c>
      <c r="BP44" s="75">
        <v>104</v>
      </c>
      <c r="BQ44" s="75" t="s">
        <v>2975</v>
      </c>
      <c r="BR44" s="75" t="s">
        <v>2772</v>
      </c>
      <c r="BS44" s="78" t="str">
        <f>HYPERLINK(".\links\SMART\EEC02794.1-SMART.txt","CDD:214867 smart00864, Tubulin, Tubulin/FtsZ family, GTPase domain")</f>
        <v>CDD:214867 smart00864, Tubulin, Tubulin/FtsZ family, GTPase domain</v>
      </c>
      <c r="BT44" s="79">
        <v>1.9999999999999998E-65</v>
      </c>
      <c r="BU44" s="75">
        <v>112</v>
      </c>
      <c r="BV44" s="75" t="s">
        <v>2976</v>
      </c>
      <c r="BW44" s="75" t="s">
        <v>2772</v>
      </c>
      <c r="BX44" s="78" t="str">
        <f>HYPERLINK(".\links\TSF\EEC02794.1-TSF.txt","40-502 40-502, Madanin||S|PI")</f>
        <v>40-502 40-502, Madanin||S|PI</v>
      </c>
      <c r="BY44" s="79">
        <v>8.0000000000000004E-4</v>
      </c>
      <c r="BZ44" s="75">
        <v>74.599999999999994</v>
      </c>
      <c r="CA44" s="75" t="s">
        <v>3009</v>
      </c>
      <c r="CB44" s="75" t="s">
        <v>3010</v>
      </c>
      <c r="CC44" s="75" t="s">
        <v>2772</v>
      </c>
      <c r="CD44" s="75" t="s">
        <v>2785</v>
      </c>
      <c r="CE44" s="75" t="s">
        <v>3011</v>
      </c>
      <c r="CF44" s="75">
        <f>HYPERLINK(".\links\cluster-b\Ixsc-cement-202225-50SimCLU2.txt", 2)</f>
        <v>2</v>
      </c>
      <c r="CG44" s="75">
        <f>HYPERLINK(".\links\cluster-b\Ixsc-cement-202225-50SimCLTL2.txt", 13)</f>
        <v>13</v>
      </c>
      <c r="CH44" s="75">
        <f>HYPERLINK(".\links\cluster-b\Ixsc-cement-202230-50SimCLU2.txt", 2)</f>
        <v>2</v>
      </c>
      <c r="CI44" s="75">
        <f>HYPERLINK(".\links\cluster-b\Ixsc-cement-202230-50SimCLTL2.txt", 12)</f>
        <v>12</v>
      </c>
      <c r="CJ44" s="75">
        <f>HYPERLINK(".\links\cluster-b\Ixsc-cement-202235-50SimCLU2.txt", 2)</f>
        <v>2</v>
      </c>
      <c r="CK44" s="75">
        <f>HYPERLINK(".\links\cluster-b\Ixsc-cement-202235-50SimCLTL2.txt", 12)</f>
        <v>12</v>
      </c>
      <c r="CL44" s="75">
        <f>HYPERLINK(".\links\cluster-b\Ixsc-cement-202240-50SimCLU1.txt", 1)</f>
        <v>1</v>
      </c>
      <c r="CM44" s="75">
        <f>HYPERLINK(".\links\cluster-b\Ixsc-cement-202240-50SimCLTL1.txt", 12)</f>
        <v>12</v>
      </c>
      <c r="CN44" s="75">
        <f>HYPERLINK(".\links\cluster-b\Ixsc-cement-202245-50SimCLU1.txt", 1)</f>
        <v>1</v>
      </c>
      <c r="CO44" s="75">
        <f>HYPERLINK(".\links\cluster-b\Ixsc-cement-202245-50SimCLTL1.txt", 11)</f>
        <v>11</v>
      </c>
      <c r="CP44" s="75">
        <f>HYPERLINK(".\links\cluster-b\Ixsc-cement-202250-50SimCLU1.txt", 1)</f>
        <v>1</v>
      </c>
      <c r="CQ44" s="75">
        <f>HYPERLINK(".\links\cluster-b\Ixsc-cement-202250-50SimCLTL1.txt", 10)</f>
        <v>10</v>
      </c>
      <c r="CR44" s="75">
        <f>HYPERLINK(".\links\cluster-b\Ixsc-cement-202255-50SimCLU1.txt", 1)</f>
        <v>1</v>
      </c>
      <c r="CS44" s="75">
        <f>HYPERLINK(".\links\cluster-b\Ixsc-cement-202255-50SimCLTL1.txt", 10)</f>
        <v>10</v>
      </c>
      <c r="CT44" s="75">
        <f>HYPERLINK(".\links\cluster-b\Ixsc-cement-202260-50SimCLU2.txt", 2)</f>
        <v>2</v>
      </c>
      <c r="CU44" s="75">
        <f>HYPERLINK(".\links\cluster-b\Ixsc-cement-202260-50SimCLTL2.txt", 6)</f>
        <v>6</v>
      </c>
      <c r="CV44" s="75">
        <f>HYPERLINK(".\links\cluster-b\Ixsc-cement-202265-50SimCLU2.txt", 2)</f>
        <v>2</v>
      </c>
      <c r="CW44" s="75">
        <f>HYPERLINK(".\links\cluster-b\Ixsc-cement-202265-50SimCLTL2.txt", 5)</f>
        <v>5</v>
      </c>
      <c r="CX44" s="75">
        <v>39</v>
      </c>
      <c r="CY44" s="75">
        <v>1</v>
      </c>
      <c r="CZ44" s="75">
        <v>40</v>
      </c>
      <c r="DA44" s="75">
        <v>1</v>
      </c>
      <c r="DB44" s="75">
        <v>40</v>
      </c>
      <c r="DC44" s="75">
        <v>1</v>
      </c>
      <c r="DD44" s="75">
        <v>38</v>
      </c>
      <c r="DE44" s="75">
        <v>1</v>
      </c>
      <c r="DF44" s="75">
        <v>37</v>
      </c>
      <c r="DG44" s="75">
        <v>1</v>
      </c>
      <c r="DH44" s="75">
        <v>38</v>
      </c>
      <c r="DI44" s="75">
        <v>1</v>
      </c>
      <c r="DJ44" s="75" t="s">
        <v>193</v>
      </c>
      <c r="DK44" s="75" t="str">
        <f>HYPERLINK(".\links\AAM-CEMENT-2018\EEC02794.1-AAM-CEMENT-2018.txt","Extracted CDS")</f>
        <v>Extracted CDS</v>
      </c>
      <c r="DL44" s="75" t="str">
        <f>HYPERLINK("http://www.ncbi.nlm.nih.gov/sutils/blink.cgi?pid=Aam-1369","0.0")</f>
        <v>0.0</v>
      </c>
      <c r="DM44" s="75" t="str">
        <f>HYPERLINK("http://www.ncbi.nlm.nih.gov/protein/Aam-1369","Aam-1369")</f>
        <v>Aam-1369</v>
      </c>
      <c r="DN44" s="75">
        <v>831</v>
      </c>
      <c r="DO44" s="75">
        <v>445</v>
      </c>
      <c r="DP44" s="75">
        <v>458</v>
      </c>
      <c r="DQ44" s="75">
        <v>92</v>
      </c>
      <c r="DR44" s="75">
        <v>95</v>
      </c>
      <c r="DS44" s="75">
        <v>97</v>
      </c>
      <c r="DT44" s="75">
        <v>35</v>
      </c>
      <c r="DU44" s="75">
        <v>0</v>
      </c>
      <c r="DV44" s="75">
        <v>10</v>
      </c>
      <c r="DW44" s="75">
        <v>1</v>
      </c>
      <c r="DX44" s="75">
        <v>1</v>
      </c>
      <c r="DY44" s="75" t="s">
        <v>2775</v>
      </c>
      <c r="DZ44" s="75" t="str">
        <f>HYPERLINK(".\links\CDD\EEC02794.1-CDD.txt","PTZ00335 tubulin alpha chain")</f>
        <v>PTZ00335 tubulin alpha chain</v>
      </c>
      <c r="EA44" s="75">
        <v>0</v>
      </c>
      <c r="EB44" s="75">
        <v>99.8</v>
      </c>
      <c r="EC44" s="75" t="s">
        <v>2982</v>
      </c>
      <c r="ED44" s="75" t="s">
        <v>2983</v>
      </c>
      <c r="EE44" s="75" t="str">
        <f>HYPERLINK(".\links\KOG\EEC02794.1-KOG.txt","CDD:227356 COG5023, COG5023, Tubulin")</f>
        <v>CDD:227356 COG5023, COG5023, Tubulin</v>
      </c>
      <c r="EF44" s="75">
        <v>0</v>
      </c>
      <c r="EG44" s="75">
        <v>101.4</v>
      </c>
      <c r="EH44" s="75" t="s">
        <v>2974</v>
      </c>
      <c r="EI44" s="75" t="s">
        <v>2779</v>
      </c>
      <c r="EJ44" s="75" t="str">
        <f>HYPERLINK(".\links\PFAM\EEC02794.1-PFAM.txt","Tubulin_C Tubulin C-terminal domain")</f>
        <v>Tubulin_C Tubulin C-terminal domain</v>
      </c>
      <c r="EK44" s="79">
        <v>9.9999999999999997E-73</v>
      </c>
      <c r="EL44" s="75">
        <v>104</v>
      </c>
      <c r="EM44" s="75" t="s">
        <v>2975</v>
      </c>
      <c r="EN44" s="75" t="s">
        <v>2772</v>
      </c>
      <c r="EO44" s="75" t="str">
        <f>HYPERLINK(".\links\SMART\EEC02794.1-SMART.txt","CDD:214867 smart00864, Tubulin, Tubulin/FtsZ family, GTPase domain")</f>
        <v>CDD:214867 smart00864, Tubulin, Tubulin/FtsZ family, GTPase domain</v>
      </c>
      <c r="EP44" s="79">
        <v>1.9999999999999998E-65</v>
      </c>
      <c r="EQ44" s="75">
        <v>112</v>
      </c>
      <c r="ER44" s="75" t="s">
        <v>2976</v>
      </c>
      <c r="ES44" s="75" t="s">
        <v>2772</v>
      </c>
      <c r="ET44" s="75" t="str">
        <f>HYPERLINK(".\links\TSF\EEC02794.1-TSF.txt","40-502 40-502, Madanin||S|PI")</f>
        <v>40-502 40-502, Madanin||S|PI</v>
      </c>
      <c r="EU44" s="79">
        <v>8.0000000000000004E-4</v>
      </c>
      <c r="EV44" s="75">
        <v>74.599999999999994</v>
      </c>
      <c r="EW44" s="75" t="s">
        <v>3009</v>
      </c>
      <c r="EX44" s="75" t="s">
        <v>3010</v>
      </c>
      <c r="EY44" s="75" t="s">
        <v>2772</v>
      </c>
      <c r="EZ44" s="75" t="s">
        <v>2785</v>
      </c>
      <c r="FA44" s="75" t="s">
        <v>3011</v>
      </c>
    </row>
    <row r="45" spans="1:157" x14ac:dyDescent="0.2">
      <c r="A45" s="75" t="str">
        <f>HYPERLINK(".\links\PEP\EEC14639.1-PEP.txt","EEC14639.1")</f>
        <v>EEC14639.1</v>
      </c>
      <c r="B45" s="75" t="s">
        <v>3012</v>
      </c>
      <c r="C45" s="75">
        <v>456</v>
      </c>
      <c r="D45" s="75" t="s">
        <v>3013</v>
      </c>
      <c r="E45" s="76" t="s">
        <v>48</v>
      </c>
      <c r="F45" s="75" t="s">
        <v>2771</v>
      </c>
      <c r="G45" s="75" t="str">
        <f>HYPERLINK(".\links\Sigp\EEC14639.1-SigP.txt","CYT")</f>
        <v>CYT</v>
      </c>
      <c r="H45" s="75" t="s">
        <v>2772</v>
      </c>
      <c r="I45" s="75">
        <v>51.161000000000001</v>
      </c>
      <c r="J45" s="75">
        <v>4.83</v>
      </c>
      <c r="K45" s="75" t="s">
        <v>2772</v>
      </c>
      <c r="L45" s="75" t="s">
        <v>2772</v>
      </c>
      <c r="M45" s="75" t="str">
        <f>HYPERLINK(".\links\netoglyc\EEC14639.1-netoglyc.txt","0")</f>
        <v>0</v>
      </c>
      <c r="N45" s="75" t="s">
        <v>2817</v>
      </c>
      <c r="O45" s="75">
        <v>456</v>
      </c>
      <c r="P45" s="75">
        <v>0</v>
      </c>
      <c r="Q45" s="75" t="s">
        <v>2772</v>
      </c>
      <c r="R45" s="75" t="s">
        <v>2772</v>
      </c>
      <c r="S45" s="75" t="s">
        <v>2772</v>
      </c>
      <c r="T45" s="75" t="s">
        <v>2772</v>
      </c>
      <c r="U45" s="75" t="s">
        <v>2772</v>
      </c>
      <c r="V45" s="75" t="s">
        <v>2772</v>
      </c>
      <c r="W45" s="75">
        <v>12.5</v>
      </c>
      <c r="X45" s="75">
        <v>7.8</v>
      </c>
      <c r="Y45" s="75">
        <v>4.3</v>
      </c>
      <c r="Z45" s="75" t="s">
        <v>2774</v>
      </c>
      <c r="AA45" s="77">
        <v>12.280701754386</v>
      </c>
      <c r="AB45" s="75">
        <v>0.18</v>
      </c>
      <c r="AD45" s="75">
        <v>8</v>
      </c>
      <c r="AE45" s="75" t="str">
        <f>HYPERLINK(".\links\pep\EEC14639.1-sulf.txt","1")</f>
        <v>1</v>
      </c>
      <c r="AF45" s="75" t="str">
        <f>HYPERLINK(".\links\pep\EEC14639.1-tyr-sulf.txt","Fasta with y")</f>
        <v>Fasta with y</v>
      </c>
      <c r="AG45" s="75" t="s">
        <v>2772</v>
      </c>
      <c r="AH45" s="75" t="s">
        <v>2772</v>
      </c>
      <c r="AI45" s="75">
        <v>2</v>
      </c>
      <c r="AJ45" s="75">
        <v>4</v>
      </c>
      <c r="AK45" s="75" t="s">
        <v>2772</v>
      </c>
      <c r="AL45" s="75" t="s">
        <v>2772</v>
      </c>
      <c r="AM45" s="75" t="s">
        <v>2772</v>
      </c>
      <c r="AN45" s="75" t="s">
        <v>2772</v>
      </c>
      <c r="AO45" s="78" t="str">
        <f>HYPERLINK(".\links\AAM-CEMENT-2018\EEC14639.1-AAM-CEMENT-2018.txt","Extracted CDS")</f>
        <v>Extracted CDS</v>
      </c>
      <c r="AP45" s="75" t="str">
        <f>HYPERLINK("http://www.ncbi.nlm.nih.gov/sutils/blink.cgi?pid=Aam-178493","0.0")</f>
        <v>0.0</v>
      </c>
      <c r="AQ45" s="75" t="str">
        <f>HYPERLINK("http://www.ncbi.nlm.nih.gov/protein/Aam-178493","Aam-178493")</f>
        <v>Aam-178493</v>
      </c>
      <c r="AR45" s="75">
        <v>836</v>
      </c>
      <c r="AS45" s="75">
        <v>446</v>
      </c>
      <c r="AT45" s="75">
        <v>446</v>
      </c>
      <c r="AU45" s="75">
        <v>92</v>
      </c>
      <c r="AV45" s="75">
        <v>97</v>
      </c>
      <c r="AW45" s="75">
        <v>100</v>
      </c>
      <c r="AX45" s="75">
        <v>33</v>
      </c>
      <c r="AY45" s="75">
        <v>0</v>
      </c>
      <c r="AZ45" s="75">
        <v>1</v>
      </c>
      <c r="BA45" s="75">
        <v>11</v>
      </c>
      <c r="BB45" s="75">
        <v>1</v>
      </c>
      <c r="BC45" s="75" t="s">
        <v>2775</v>
      </c>
      <c r="BD45" s="78" t="str">
        <f>HYPERLINK(".\links\CDD\EEC14639.1-CDD.txt","PLN00220 tubulin beta chain")</f>
        <v>PLN00220 tubulin beta chain</v>
      </c>
      <c r="BE45" s="75">
        <v>0</v>
      </c>
      <c r="BF45" s="75">
        <v>96.2</v>
      </c>
      <c r="BG45" s="75" t="s">
        <v>2972</v>
      </c>
      <c r="BH45" s="75" t="s">
        <v>2973</v>
      </c>
      <c r="BI45" s="75" t="str">
        <f>HYPERLINK(".\links\KOG\EEC14639.1-KOG.txt","CDD:227356 COG5023, COG5023, Tubulin")</f>
        <v>CDD:227356 COG5023, COG5023, Tubulin</v>
      </c>
      <c r="BJ45" s="75">
        <v>0</v>
      </c>
      <c r="BK45" s="75">
        <v>97.5</v>
      </c>
      <c r="BL45" s="75" t="s">
        <v>2974</v>
      </c>
      <c r="BM45" s="75" t="s">
        <v>2779</v>
      </c>
      <c r="BN45" s="78" t="str">
        <f>HYPERLINK(".\links\PFAM\EEC14639.1-PFAM.txt","Tubulin_C Tubulin C-terminal domain")</f>
        <v>Tubulin_C Tubulin C-terminal domain</v>
      </c>
      <c r="BO45" s="79">
        <v>1.9999999999999999E-64</v>
      </c>
      <c r="BP45" s="75">
        <v>100</v>
      </c>
      <c r="BQ45" s="75" t="s">
        <v>2975</v>
      </c>
      <c r="BR45" s="75" t="s">
        <v>2772</v>
      </c>
      <c r="BS45" s="78" t="str">
        <f>HYPERLINK(".\links\SMART\EEC14639.1-SMART.txt","CDD:214867 smart00864, Tubulin, Tubulin/FtsZ family, GTPase domain")</f>
        <v>CDD:214867 smart00864, Tubulin, Tubulin/FtsZ family, GTPase domain</v>
      </c>
      <c r="BT45" s="79">
        <v>5.0000000000000002E-62</v>
      </c>
      <c r="BU45" s="75">
        <v>112</v>
      </c>
      <c r="BV45" s="75" t="s">
        <v>2976</v>
      </c>
      <c r="BW45" s="75" t="s">
        <v>2772</v>
      </c>
      <c r="BX45" s="78" t="str">
        <f>HYPERLINK(".\links\TSF\EEC14639.1-TSF.txt","40-80 40-80, 19kDa||S|")</f>
        <v>40-80 40-80, 19kDa||S|</v>
      </c>
      <c r="BY45" s="75">
        <v>1.7</v>
      </c>
      <c r="BZ45" s="75">
        <v>26</v>
      </c>
      <c r="CA45" s="75" t="s">
        <v>3014</v>
      </c>
      <c r="CB45" s="75" t="s">
        <v>3015</v>
      </c>
      <c r="CC45" s="75" t="s">
        <v>2772</v>
      </c>
      <c r="CD45" s="75" t="s">
        <v>2785</v>
      </c>
      <c r="CE45" s="75" t="s">
        <v>3016</v>
      </c>
      <c r="CF45" s="75">
        <f>HYPERLINK(".\links\cluster-b\Ixsc-cement-202225-50SimCLU2.txt", 2)</f>
        <v>2</v>
      </c>
      <c r="CG45" s="75">
        <f>HYPERLINK(".\links\cluster-b\Ixsc-cement-202225-50SimCLTL2.txt", 13)</f>
        <v>13</v>
      </c>
      <c r="CH45" s="75">
        <f>HYPERLINK(".\links\cluster-b\Ixsc-cement-202230-50SimCLU2.txt", 2)</f>
        <v>2</v>
      </c>
      <c r="CI45" s="75">
        <f>HYPERLINK(".\links\cluster-b\Ixsc-cement-202230-50SimCLTL2.txt", 12)</f>
        <v>12</v>
      </c>
      <c r="CJ45" s="75">
        <f>HYPERLINK(".\links\cluster-b\Ixsc-cement-202235-50SimCLU2.txt", 2)</f>
        <v>2</v>
      </c>
      <c r="CK45" s="75">
        <f>HYPERLINK(".\links\cluster-b\Ixsc-cement-202235-50SimCLTL2.txt", 12)</f>
        <v>12</v>
      </c>
      <c r="CL45" s="75">
        <f>HYPERLINK(".\links\cluster-b\Ixsc-cement-202240-50SimCLU1.txt", 1)</f>
        <v>1</v>
      </c>
      <c r="CM45" s="75">
        <f>HYPERLINK(".\links\cluster-b\Ixsc-cement-202240-50SimCLTL1.txt", 12)</f>
        <v>12</v>
      </c>
      <c r="CN45" s="75">
        <f>HYPERLINK(".\links\cluster-b\Ixsc-cement-202245-50SimCLU1.txt", 1)</f>
        <v>1</v>
      </c>
      <c r="CO45" s="75">
        <f>HYPERLINK(".\links\cluster-b\Ixsc-cement-202245-50SimCLTL1.txt", 11)</f>
        <v>11</v>
      </c>
      <c r="CP45" s="75">
        <f>HYPERLINK(".\links\cluster-b\Ixsc-cement-202250-50SimCLU1.txt", 1)</f>
        <v>1</v>
      </c>
      <c r="CQ45" s="75">
        <f>HYPERLINK(".\links\cluster-b\Ixsc-cement-202250-50SimCLTL1.txt", 10)</f>
        <v>10</v>
      </c>
      <c r="CR45" s="75">
        <f>HYPERLINK(".\links\cluster-b\Ixsc-cement-202255-50SimCLU1.txt", 1)</f>
        <v>1</v>
      </c>
      <c r="CS45" s="75">
        <f>HYPERLINK(".\links\cluster-b\Ixsc-cement-202255-50SimCLTL1.txt", 10)</f>
        <v>10</v>
      </c>
      <c r="CT45" s="75">
        <f>HYPERLINK(".\links\cluster-b\Ixsc-cement-202260-50SimCLU5.txt", 5)</f>
        <v>5</v>
      </c>
      <c r="CU45" s="75">
        <f>HYPERLINK(".\links\cluster-b\Ixsc-cement-202260-50SimCLTL5.txt", 4)</f>
        <v>4</v>
      </c>
      <c r="CV45" s="75">
        <f>HYPERLINK(".\links\cluster-b\Ixsc-cement-202265-50SimCLU4.txt", 4)</f>
        <v>4</v>
      </c>
      <c r="CW45" s="75">
        <f>HYPERLINK(".\links\cluster-b\Ixsc-cement-202265-50SimCLTL4.txt", 4)</f>
        <v>4</v>
      </c>
      <c r="CX45" s="75">
        <f>HYPERLINK(".\links\cluster-b\Ixsc-cement-202270-50SimCLU6.txt", 6)</f>
        <v>6</v>
      </c>
      <c r="CY45" s="75">
        <f>HYPERLINK(".\links\cluster-b\Ixsc-cement-202270-50SimCLTL6.txt", 3)</f>
        <v>3</v>
      </c>
      <c r="CZ45" s="75">
        <f>HYPERLINK(".\links\cluster-b\Ixsc-cement-202275-50SimCLU6.txt", 6)</f>
        <v>6</v>
      </c>
      <c r="DA45" s="75">
        <f>HYPERLINK(".\links\cluster-b\Ixsc-cement-202275-50SimCLTL6.txt", 3)</f>
        <v>3</v>
      </c>
      <c r="DB45" s="75">
        <f>HYPERLINK(".\links\cluster-b\Ixsc-cement-202280-50SimCLU5.txt", 5)</f>
        <v>5</v>
      </c>
      <c r="DC45" s="75">
        <f>HYPERLINK(".\links\cluster-b\Ixsc-cement-202280-50SimCLTL5.txt", 3)</f>
        <v>3</v>
      </c>
      <c r="DD45" s="75">
        <f>HYPERLINK(".\links\cluster-b\Ixsc-cement-202285-50SimCLU4.txt", 4)</f>
        <v>4</v>
      </c>
      <c r="DE45" s="75">
        <f>HYPERLINK(".\links\cluster-b\Ixsc-cement-202285-50SimCLTL4.txt", 3)</f>
        <v>3</v>
      </c>
      <c r="DF45" s="75">
        <f>HYPERLINK(".\links\cluster-b\Ixsc-cement-202290-50SimCLU3.txt", 3)</f>
        <v>3</v>
      </c>
      <c r="DG45" s="75">
        <f>HYPERLINK(".\links\cluster-b\Ixsc-cement-202290-50SimCLTL3.txt", 3)</f>
        <v>3</v>
      </c>
      <c r="DH45" s="75">
        <f>HYPERLINK(".\links\cluster-b\Ixsc-cement-202295-50SimCLU3.txt", 3)</f>
        <v>3</v>
      </c>
      <c r="DI45" s="75">
        <f>HYPERLINK(".\links\cluster-b\Ixsc-cement-202295-50SimCLTL3.txt", 3)</f>
        <v>3</v>
      </c>
      <c r="DJ45" s="75" t="s">
        <v>203</v>
      </c>
      <c r="DK45" s="75" t="str">
        <f>HYPERLINK(".\links\AAM-CEMENT-2018\EEC14639.1-AAM-CEMENT-2018.txt","Extracted CDS")</f>
        <v>Extracted CDS</v>
      </c>
      <c r="DL45" s="75" t="str">
        <f>HYPERLINK("http://www.ncbi.nlm.nih.gov/sutils/blink.cgi?pid=Aam-178493","0.0")</f>
        <v>0.0</v>
      </c>
      <c r="DM45" s="75" t="str">
        <f>HYPERLINK("http://www.ncbi.nlm.nih.gov/protein/Aam-178493","Aam-178493")</f>
        <v>Aam-178493</v>
      </c>
      <c r="DN45" s="75">
        <v>836</v>
      </c>
      <c r="DO45" s="75">
        <v>446</v>
      </c>
      <c r="DP45" s="75">
        <v>446</v>
      </c>
      <c r="DQ45" s="75">
        <v>92</v>
      </c>
      <c r="DR45" s="75">
        <v>97</v>
      </c>
      <c r="DS45" s="75">
        <v>100</v>
      </c>
      <c r="DT45" s="75">
        <v>33</v>
      </c>
      <c r="DU45" s="75">
        <v>0</v>
      </c>
      <c r="DV45" s="75">
        <v>1</v>
      </c>
      <c r="DW45" s="75">
        <v>11</v>
      </c>
      <c r="DX45" s="75">
        <v>1</v>
      </c>
      <c r="DY45" s="75" t="s">
        <v>2775</v>
      </c>
      <c r="DZ45" s="75" t="str">
        <f>HYPERLINK(".\links\CDD\EEC14639.1-CDD.txt","PLN00220 tubulin beta chain")</f>
        <v>PLN00220 tubulin beta chain</v>
      </c>
      <c r="EA45" s="75">
        <v>0</v>
      </c>
      <c r="EB45" s="75">
        <v>96.2</v>
      </c>
      <c r="EC45" s="75" t="s">
        <v>2972</v>
      </c>
      <c r="ED45" s="75" t="s">
        <v>2973</v>
      </c>
      <c r="EE45" s="75" t="str">
        <f>HYPERLINK(".\links\KOG\EEC14639.1-KOG.txt","CDD:227356 COG5023, COG5023, Tubulin")</f>
        <v>CDD:227356 COG5023, COG5023, Tubulin</v>
      </c>
      <c r="EF45" s="75">
        <v>0</v>
      </c>
      <c r="EG45" s="75">
        <v>97.5</v>
      </c>
      <c r="EH45" s="75" t="s">
        <v>2974</v>
      </c>
      <c r="EI45" s="75" t="s">
        <v>2779</v>
      </c>
      <c r="EJ45" s="75" t="str">
        <f>HYPERLINK(".\links\PFAM\EEC14639.1-PFAM.txt","Tubulin_C Tubulin C-terminal domain")</f>
        <v>Tubulin_C Tubulin C-terminal domain</v>
      </c>
      <c r="EK45" s="79">
        <v>1.9999999999999999E-64</v>
      </c>
      <c r="EL45" s="75">
        <v>100</v>
      </c>
      <c r="EM45" s="75" t="s">
        <v>2975</v>
      </c>
      <c r="EN45" s="75" t="s">
        <v>2772</v>
      </c>
      <c r="EO45" s="75" t="str">
        <f>HYPERLINK(".\links\SMART\EEC14639.1-SMART.txt","CDD:214867 smart00864, Tubulin, Tubulin/FtsZ family, GTPase domain")</f>
        <v>CDD:214867 smart00864, Tubulin, Tubulin/FtsZ family, GTPase domain</v>
      </c>
      <c r="EP45" s="79">
        <v>5.0000000000000002E-62</v>
      </c>
      <c r="EQ45" s="75">
        <v>112</v>
      </c>
      <c r="ER45" s="75" t="s">
        <v>2976</v>
      </c>
      <c r="ES45" s="75" t="s">
        <v>2772</v>
      </c>
      <c r="ET45" s="75" t="str">
        <f>HYPERLINK(".\links\TSF\EEC14639.1-TSF.txt","40-80 40-80, 19kDa||S|")</f>
        <v>40-80 40-80, 19kDa||S|</v>
      </c>
      <c r="EU45" s="75">
        <v>1.7</v>
      </c>
      <c r="EV45" s="75">
        <v>26</v>
      </c>
      <c r="EW45" s="75" t="s">
        <v>3014</v>
      </c>
      <c r="EX45" s="75" t="s">
        <v>3015</v>
      </c>
      <c r="EY45" s="75" t="s">
        <v>2772</v>
      </c>
      <c r="EZ45" s="75" t="s">
        <v>2785</v>
      </c>
      <c r="FA45" s="75" t="s">
        <v>3016</v>
      </c>
    </row>
    <row r="46" spans="1:157" x14ac:dyDescent="0.2">
      <c r="A46" s="75" t="str">
        <f>HYPERLINK(".\links\PEP\EEC12427.1-PEP.txt","EEC12427.1")</f>
        <v>EEC12427.1</v>
      </c>
      <c r="B46" s="75" t="s">
        <v>2768</v>
      </c>
      <c r="C46" s="75">
        <v>203</v>
      </c>
      <c r="D46" s="75" t="s">
        <v>3017</v>
      </c>
      <c r="E46" s="76" t="s">
        <v>48</v>
      </c>
      <c r="F46" s="75" t="s">
        <v>2771</v>
      </c>
      <c r="G46" s="75" t="str">
        <f>HYPERLINK(".\links\Sigp\EEC12427.1-SigP.txt","CYT")</f>
        <v>CYT</v>
      </c>
      <c r="H46" s="75" t="s">
        <v>2772</v>
      </c>
      <c r="I46" s="75">
        <v>22.713000000000001</v>
      </c>
      <c r="J46" s="75">
        <v>4.7699999999999996</v>
      </c>
      <c r="K46" s="75" t="s">
        <v>2772</v>
      </c>
      <c r="L46" s="75" t="s">
        <v>2772</v>
      </c>
      <c r="M46" s="75" t="str">
        <f>HYPERLINK(".\links\netoglyc\EEC12427.1-netoglyc.txt","0")</f>
        <v>0</v>
      </c>
      <c r="N46" s="75" t="s">
        <v>2942</v>
      </c>
      <c r="O46" s="75">
        <v>203</v>
      </c>
      <c r="P46" s="75">
        <v>0</v>
      </c>
      <c r="Q46" s="75" t="s">
        <v>2772</v>
      </c>
      <c r="R46" s="75" t="s">
        <v>2772</v>
      </c>
      <c r="S46" s="75" t="s">
        <v>2772</v>
      </c>
      <c r="T46" s="75" t="s">
        <v>2772</v>
      </c>
      <c r="U46" s="75" t="s">
        <v>2772</v>
      </c>
      <c r="V46" s="75" t="s">
        <v>2772</v>
      </c>
      <c r="W46" s="75">
        <v>10.1</v>
      </c>
      <c r="X46" s="75">
        <v>5.3</v>
      </c>
      <c r="Y46" s="75">
        <v>5.3</v>
      </c>
      <c r="Z46" s="75" t="s">
        <v>2774</v>
      </c>
      <c r="AA46" s="77">
        <v>10.837438423645301</v>
      </c>
      <c r="AB46" s="75">
        <v>0.21</v>
      </c>
      <c r="AD46" s="75">
        <v>7</v>
      </c>
      <c r="AE46" s="75" t="str">
        <f>HYPERLINK(".\links\pep\EEC12427.1-sulf.txt","1")</f>
        <v>1</v>
      </c>
      <c r="AF46" s="75" t="str">
        <f>HYPERLINK(".\links\pep\EEC12427.1-tyr-sulf.txt","Fasta with y")</f>
        <v>Fasta with y</v>
      </c>
      <c r="AG46" s="75" t="s">
        <v>2772</v>
      </c>
      <c r="AH46" s="75" t="s">
        <v>2772</v>
      </c>
      <c r="AI46" s="75" t="s">
        <v>2772</v>
      </c>
      <c r="AJ46" s="75">
        <v>1</v>
      </c>
      <c r="AK46" s="75" t="s">
        <v>2772</v>
      </c>
      <c r="AL46" s="75" t="s">
        <v>2772</v>
      </c>
      <c r="AM46" s="75" t="s">
        <v>2772</v>
      </c>
      <c r="AN46" s="75" t="s">
        <v>2772</v>
      </c>
      <c r="AO46" s="78" t="str">
        <f>HYPERLINK(".\links\AAM-CEMENT-2018\EEC12427.1-AAM-CEMENT-2018.txt","Extracted CDS")</f>
        <v>Extracted CDS</v>
      </c>
      <c r="AP46" s="75" t="str">
        <f>HYPERLINK("http://www.ncbi.nlm.nih.gov/sutils/blink.cgi?pid=Aam-178138","1E-123")</f>
        <v>1E-123</v>
      </c>
      <c r="AQ46" s="75" t="str">
        <f>HYPERLINK("http://www.ncbi.nlm.nih.gov/protein/Aam-178138","Aam-178138")</f>
        <v>Aam-178138</v>
      </c>
      <c r="AR46" s="75">
        <v>350</v>
      </c>
      <c r="AS46" s="75">
        <v>208</v>
      </c>
      <c r="AT46" s="75">
        <v>477</v>
      </c>
      <c r="AU46" s="75">
        <v>81</v>
      </c>
      <c r="AV46" s="75">
        <v>86</v>
      </c>
      <c r="AW46" s="75">
        <v>44</v>
      </c>
      <c r="AX46" s="75">
        <v>39</v>
      </c>
      <c r="AY46" s="75">
        <v>24</v>
      </c>
      <c r="AZ46" s="75">
        <v>270</v>
      </c>
      <c r="BA46" s="75">
        <v>20</v>
      </c>
      <c r="BB46" s="75">
        <v>1</v>
      </c>
      <c r="BC46" s="75" t="s">
        <v>2775</v>
      </c>
      <c r="BD46" s="78" t="str">
        <f>HYPERLINK(".\links\CDD\EEC12427.1-CDD.txt","PTZ00335 tubulin alpha chain")</f>
        <v>PTZ00335 tubulin alpha chain</v>
      </c>
      <c r="BE46" s="79">
        <v>2.9999999999999998E-123</v>
      </c>
      <c r="BF46" s="75">
        <v>45.5</v>
      </c>
      <c r="BG46" s="75" t="s">
        <v>2982</v>
      </c>
      <c r="BH46" s="75" t="s">
        <v>3018</v>
      </c>
      <c r="BI46" s="75" t="str">
        <f>HYPERLINK(".\links\KOG\EEC12427.1-KOG.txt","CDD:227356 COG5023, COG5023, Tubulin")</f>
        <v>CDD:227356 COG5023, COG5023, Tubulin</v>
      </c>
      <c r="BJ46" s="79">
        <v>8.9999999999999999E-83</v>
      </c>
      <c r="BK46" s="75">
        <v>46.5</v>
      </c>
      <c r="BL46" s="75" t="s">
        <v>2974</v>
      </c>
      <c r="BM46" s="75" t="s">
        <v>2779</v>
      </c>
      <c r="BN46" s="78" t="str">
        <f>HYPERLINK(".\links\PFAM\EEC12427.1-PFAM.txt","Tubulin_C Tubulin C-terminal domain")</f>
        <v>Tubulin_C Tubulin C-terminal domain</v>
      </c>
      <c r="BO46" s="79">
        <v>2E-73</v>
      </c>
      <c r="BP46" s="75">
        <v>104</v>
      </c>
      <c r="BQ46" s="75" t="s">
        <v>2975</v>
      </c>
      <c r="BR46" s="75" t="s">
        <v>2772</v>
      </c>
      <c r="BS46" s="78" t="str">
        <f>HYPERLINK(".\links\SMART\EEC12427.1-SMART.txt","CDD:214868 smart00865, Tubulin_C, Tubulin/FtsZ family, C-terminal domain")</f>
        <v>CDD:214868 smart00865, Tubulin_C, Tubulin/FtsZ family, C-terminal domain</v>
      </c>
      <c r="BT46" s="79">
        <v>4.0000000000000002E-26</v>
      </c>
      <c r="BU46" s="75">
        <v>125</v>
      </c>
      <c r="BV46" s="75" t="s">
        <v>3001</v>
      </c>
      <c r="BW46" s="75" t="s">
        <v>2772</v>
      </c>
      <c r="BX46" s="78" t="str">
        <f>HYPERLINK(".\links\TSF\EEC12427.1-TSF.txt","45-141 45-141, Papa||S|")</f>
        <v>45-141 45-141, Papa||S|</v>
      </c>
      <c r="BY46" s="75">
        <v>0.3</v>
      </c>
      <c r="BZ46" s="75">
        <v>8.9</v>
      </c>
      <c r="CA46" s="75" t="s">
        <v>3019</v>
      </c>
      <c r="CB46" s="75" t="s">
        <v>3020</v>
      </c>
      <c r="CC46" s="75" t="s">
        <v>2772</v>
      </c>
      <c r="CD46" s="75" t="s">
        <v>2785</v>
      </c>
      <c r="CE46" s="75" t="s">
        <v>3021</v>
      </c>
      <c r="CF46" s="75">
        <f>HYPERLINK(".\links\cluster-b\Ixsc-cement-202225-50SimCLU2.txt", 2)</f>
        <v>2</v>
      </c>
      <c r="CG46" s="75">
        <f>HYPERLINK(".\links\cluster-b\Ixsc-cement-202225-50SimCLTL2.txt", 13)</f>
        <v>13</v>
      </c>
      <c r="CH46" s="75">
        <f>HYPERLINK(".\links\cluster-b\Ixsc-cement-202230-50SimCLU2.txt", 2)</f>
        <v>2</v>
      </c>
      <c r="CI46" s="75">
        <f>HYPERLINK(".\links\cluster-b\Ixsc-cement-202230-50SimCLTL2.txt", 12)</f>
        <v>12</v>
      </c>
      <c r="CJ46" s="75">
        <f>HYPERLINK(".\links\cluster-b\Ixsc-cement-202235-50SimCLU2.txt", 2)</f>
        <v>2</v>
      </c>
      <c r="CK46" s="75">
        <f>HYPERLINK(".\links\cluster-b\Ixsc-cement-202235-50SimCLTL2.txt", 12)</f>
        <v>12</v>
      </c>
      <c r="CL46" s="75">
        <f>HYPERLINK(".\links\cluster-b\Ixsc-cement-202240-50SimCLU1.txt", 1)</f>
        <v>1</v>
      </c>
      <c r="CM46" s="75">
        <f>HYPERLINK(".\links\cluster-b\Ixsc-cement-202240-50SimCLTL1.txt", 12)</f>
        <v>12</v>
      </c>
      <c r="CN46" s="75">
        <v>64</v>
      </c>
      <c r="CO46" s="75">
        <v>1</v>
      </c>
      <c r="CP46" s="75">
        <v>66</v>
      </c>
      <c r="CQ46" s="75">
        <v>1</v>
      </c>
      <c r="CR46" s="75">
        <v>67</v>
      </c>
      <c r="CS46" s="75">
        <v>1</v>
      </c>
      <c r="CT46" s="75">
        <v>71</v>
      </c>
      <c r="CU46" s="75">
        <v>1</v>
      </c>
      <c r="CV46" s="75">
        <v>74</v>
      </c>
      <c r="CW46" s="75">
        <v>1</v>
      </c>
      <c r="CX46" s="75">
        <v>78</v>
      </c>
      <c r="CY46" s="75">
        <v>1</v>
      </c>
      <c r="CZ46" s="75">
        <v>80</v>
      </c>
      <c r="DA46" s="75">
        <v>1</v>
      </c>
      <c r="DB46" s="75">
        <v>86</v>
      </c>
      <c r="DC46" s="75">
        <v>1</v>
      </c>
      <c r="DD46" s="75">
        <v>89</v>
      </c>
      <c r="DE46" s="75">
        <v>1</v>
      </c>
      <c r="DF46" s="75">
        <v>91</v>
      </c>
      <c r="DG46" s="75">
        <v>1</v>
      </c>
      <c r="DH46" s="75">
        <v>92</v>
      </c>
      <c r="DI46" s="75">
        <v>1</v>
      </c>
      <c r="DJ46" s="75" t="s">
        <v>202</v>
      </c>
      <c r="DK46" s="75" t="str">
        <f>HYPERLINK(".\links\AAM-CEMENT-2018\EEC12427.1-AAM-CEMENT-2018.txt","Extracted CDS")</f>
        <v>Extracted CDS</v>
      </c>
      <c r="DL46" s="75" t="str">
        <f>HYPERLINK("http://www.ncbi.nlm.nih.gov/sutils/blink.cgi?pid=Aam-178138","1E-123")</f>
        <v>1E-123</v>
      </c>
      <c r="DM46" s="75" t="str">
        <f>HYPERLINK("http://www.ncbi.nlm.nih.gov/protein/Aam-178138","Aam-178138")</f>
        <v>Aam-178138</v>
      </c>
      <c r="DN46" s="75">
        <v>350</v>
      </c>
      <c r="DO46" s="75">
        <v>208</v>
      </c>
      <c r="DP46" s="75">
        <v>477</v>
      </c>
      <c r="DQ46" s="75">
        <v>81</v>
      </c>
      <c r="DR46" s="75">
        <v>86</v>
      </c>
      <c r="DS46" s="75">
        <v>44</v>
      </c>
      <c r="DT46" s="75">
        <v>39</v>
      </c>
      <c r="DU46" s="75">
        <v>24</v>
      </c>
      <c r="DV46" s="75">
        <v>270</v>
      </c>
      <c r="DW46" s="75">
        <v>20</v>
      </c>
      <c r="DX46" s="75">
        <v>1</v>
      </c>
      <c r="DY46" s="75" t="s">
        <v>2775</v>
      </c>
      <c r="DZ46" s="75" t="str">
        <f>HYPERLINK(".\links\CDD\EEC12427.1-CDD.txt","PTZ00335 tubulin alpha chain")</f>
        <v>PTZ00335 tubulin alpha chain</v>
      </c>
      <c r="EA46" s="79">
        <v>2.9999999999999998E-123</v>
      </c>
      <c r="EB46" s="75">
        <v>45.5</v>
      </c>
      <c r="EC46" s="75" t="s">
        <v>2982</v>
      </c>
      <c r="ED46" s="75" t="s">
        <v>3018</v>
      </c>
      <c r="EE46" s="75" t="str">
        <f>HYPERLINK(".\links\KOG\EEC12427.1-KOG.txt","CDD:227356 COG5023, COG5023, Tubulin")</f>
        <v>CDD:227356 COG5023, COG5023, Tubulin</v>
      </c>
      <c r="EF46" s="79">
        <v>8.9999999999999999E-83</v>
      </c>
      <c r="EG46" s="75">
        <v>46.5</v>
      </c>
      <c r="EH46" s="75" t="s">
        <v>2974</v>
      </c>
      <c r="EI46" s="75" t="s">
        <v>2779</v>
      </c>
      <c r="EJ46" s="75" t="str">
        <f>HYPERLINK(".\links\PFAM\EEC12427.1-PFAM.txt","Tubulin_C Tubulin C-terminal domain")</f>
        <v>Tubulin_C Tubulin C-terminal domain</v>
      </c>
      <c r="EK46" s="79">
        <v>2E-73</v>
      </c>
      <c r="EL46" s="75">
        <v>104</v>
      </c>
      <c r="EM46" s="75" t="s">
        <v>2975</v>
      </c>
      <c r="EN46" s="75" t="s">
        <v>2772</v>
      </c>
      <c r="EO46" s="75" t="str">
        <f>HYPERLINK(".\links\SMART\EEC12427.1-SMART.txt","CDD:214868 smart00865, Tubulin_C, Tubulin/FtsZ family, C-terminal domain")</f>
        <v>CDD:214868 smart00865, Tubulin_C, Tubulin/FtsZ family, C-terminal domain</v>
      </c>
      <c r="EP46" s="79">
        <v>4.0000000000000002E-26</v>
      </c>
      <c r="EQ46" s="75">
        <v>125</v>
      </c>
      <c r="ER46" s="75" t="s">
        <v>3001</v>
      </c>
      <c r="ES46" s="75" t="s">
        <v>2772</v>
      </c>
      <c r="ET46" s="75" t="str">
        <f>HYPERLINK(".\links\TSF\EEC12427.1-TSF.txt","45-141 45-141, Papa||S|")</f>
        <v>45-141 45-141, Papa||S|</v>
      </c>
      <c r="EU46" s="75">
        <v>0.3</v>
      </c>
      <c r="EV46" s="75">
        <v>8.9</v>
      </c>
      <c r="EW46" s="75" t="s">
        <v>3019</v>
      </c>
      <c r="EX46" s="75" t="s">
        <v>3020</v>
      </c>
      <c r="EY46" s="75" t="s">
        <v>2772</v>
      </c>
      <c r="EZ46" s="75" t="s">
        <v>2785</v>
      </c>
      <c r="FA46" s="75" t="s">
        <v>3021</v>
      </c>
    </row>
    <row r="47" spans="1:157" x14ac:dyDescent="0.2">
      <c r="A47" s="75" t="str">
        <f>HYPERLINK(".\links\PEP\EEC01810.1-PEP.txt","EEC01810.1")</f>
        <v>EEC01810.1</v>
      </c>
      <c r="B47" s="75" t="s">
        <v>2768</v>
      </c>
      <c r="C47" s="75">
        <v>857</v>
      </c>
      <c r="D47" s="75" t="s">
        <v>3022</v>
      </c>
      <c r="E47" s="76" t="s">
        <v>48</v>
      </c>
      <c r="F47" s="75" t="s">
        <v>2771</v>
      </c>
      <c r="G47" s="75" t="str">
        <f>HYPERLINK(".\links\Sigp\EEC01810.1-SigP.txt","CYT")</f>
        <v>CYT</v>
      </c>
      <c r="H47" s="75" t="s">
        <v>2772</v>
      </c>
      <c r="I47" s="75">
        <v>100.4</v>
      </c>
      <c r="J47" s="75">
        <v>5.49</v>
      </c>
      <c r="K47" s="75" t="s">
        <v>2772</v>
      </c>
      <c r="L47" s="75" t="s">
        <v>2772</v>
      </c>
      <c r="M47" s="75" t="str">
        <f>HYPERLINK(".\links\netoglyc\EEC01810.1-netoglyc.txt","0")</f>
        <v>0</v>
      </c>
      <c r="N47" s="75" t="s">
        <v>2817</v>
      </c>
      <c r="O47" s="75">
        <v>857</v>
      </c>
      <c r="P47" s="75">
        <v>0</v>
      </c>
      <c r="Q47" s="75" t="s">
        <v>2772</v>
      </c>
      <c r="R47" s="75" t="s">
        <v>2772</v>
      </c>
      <c r="S47" s="75" t="s">
        <v>2772</v>
      </c>
      <c r="T47" s="75" t="s">
        <v>2772</v>
      </c>
      <c r="U47" s="75" t="s">
        <v>2772</v>
      </c>
      <c r="V47" s="75" t="s">
        <v>3023</v>
      </c>
      <c r="W47" s="75">
        <v>10.4</v>
      </c>
      <c r="X47" s="75">
        <v>1.6</v>
      </c>
      <c r="Y47" s="75">
        <v>0.1</v>
      </c>
      <c r="Z47" s="75" t="s">
        <v>2774</v>
      </c>
      <c r="AA47" s="77">
        <v>1.7502917152858799</v>
      </c>
      <c r="AB47" s="75">
        <v>0.45</v>
      </c>
      <c r="AD47" s="75">
        <v>5</v>
      </c>
      <c r="AE47" s="75" t="str">
        <f>HYPERLINK(".\links\pep\EEC01810.1-sulf.txt","4")</f>
        <v>4</v>
      </c>
      <c r="AF47" s="75" t="str">
        <f>HYPERLINK(".\links\pep\EEC01810.1-tyr-sulf.txt","Fasta with y")</f>
        <v>Fasta with y</v>
      </c>
      <c r="AG47" s="75" t="s">
        <v>2772</v>
      </c>
      <c r="AH47" s="75" t="s">
        <v>2772</v>
      </c>
      <c r="AI47" s="75">
        <v>1</v>
      </c>
      <c r="AJ47" s="75">
        <v>2</v>
      </c>
      <c r="AK47" s="75" t="s">
        <v>2772</v>
      </c>
      <c r="AL47" s="75" t="s">
        <v>2772</v>
      </c>
      <c r="AM47" s="75" t="s">
        <v>2772</v>
      </c>
      <c r="AN47" s="75" t="s">
        <v>2772</v>
      </c>
      <c r="AO47" s="78" t="str">
        <f>HYPERLINK(".\links\AAM-CEMENT-2018\EEC01810.1-AAM-CEMENT-2018.txt","Extracted CDS")</f>
        <v>Extracted CDS</v>
      </c>
      <c r="AP47" s="75" t="str">
        <f>HYPERLINK("http://www.ncbi.nlm.nih.gov/sutils/blink.cgi?pid=Aam-835","0.87")</f>
        <v>0.87</v>
      </c>
      <c r="AQ47" s="75" t="str">
        <f>HYPERLINK("http://www.ncbi.nlm.nih.gov/protein/Aam-835","Aam-835")</f>
        <v>Aam-835</v>
      </c>
      <c r="AR47" s="75">
        <v>25.8</v>
      </c>
      <c r="AS47" s="75">
        <v>61</v>
      </c>
      <c r="AT47" s="75">
        <v>1670</v>
      </c>
      <c r="AU47" s="75">
        <v>31</v>
      </c>
      <c r="AV47" s="75">
        <v>47</v>
      </c>
      <c r="AW47" s="75">
        <v>4</v>
      </c>
      <c r="AX47" s="75">
        <v>42</v>
      </c>
      <c r="AY47" s="75">
        <v>2</v>
      </c>
      <c r="AZ47" s="75">
        <v>1265</v>
      </c>
      <c r="BA47" s="75">
        <v>274</v>
      </c>
      <c r="BB47" s="75">
        <v>1</v>
      </c>
      <c r="BC47" s="75" t="s">
        <v>2775</v>
      </c>
      <c r="BD47" s="78" t="str">
        <f>HYPERLINK(".\links\CDD\EEC01810.1-CDD.txt","Myosin_tail_1 Myosin tail")</f>
        <v>Myosin_tail_1 Myosin tail</v>
      </c>
      <c r="BE47" s="79">
        <v>2.0000000000000001E-61</v>
      </c>
      <c r="BF47" s="75">
        <v>75.2</v>
      </c>
      <c r="BG47" s="75" t="s">
        <v>3024</v>
      </c>
      <c r="BH47" s="75" t="s">
        <v>3025</v>
      </c>
      <c r="BI47" s="75" t="str">
        <f>HYPERLINK(".\links\KOG\EEC01810.1-KOG.txt","CDD:224117 COG1196, Smc, Chromosome segregation ATPases")</f>
        <v>CDD:224117 COG1196, Smc, Chromosome segregation ATPases</v>
      </c>
      <c r="BJ47" s="79">
        <v>7.0000000000000001E-20</v>
      </c>
      <c r="BK47" s="75">
        <v>60.3</v>
      </c>
      <c r="BL47" s="75" t="s">
        <v>3026</v>
      </c>
      <c r="BM47" s="75" t="s">
        <v>2779</v>
      </c>
      <c r="BN47" s="78" t="str">
        <f>HYPERLINK(".\links\PFAM\EEC01810.1-PFAM.txt","Myosin_tail_1 Myosin tail")</f>
        <v>Myosin_tail_1 Myosin tail</v>
      </c>
      <c r="BO47" s="79">
        <v>4.0000000000000002E-62</v>
      </c>
      <c r="BP47" s="75">
        <v>75.2</v>
      </c>
      <c r="BQ47" s="75" t="s">
        <v>3024</v>
      </c>
      <c r="BR47" s="75" t="s">
        <v>2772</v>
      </c>
      <c r="BS47" s="78" t="str">
        <f>HYPERLINK(".\links\SMART\EEC01810.1-SMART.txt","CDD:214661 smart00435, TOPEUc, DNA Topoisomerase I")</f>
        <v>CDD:214661 smart00435, TOPEUc, DNA Topoisomerase I</v>
      </c>
      <c r="BT47" s="79">
        <v>2.9999999999999997E-4</v>
      </c>
      <c r="BU47" s="75">
        <v>15.6</v>
      </c>
      <c r="BV47" s="75" t="s">
        <v>3027</v>
      </c>
      <c r="BW47" s="75" t="s">
        <v>2772</v>
      </c>
      <c r="BX47" s="78" t="str">
        <f>HYPERLINK(".\links\TSF\EEC01810.1-TSF.txt","25-248 25-248, Laminin||S|")</f>
        <v>25-248 25-248, Laminin||S|</v>
      </c>
      <c r="BY47" s="79">
        <v>3.0000000000000001E-17</v>
      </c>
      <c r="BZ47" s="75">
        <v>27.8</v>
      </c>
      <c r="CA47" s="75" t="s">
        <v>3028</v>
      </c>
      <c r="CB47" s="75" t="s">
        <v>3029</v>
      </c>
      <c r="CC47" s="75" t="s">
        <v>2772</v>
      </c>
      <c r="CD47" s="75" t="s">
        <v>2785</v>
      </c>
      <c r="CE47" s="75" t="s">
        <v>3030</v>
      </c>
      <c r="CF47" s="75">
        <f>HYPERLINK(".\links\cluster-b\Ixsc-cement-202225-50SimCLU16.txt", 16)</f>
        <v>16</v>
      </c>
      <c r="CG47" s="75">
        <f>HYPERLINK(".\links\cluster-b\Ixsc-cement-202225-50SimCLTL16.txt", 2)</f>
        <v>2</v>
      </c>
      <c r="CH47" s="75">
        <f>HYPERLINK(".\links\cluster-b\Ixsc-cement-202230-50SimCLU15.txt", 15)</f>
        <v>15</v>
      </c>
      <c r="CI47" s="75">
        <f>HYPERLINK(".\links\cluster-b\Ixsc-cement-202230-50SimCLTL15.txt", 2)</f>
        <v>2</v>
      </c>
      <c r="CJ47" s="75">
        <v>28</v>
      </c>
      <c r="CK47" s="75">
        <v>1</v>
      </c>
      <c r="CL47" s="75">
        <v>30</v>
      </c>
      <c r="CM47" s="75">
        <v>1</v>
      </c>
      <c r="CN47" s="75">
        <v>29</v>
      </c>
      <c r="CO47" s="75">
        <v>1</v>
      </c>
      <c r="CP47" s="75">
        <v>29</v>
      </c>
      <c r="CQ47" s="75">
        <v>1</v>
      </c>
      <c r="CR47" s="75">
        <v>30</v>
      </c>
      <c r="CS47" s="75">
        <v>1</v>
      </c>
      <c r="CT47" s="75">
        <v>32</v>
      </c>
      <c r="CU47" s="75">
        <v>1</v>
      </c>
      <c r="CV47" s="75">
        <v>32</v>
      </c>
      <c r="CW47" s="75">
        <v>1</v>
      </c>
      <c r="CX47" s="75">
        <v>33</v>
      </c>
      <c r="CY47" s="75">
        <v>1</v>
      </c>
      <c r="CZ47" s="75">
        <v>33</v>
      </c>
      <c r="DA47" s="75">
        <v>1</v>
      </c>
      <c r="DB47" s="75">
        <v>33</v>
      </c>
      <c r="DC47" s="75">
        <v>1</v>
      </c>
      <c r="DD47" s="75">
        <v>31</v>
      </c>
      <c r="DE47" s="75">
        <v>1</v>
      </c>
      <c r="DF47" s="75">
        <v>30</v>
      </c>
      <c r="DG47" s="75">
        <v>1</v>
      </c>
      <c r="DH47" s="75">
        <v>30</v>
      </c>
      <c r="DI47" s="75">
        <v>1</v>
      </c>
      <c r="DJ47" s="75" t="s">
        <v>148</v>
      </c>
      <c r="DK47" s="75" t="str">
        <f>HYPERLINK(".\links\AAM-CEMENT-2018\EEC01810.1-AAM-CEMENT-2018.txt","Extracted CDS")</f>
        <v>Extracted CDS</v>
      </c>
      <c r="DL47" s="75" t="str">
        <f>HYPERLINK("http://www.ncbi.nlm.nih.gov/sutils/blink.cgi?pid=Aam-835","0.87")</f>
        <v>0.87</v>
      </c>
      <c r="DM47" s="75" t="str">
        <f>HYPERLINK("http://www.ncbi.nlm.nih.gov/protein/Aam-835","Aam-835")</f>
        <v>Aam-835</v>
      </c>
      <c r="DN47" s="75">
        <v>25.8</v>
      </c>
      <c r="DO47" s="75">
        <v>61</v>
      </c>
      <c r="DP47" s="75">
        <v>1670</v>
      </c>
      <c r="DQ47" s="75">
        <v>31</v>
      </c>
      <c r="DR47" s="75">
        <v>47</v>
      </c>
      <c r="DS47" s="75">
        <v>4</v>
      </c>
      <c r="DT47" s="75">
        <v>42</v>
      </c>
      <c r="DU47" s="75">
        <v>2</v>
      </c>
      <c r="DV47" s="75">
        <v>1265</v>
      </c>
      <c r="DW47" s="75">
        <v>274</v>
      </c>
      <c r="DX47" s="75">
        <v>1</v>
      </c>
      <c r="DY47" s="75" t="s">
        <v>2775</v>
      </c>
      <c r="DZ47" s="75" t="str">
        <f>HYPERLINK(".\links\CDD\EEC01810.1-CDD.txt","Myosin_tail_1 Myosin tail")</f>
        <v>Myosin_tail_1 Myosin tail</v>
      </c>
      <c r="EA47" s="79">
        <v>2.0000000000000001E-61</v>
      </c>
      <c r="EB47" s="75">
        <v>75.2</v>
      </c>
      <c r="EC47" s="75" t="s">
        <v>3024</v>
      </c>
      <c r="ED47" s="75" t="s">
        <v>3025</v>
      </c>
      <c r="EE47" s="75" t="str">
        <f>HYPERLINK(".\links\KOG\EEC01810.1-KOG.txt","CDD:224117 COG1196, Smc, Chromosome segregation ATPases")</f>
        <v>CDD:224117 COG1196, Smc, Chromosome segregation ATPases</v>
      </c>
      <c r="EF47" s="79">
        <v>7.0000000000000001E-20</v>
      </c>
      <c r="EG47" s="75">
        <v>60.3</v>
      </c>
      <c r="EH47" s="75" t="s">
        <v>3026</v>
      </c>
      <c r="EI47" s="75" t="s">
        <v>2779</v>
      </c>
      <c r="EJ47" s="75" t="str">
        <f>HYPERLINK(".\links\PFAM\EEC01810.1-PFAM.txt","Myosin_tail_1 Myosin tail")</f>
        <v>Myosin_tail_1 Myosin tail</v>
      </c>
      <c r="EK47" s="79">
        <v>4.0000000000000002E-62</v>
      </c>
      <c r="EL47" s="75">
        <v>75.2</v>
      </c>
      <c r="EM47" s="75" t="s">
        <v>3024</v>
      </c>
      <c r="EN47" s="75" t="s">
        <v>2772</v>
      </c>
      <c r="EO47" s="75" t="str">
        <f>HYPERLINK(".\links\SMART\EEC01810.1-SMART.txt","CDD:214661 smart00435, TOPEUc, DNA Topoisomerase I")</f>
        <v>CDD:214661 smart00435, TOPEUc, DNA Topoisomerase I</v>
      </c>
      <c r="EP47" s="79">
        <v>2.9999999999999997E-4</v>
      </c>
      <c r="EQ47" s="75">
        <v>15.6</v>
      </c>
      <c r="ER47" s="75" t="s">
        <v>3027</v>
      </c>
      <c r="ES47" s="75" t="s">
        <v>2772</v>
      </c>
      <c r="ET47" s="75" t="str">
        <f>HYPERLINK(".\links\TSF\EEC01810.1-TSF.txt","25-248 25-248, Laminin||S|")</f>
        <v>25-248 25-248, Laminin||S|</v>
      </c>
      <c r="EU47" s="79">
        <v>3.0000000000000001E-17</v>
      </c>
      <c r="EV47" s="75">
        <v>27.8</v>
      </c>
      <c r="EW47" s="75" t="s">
        <v>3028</v>
      </c>
      <c r="EX47" s="75" t="s">
        <v>3029</v>
      </c>
      <c r="EY47" s="75" t="s">
        <v>2772</v>
      </c>
      <c r="EZ47" s="75" t="s">
        <v>2785</v>
      </c>
      <c r="FA47" s="75" t="s">
        <v>3030</v>
      </c>
    </row>
    <row r="48" spans="1:157" x14ac:dyDescent="0.2">
      <c r="A48" s="75" t="str">
        <f>HYPERLINK(".\links\PEP\EEC09701.1-PEP.txt","EEC09701.1")</f>
        <v>EEC09701.1</v>
      </c>
      <c r="B48" s="75" t="s">
        <v>2574</v>
      </c>
      <c r="C48" s="75">
        <v>306</v>
      </c>
      <c r="D48" s="75" t="s">
        <v>3031</v>
      </c>
      <c r="E48" s="76" t="s">
        <v>48</v>
      </c>
      <c r="F48" s="75" t="s">
        <v>2771</v>
      </c>
      <c r="G48" s="75" t="str">
        <f>HYPERLINK(".\links\Sigp\EEC09701.1-SigP.txt","CYT")</f>
        <v>CYT</v>
      </c>
      <c r="H48" s="75" t="s">
        <v>2772</v>
      </c>
      <c r="I48" s="75">
        <v>34.566000000000003</v>
      </c>
      <c r="J48" s="75">
        <v>5.52</v>
      </c>
      <c r="K48" s="75" t="s">
        <v>2772</v>
      </c>
      <c r="L48" s="75" t="s">
        <v>2772</v>
      </c>
      <c r="M48" s="75" t="str">
        <f>HYPERLINK(".\links\netoglyc\EEC09701.1-netoglyc.txt","0")</f>
        <v>0</v>
      </c>
      <c r="N48" s="75" t="s">
        <v>3032</v>
      </c>
      <c r="O48" s="75">
        <v>306</v>
      </c>
      <c r="P48" s="75" t="str">
        <f>HYPERLINK(".\links\tmhmm\EEC09701.1-tmhmm.txt","2")</f>
        <v>2</v>
      </c>
      <c r="Q48" s="75">
        <v>12.7</v>
      </c>
      <c r="R48" s="75">
        <v>16.7</v>
      </c>
      <c r="S48" s="75">
        <v>70.599999999999994</v>
      </c>
      <c r="T48" s="75" t="s">
        <v>2772</v>
      </c>
      <c r="U48" s="75" t="s">
        <v>2772</v>
      </c>
      <c r="V48" s="75" t="s">
        <v>3033</v>
      </c>
      <c r="W48" s="75">
        <v>12.2</v>
      </c>
      <c r="X48" s="75">
        <v>6.4</v>
      </c>
      <c r="Y48" s="75">
        <v>3.2</v>
      </c>
      <c r="Z48" s="75" t="s">
        <v>2774</v>
      </c>
      <c r="AA48" s="77">
        <v>9.8039215686274499</v>
      </c>
      <c r="AB48" s="75">
        <v>0.34</v>
      </c>
      <c r="AD48" s="75">
        <v>4</v>
      </c>
      <c r="AE48" s="75" t="s">
        <v>2772</v>
      </c>
      <c r="AF48" s="75" t="s">
        <v>2772</v>
      </c>
      <c r="AG48" s="75" t="s">
        <v>2772</v>
      </c>
      <c r="AH48" s="75" t="s">
        <v>2772</v>
      </c>
      <c r="AI48" s="75" t="s">
        <v>2772</v>
      </c>
      <c r="AJ48" s="75">
        <v>1</v>
      </c>
      <c r="AK48" s="75" t="s">
        <v>2772</v>
      </c>
      <c r="AL48" s="75" t="s">
        <v>2772</v>
      </c>
      <c r="AM48" s="75" t="s">
        <v>2772</v>
      </c>
      <c r="AN48" s="75" t="s">
        <v>2772</v>
      </c>
      <c r="AO48" s="78" t="str">
        <f>HYPERLINK(".\links\AAM-CEMENT-2018\EEC09701.1-AAM-CEMENT-2018.txt","Extracted CDS")</f>
        <v>Extracted CDS</v>
      </c>
      <c r="AP48" s="75" t="str">
        <f>HYPERLINK("http://www.ncbi.nlm.nih.gov/sutils/blink.cgi?pid=Aam-20","0.42")</f>
        <v>0.42</v>
      </c>
      <c r="AQ48" s="75" t="str">
        <f>HYPERLINK("http://www.ncbi.nlm.nih.gov/protein/Aam-20","Aam-20")</f>
        <v>Aam-20</v>
      </c>
      <c r="AR48" s="75">
        <v>25</v>
      </c>
      <c r="AS48" s="75">
        <v>85</v>
      </c>
      <c r="AT48" s="75">
        <v>652</v>
      </c>
      <c r="AU48" s="75">
        <v>27</v>
      </c>
      <c r="AV48" s="75">
        <v>47</v>
      </c>
      <c r="AW48" s="75">
        <v>13</v>
      </c>
      <c r="AX48" s="75">
        <v>62</v>
      </c>
      <c r="AY48" s="75">
        <v>8</v>
      </c>
      <c r="AZ48" s="75">
        <v>276</v>
      </c>
      <c r="BA48" s="75">
        <v>4</v>
      </c>
      <c r="BB48" s="75">
        <v>1</v>
      </c>
      <c r="BC48" s="75" t="s">
        <v>2775</v>
      </c>
      <c r="BD48" s="78" t="str">
        <f>HYPERLINK(".\links\CDD\EEC09701.1-CDD.txt","Tropomyosin Tropomyosin")</f>
        <v>Tropomyosin Tropomyosin</v>
      </c>
      <c r="BE48" s="79">
        <v>5.0000000000000002E-63</v>
      </c>
      <c r="BF48" s="75">
        <v>56.6</v>
      </c>
      <c r="BG48" s="75" t="s">
        <v>3034</v>
      </c>
      <c r="BH48" s="75" t="s">
        <v>3035</v>
      </c>
      <c r="BI48" s="75" t="str">
        <f>HYPERLINK(".\links\KOG\EEC09701.1-KOG.txt","CDD:224117 COG1196, Smc, Chromosome segregation ATPases")</f>
        <v>CDD:224117 COG1196, Smc, Chromosome segregation ATPases</v>
      </c>
      <c r="BJ48" s="79">
        <v>3.9999999999999998E-11</v>
      </c>
      <c r="BK48" s="75">
        <v>12.6</v>
      </c>
      <c r="BL48" s="75" t="s">
        <v>3026</v>
      </c>
      <c r="BM48" s="75" t="s">
        <v>2779</v>
      </c>
      <c r="BN48" s="78" t="str">
        <f>HYPERLINK(".\links\PFAM\EEC09701.1-PFAM.txt","Tropomyosin Tropomyosin")</f>
        <v>Tropomyosin Tropomyosin</v>
      </c>
      <c r="BO48" s="79">
        <v>1.0000000000000001E-63</v>
      </c>
      <c r="BP48" s="75">
        <v>56.6</v>
      </c>
      <c r="BQ48" s="75" t="s">
        <v>3034</v>
      </c>
      <c r="BR48" s="75" t="s">
        <v>2772</v>
      </c>
      <c r="BS48" s="78" t="str">
        <f>HYPERLINK(".\links\SMART\EEC09701.1-SMART.txt","CDD:214661 smart00435, TOPEUc, DNA Topoisomerase I")</f>
        <v>CDD:214661 smart00435, TOPEUc, DNA Topoisomerase I</v>
      </c>
      <c r="BT48" s="75">
        <v>8.9999999999999993E-3</v>
      </c>
      <c r="BU48" s="75">
        <v>19.899999999999999</v>
      </c>
      <c r="BV48" s="75" t="s">
        <v>3027</v>
      </c>
      <c r="BW48" s="75" t="s">
        <v>2772</v>
      </c>
      <c r="BX48" s="78" t="str">
        <f>HYPERLINK(".\links\TSF\EEC09701.1-TSF.txt","25-248 25-248, Laminin||S|")</f>
        <v>25-248 25-248, Laminin||S|</v>
      </c>
      <c r="BY48" s="79">
        <v>3.0000000000000001E-5</v>
      </c>
      <c r="BZ48" s="75">
        <v>9.9</v>
      </c>
      <c r="CA48" s="75" t="s">
        <v>3028</v>
      </c>
      <c r="CB48" s="75" t="s">
        <v>3029</v>
      </c>
      <c r="CC48" s="75" t="s">
        <v>2772</v>
      </c>
      <c r="CD48" s="75" t="s">
        <v>2785</v>
      </c>
      <c r="CE48" s="75" t="s">
        <v>3030</v>
      </c>
      <c r="CF48" s="75">
        <v>39</v>
      </c>
      <c r="CG48" s="75">
        <v>1</v>
      </c>
      <c r="CH48" s="75">
        <v>47</v>
      </c>
      <c r="CI48" s="75">
        <v>1</v>
      </c>
      <c r="CJ48" s="75">
        <v>48</v>
      </c>
      <c r="CK48" s="75">
        <v>1</v>
      </c>
      <c r="CL48" s="75">
        <v>52</v>
      </c>
      <c r="CM48" s="75">
        <v>1</v>
      </c>
      <c r="CN48" s="75">
        <v>54</v>
      </c>
      <c r="CO48" s="75">
        <v>1</v>
      </c>
      <c r="CP48" s="75">
        <v>55</v>
      </c>
      <c r="CQ48" s="75">
        <v>1</v>
      </c>
      <c r="CR48" s="75">
        <v>56</v>
      </c>
      <c r="CS48" s="75">
        <v>1</v>
      </c>
      <c r="CT48" s="75">
        <v>60</v>
      </c>
      <c r="CU48" s="75">
        <v>1</v>
      </c>
      <c r="CV48" s="75">
        <v>62</v>
      </c>
      <c r="CW48" s="75">
        <v>1</v>
      </c>
      <c r="CX48" s="75">
        <v>66</v>
      </c>
      <c r="CY48" s="75">
        <v>1</v>
      </c>
      <c r="CZ48" s="75">
        <v>68</v>
      </c>
      <c r="DA48" s="75">
        <v>1</v>
      </c>
      <c r="DB48" s="75">
        <v>72</v>
      </c>
      <c r="DC48" s="75">
        <v>1</v>
      </c>
      <c r="DD48" s="75">
        <v>75</v>
      </c>
      <c r="DE48" s="75">
        <v>1</v>
      </c>
      <c r="DF48" s="75">
        <v>77</v>
      </c>
      <c r="DG48" s="75">
        <v>1</v>
      </c>
      <c r="DH48" s="75">
        <v>78</v>
      </c>
      <c r="DI48" s="75">
        <v>1</v>
      </c>
      <c r="DJ48" s="75" t="s">
        <v>149</v>
      </c>
      <c r="DK48" s="75" t="str">
        <f>HYPERLINK(".\links\AAM-CEMENT-2018\EEC09701.1-AAM-CEMENT-2018.txt","Extracted CDS")</f>
        <v>Extracted CDS</v>
      </c>
      <c r="DL48" s="75" t="str">
        <f>HYPERLINK("http://www.ncbi.nlm.nih.gov/sutils/blink.cgi?pid=Aam-20","0.42")</f>
        <v>0.42</v>
      </c>
      <c r="DM48" s="75" t="str">
        <f>HYPERLINK("http://www.ncbi.nlm.nih.gov/protein/Aam-20","Aam-20")</f>
        <v>Aam-20</v>
      </c>
      <c r="DN48" s="75">
        <v>25</v>
      </c>
      <c r="DO48" s="75">
        <v>85</v>
      </c>
      <c r="DP48" s="75">
        <v>652</v>
      </c>
      <c r="DQ48" s="75">
        <v>27</v>
      </c>
      <c r="DR48" s="75">
        <v>47</v>
      </c>
      <c r="DS48" s="75">
        <v>13</v>
      </c>
      <c r="DT48" s="75">
        <v>62</v>
      </c>
      <c r="DU48" s="75">
        <v>8</v>
      </c>
      <c r="DV48" s="75">
        <v>276</v>
      </c>
      <c r="DW48" s="75">
        <v>4</v>
      </c>
      <c r="DX48" s="75">
        <v>1</v>
      </c>
      <c r="DY48" s="75" t="s">
        <v>2775</v>
      </c>
      <c r="DZ48" s="75" t="str">
        <f>HYPERLINK(".\links\CDD\EEC09701.1-CDD.txt","Tropomyosin Tropomyosin")</f>
        <v>Tropomyosin Tropomyosin</v>
      </c>
      <c r="EA48" s="79">
        <v>5.0000000000000002E-63</v>
      </c>
      <c r="EB48" s="75">
        <v>56.6</v>
      </c>
      <c r="EC48" s="75" t="s">
        <v>3034</v>
      </c>
      <c r="ED48" s="75" t="s">
        <v>3035</v>
      </c>
      <c r="EE48" s="75" t="str">
        <f>HYPERLINK(".\links\KOG\EEC09701.1-KOG.txt","CDD:224117 COG1196, Smc, Chromosome segregation ATPases")</f>
        <v>CDD:224117 COG1196, Smc, Chromosome segregation ATPases</v>
      </c>
      <c r="EF48" s="79">
        <v>3.9999999999999998E-11</v>
      </c>
      <c r="EG48" s="75">
        <v>12.6</v>
      </c>
      <c r="EH48" s="75" t="s">
        <v>3026</v>
      </c>
      <c r="EI48" s="75" t="s">
        <v>2779</v>
      </c>
      <c r="EJ48" s="75" t="str">
        <f>HYPERLINK(".\links\PFAM\EEC09701.1-PFAM.txt","Tropomyosin Tropomyosin")</f>
        <v>Tropomyosin Tropomyosin</v>
      </c>
      <c r="EK48" s="79">
        <v>1.0000000000000001E-63</v>
      </c>
      <c r="EL48" s="75">
        <v>56.6</v>
      </c>
      <c r="EM48" s="75" t="s">
        <v>3034</v>
      </c>
      <c r="EN48" s="75" t="s">
        <v>2772</v>
      </c>
      <c r="EO48" s="75" t="str">
        <f>HYPERLINK(".\links\SMART\EEC09701.1-SMART.txt","CDD:214661 smart00435, TOPEUc, DNA Topoisomerase I")</f>
        <v>CDD:214661 smart00435, TOPEUc, DNA Topoisomerase I</v>
      </c>
      <c r="EP48" s="75">
        <v>8.9999999999999993E-3</v>
      </c>
      <c r="EQ48" s="75">
        <v>19.899999999999999</v>
      </c>
      <c r="ER48" s="75" t="s">
        <v>3027</v>
      </c>
      <c r="ES48" s="75" t="s">
        <v>2772</v>
      </c>
      <c r="ET48" s="75" t="str">
        <f>HYPERLINK(".\links\TSF\EEC09701.1-TSF.txt","25-248 25-248, Laminin||S|")</f>
        <v>25-248 25-248, Laminin||S|</v>
      </c>
      <c r="EU48" s="79">
        <v>3.0000000000000001E-5</v>
      </c>
      <c r="EV48" s="75">
        <v>9.9</v>
      </c>
      <c r="EW48" s="75" t="s">
        <v>3028</v>
      </c>
      <c r="EX48" s="75" t="s">
        <v>3029</v>
      </c>
      <c r="EY48" s="75" t="s">
        <v>2772</v>
      </c>
      <c r="EZ48" s="75" t="s">
        <v>2785</v>
      </c>
      <c r="FA48" s="75" t="s">
        <v>3030</v>
      </c>
    </row>
    <row r="49" spans="1:157" x14ac:dyDescent="0.2">
      <c r="A49" s="75" t="str">
        <f>HYPERLINK(".\links\PEP\EEC04370.1-PEP.txt","EEC04370.1")</f>
        <v>EEC04370.1</v>
      </c>
      <c r="B49" s="75" t="s">
        <v>2768</v>
      </c>
      <c r="C49" s="75">
        <v>720</v>
      </c>
      <c r="D49" s="75" t="s">
        <v>3036</v>
      </c>
      <c r="E49" s="76" t="s">
        <v>48</v>
      </c>
      <c r="F49" s="75" t="s">
        <v>2771</v>
      </c>
      <c r="G49" s="75" t="str">
        <f>HYPERLINK(".\links\Sigp\EEC04370.1-SigP.txt","CYT")</f>
        <v>CYT</v>
      </c>
      <c r="H49" s="75" t="s">
        <v>2772</v>
      </c>
      <c r="I49" s="75">
        <v>82.215999999999994</v>
      </c>
      <c r="J49" s="75">
        <v>5.94</v>
      </c>
      <c r="K49" s="75" t="s">
        <v>2772</v>
      </c>
      <c r="L49" s="75" t="s">
        <v>2772</v>
      </c>
      <c r="M49" s="75" t="str">
        <f>HYPERLINK(".\links\netoglyc\EEC04370.1-netoglyc.txt","4")</f>
        <v>4</v>
      </c>
      <c r="N49" s="75" t="s">
        <v>2817</v>
      </c>
      <c r="O49" s="75">
        <v>720</v>
      </c>
      <c r="P49" s="75">
        <v>0</v>
      </c>
      <c r="Q49" s="75" t="s">
        <v>2772</v>
      </c>
      <c r="R49" s="75" t="s">
        <v>2772</v>
      </c>
      <c r="S49" s="75" t="s">
        <v>2772</v>
      </c>
      <c r="T49" s="75" t="s">
        <v>2772</v>
      </c>
      <c r="U49" s="75" t="s">
        <v>2772</v>
      </c>
      <c r="V49" s="75" t="s">
        <v>2772</v>
      </c>
      <c r="W49" s="75">
        <v>13.5</v>
      </c>
      <c r="X49" s="75">
        <v>3.7</v>
      </c>
      <c r="Y49" s="75">
        <v>2.2000000000000002</v>
      </c>
      <c r="Z49" s="75" t="s">
        <v>2774</v>
      </c>
      <c r="AA49" s="77">
        <v>5.9722222222222197</v>
      </c>
      <c r="AB49" s="75">
        <v>0.41</v>
      </c>
      <c r="AD49" s="75">
        <v>8</v>
      </c>
      <c r="AE49" s="75" t="s">
        <v>2772</v>
      </c>
      <c r="AF49" s="75" t="s">
        <v>2772</v>
      </c>
      <c r="AG49" s="75" t="s">
        <v>2772</v>
      </c>
      <c r="AH49" s="75" t="s">
        <v>2772</v>
      </c>
      <c r="AI49" s="75" t="s">
        <v>2772</v>
      </c>
      <c r="AJ49" s="75">
        <v>1</v>
      </c>
      <c r="AK49" s="75" t="s">
        <v>2772</v>
      </c>
      <c r="AL49" s="75" t="s">
        <v>2772</v>
      </c>
      <c r="AM49" s="75" t="s">
        <v>2772</v>
      </c>
      <c r="AN49" s="75" t="s">
        <v>2772</v>
      </c>
      <c r="AO49" s="78" t="str">
        <f>HYPERLINK(".\links\AAM-CEMENT-2018\EEC04370.1-AAM-CEMENT-2018.txt","Extracted CDS")</f>
        <v>Extracted CDS</v>
      </c>
      <c r="AP49" s="75" t="str">
        <f>HYPERLINK("http://www.ncbi.nlm.nih.gov/sutils/blink.cgi?pid=Aam-1508","1.9")</f>
        <v>1.9</v>
      </c>
      <c r="AQ49" s="75" t="str">
        <f>HYPERLINK("http://www.ncbi.nlm.nih.gov/protein/Aam-1508","Aam-1508")</f>
        <v>Aam-1508</v>
      </c>
      <c r="AR49" s="75">
        <v>24.3</v>
      </c>
      <c r="AS49" s="75">
        <v>225</v>
      </c>
      <c r="AT49" s="75">
        <v>1546</v>
      </c>
      <c r="AU49" s="75">
        <v>20</v>
      </c>
      <c r="AV49" s="75">
        <v>41</v>
      </c>
      <c r="AW49" s="75">
        <v>15</v>
      </c>
      <c r="AX49" s="75">
        <v>178</v>
      </c>
      <c r="AY49" s="75">
        <v>41</v>
      </c>
      <c r="AZ49" s="75">
        <v>652</v>
      </c>
      <c r="BA49" s="75">
        <v>253</v>
      </c>
      <c r="BB49" s="75">
        <v>1</v>
      </c>
      <c r="BC49" s="75" t="s">
        <v>2775</v>
      </c>
      <c r="BD49" s="78" t="str">
        <f>HYPERLINK(".\links\CDD\EEC04370.1-CDD.txt","Smc Chromosome segregation ATPases")</f>
        <v>Smc Chromosome segregation ATPases</v>
      </c>
      <c r="BE49" s="79">
        <v>9E-13</v>
      </c>
      <c r="BF49" s="75">
        <v>29.5</v>
      </c>
      <c r="BG49" s="75" t="s">
        <v>3026</v>
      </c>
      <c r="BH49" s="75" t="s">
        <v>3037</v>
      </c>
      <c r="BI49" s="75" t="str">
        <f>HYPERLINK(".\links\KOG\EEC04370.1-KOG.txt","CDD:224117 COG1196, Smc, Chromosome segregation ATPases")</f>
        <v>CDD:224117 COG1196, Smc, Chromosome segregation ATPases</v>
      </c>
      <c r="BJ49" s="79">
        <v>1E-13</v>
      </c>
      <c r="BK49" s="75">
        <v>29.5</v>
      </c>
      <c r="BL49" s="75" t="s">
        <v>3026</v>
      </c>
      <c r="BM49" s="75" t="s">
        <v>2779</v>
      </c>
      <c r="BN49" s="78" t="str">
        <f>HYPERLINK(".\links\PFAM\EEC04370.1-PFAM.txt","GRIP GRIP domain")</f>
        <v>GRIP GRIP domain</v>
      </c>
      <c r="BO49" s="79">
        <v>2E-12</v>
      </c>
      <c r="BP49" s="75">
        <v>100</v>
      </c>
      <c r="BQ49" s="75" t="s">
        <v>3038</v>
      </c>
      <c r="BR49" s="75" t="s">
        <v>2772</v>
      </c>
      <c r="BS49" s="78" t="str">
        <f>HYPERLINK(".\links\SMART\EEC04370.1-SMART.txt","CDD:197860 smart00755, Grip, golgin-97, RanBP2alpha,Imh1p and p230/golgin-245")</f>
        <v>CDD:197860 smart00755, Grip, golgin-97, RanBP2alpha,Imh1p and p230/golgin-245</v>
      </c>
      <c r="BT49" s="79">
        <v>7.0000000000000001E-12</v>
      </c>
      <c r="BU49" s="75">
        <v>95.7</v>
      </c>
      <c r="BV49" s="75" t="s">
        <v>3039</v>
      </c>
      <c r="BW49" s="75" t="s">
        <v>2772</v>
      </c>
      <c r="BX49" s="78" t="str">
        <f>HYPERLINK(".\links\TSF\EEC04370.1-TSF.txt","25-248 25-248, Laminin||S|")</f>
        <v>25-248 25-248, Laminin||S|</v>
      </c>
      <c r="BY49" s="79">
        <v>2E-12</v>
      </c>
      <c r="BZ49" s="75">
        <v>25.2</v>
      </c>
      <c r="CA49" s="75" t="s">
        <v>3028</v>
      </c>
      <c r="CB49" s="75" t="s">
        <v>3029</v>
      </c>
      <c r="CC49" s="75" t="s">
        <v>2772</v>
      </c>
      <c r="CD49" s="75" t="s">
        <v>2785</v>
      </c>
      <c r="CE49" s="75" t="s">
        <v>3030</v>
      </c>
      <c r="CF49" s="75">
        <f>HYPERLINK(".\links\cluster-b\Ixsc-cement-202225-50SimCLU16.txt", 16)</f>
        <v>16</v>
      </c>
      <c r="CG49" s="75">
        <f>HYPERLINK(".\links\cluster-b\Ixsc-cement-202225-50SimCLTL16.txt", 2)</f>
        <v>2</v>
      </c>
      <c r="CH49" s="75">
        <f>HYPERLINK(".\links\cluster-b\Ixsc-cement-202230-50SimCLU15.txt", 15)</f>
        <v>15</v>
      </c>
      <c r="CI49" s="75">
        <f>HYPERLINK(".\links\cluster-b\Ixsc-cement-202230-50SimCLTL15.txt", 2)</f>
        <v>2</v>
      </c>
      <c r="CJ49" s="75">
        <v>34</v>
      </c>
      <c r="CK49" s="75">
        <v>1</v>
      </c>
      <c r="CL49" s="75">
        <v>37</v>
      </c>
      <c r="CM49" s="75">
        <v>1</v>
      </c>
      <c r="CN49" s="75">
        <v>37</v>
      </c>
      <c r="CO49" s="75">
        <v>1</v>
      </c>
      <c r="CP49" s="75">
        <v>38</v>
      </c>
      <c r="CQ49" s="75">
        <v>1</v>
      </c>
      <c r="CR49" s="75">
        <v>39</v>
      </c>
      <c r="CS49" s="75">
        <v>1</v>
      </c>
      <c r="CT49" s="75">
        <v>43</v>
      </c>
      <c r="CU49" s="75">
        <v>1</v>
      </c>
      <c r="CV49" s="75">
        <v>45</v>
      </c>
      <c r="CW49" s="75">
        <v>1</v>
      </c>
      <c r="CX49" s="75">
        <v>47</v>
      </c>
      <c r="CY49" s="75">
        <v>1</v>
      </c>
      <c r="CZ49" s="75">
        <v>48</v>
      </c>
      <c r="DA49" s="75">
        <v>1</v>
      </c>
      <c r="DB49" s="75">
        <v>48</v>
      </c>
      <c r="DC49" s="75">
        <v>1</v>
      </c>
      <c r="DD49" s="75">
        <v>49</v>
      </c>
      <c r="DE49" s="75">
        <v>1</v>
      </c>
      <c r="DF49" s="75">
        <v>48</v>
      </c>
      <c r="DG49" s="75">
        <v>1</v>
      </c>
      <c r="DH49" s="75">
        <v>49</v>
      </c>
      <c r="DI49" s="75">
        <v>1</v>
      </c>
      <c r="DJ49" s="75" t="s">
        <v>3</v>
      </c>
      <c r="DK49" s="75" t="str">
        <f>HYPERLINK(".\links\AAM-CEMENT-2018\EEC04370.1-AAM-CEMENT-2018.txt","Extracted CDS")</f>
        <v>Extracted CDS</v>
      </c>
      <c r="DL49" s="75" t="str">
        <f>HYPERLINK("http://www.ncbi.nlm.nih.gov/sutils/blink.cgi?pid=Aam-1508","1.9")</f>
        <v>1.9</v>
      </c>
      <c r="DM49" s="75" t="str">
        <f>HYPERLINK("http://www.ncbi.nlm.nih.gov/protein/Aam-1508","Aam-1508")</f>
        <v>Aam-1508</v>
      </c>
      <c r="DN49" s="75">
        <v>24.3</v>
      </c>
      <c r="DO49" s="75">
        <v>225</v>
      </c>
      <c r="DP49" s="75">
        <v>1546</v>
      </c>
      <c r="DQ49" s="75">
        <v>20</v>
      </c>
      <c r="DR49" s="75">
        <v>41</v>
      </c>
      <c r="DS49" s="75">
        <v>15</v>
      </c>
      <c r="DT49" s="75">
        <v>178</v>
      </c>
      <c r="DU49" s="75">
        <v>41</v>
      </c>
      <c r="DV49" s="75">
        <v>652</v>
      </c>
      <c r="DW49" s="75">
        <v>253</v>
      </c>
      <c r="DX49" s="75">
        <v>1</v>
      </c>
      <c r="DY49" s="75" t="s">
        <v>2775</v>
      </c>
      <c r="DZ49" s="75" t="str">
        <f>HYPERLINK(".\links\CDD\EEC04370.1-CDD.txt","Smc Chromosome segregation ATPases")</f>
        <v>Smc Chromosome segregation ATPases</v>
      </c>
      <c r="EA49" s="79">
        <v>9E-13</v>
      </c>
      <c r="EB49" s="75">
        <v>29.5</v>
      </c>
      <c r="EC49" s="75" t="s">
        <v>3026</v>
      </c>
      <c r="ED49" s="75" t="s">
        <v>3037</v>
      </c>
      <c r="EE49" s="75" t="str">
        <f>HYPERLINK(".\links\KOG\EEC04370.1-KOG.txt","CDD:224117 COG1196, Smc, Chromosome segregation ATPases")</f>
        <v>CDD:224117 COG1196, Smc, Chromosome segregation ATPases</v>
      </c>
      <c r="EF49" s="79">
        <v>1E-13</v>
      </c>
      <c r="EG49" s="75">
        <v>29.5</v>
      </c>
      <c r="EH49" s="75" t="s">
        <v>3026</v>
      </c>
      <c r="EI49" s="75" t="s">
        <v>2779</v>
      </c>
      <c r="EJ49" s="75" t="str">
        <f>HYPERLINK(".\links\PFAM\EEC04370.1-PFAM.txt","GRIP GRIP domain")</f>
        <v>GRIP GRIP domain</v>
      </c>
      <c r="EK49" s="79">
        <v>2E-12</v>
      </c>
      <c r="EL49" s="75">
        <v>100</v>
      </c>
      <c r="EM49" s="75" t="s">
        <v>3038</v>
      </c>
      <c r="EN49" s="75" t="s">
        <v>2772</v>
      </c>
      <c r="EO49" s="75" t="str">
        <f>HYPERLINK(".\links\SMART\EEC04370.1-SMART.txt","CDD:197860 smart00755, Grip, golgin-97, RanBP2alpha,Imh1p and p230/golgin-245")</f>
        <v>CDD:197860 smart00755, Grip, golgin-97, RanBP2alpha,Imh1p and p230/golgin-245</v>
      </c>
      <c r="EP49" s="79">
        <v>7.0000000000000001E-12</v>
      </c>
      <c r="EQ49" s="75">
        <v>95.7</v>
      </c>
      <c r="ER49" s="75" t="s">
        <v>3039</v>
      </c>
      <c r="ES49" s="75" t="s">
        <v>2772</v>
      </c>
      <c r="ET49" s="75" t="str">
        <f>HYPERLINK(".\links\TSF\EEC04370.1-TSF.txt","25-248 25-248, Laminin||S|")</f>
        <v>25-248 25-248, Laminin||S|</v>
      </c>
      <c r="EU49" s="79">
        <v>2E-12</v>
      </c>
      <c r="EV49" s="75">
        <v>25.2</v>
      </c>
      <c r="EW49" s="75" t="s">
        <v>3028</v>
      </c>
      <c r="EX49" s="75" t="s">
        <v>3029</v>
      </c>
      <c r="EY49" s="75" t="s">
        <v>2772</v>
      </c>
      <c r="EZ49" s="75" t="s">
        <v>2785</v>
      </c>
      <c r="FA49" s="75" t="s">
        <v>3030</v>
      </c>
    </row>
    <row r="50" spans="1:157" x14ac:dyDescent="0.2">
      <c r="A50" s="75" t="str">
        <f>HYPERLINK(".\links\PEP\EEC12621.1-PEP.txt","EEC12621.1")</f>
        <v>EEC12621.1</v>
      </c>
      <c r="B50" s="75" t="s">
        <v>2990</v>
      </c>
      <c r="C50" s="75">
        <v>192</v>
      </c>
      <c r="D50" s="75" t="s">
        <v>3040</v>
      </c>
      <c r="E50" s="76" t="s">
        <v>50</v>
      </c>
      <c r="F50" s="75" t="s">
        <v>2771</v>
      </c>
      <c r="G50" s="75" t="str">
        <f>HYPERLINK(".\links\Sigp\EEC12621.1-SigP.txt","CYT")</f>
        <v>CYT</v>
      </c>
      <c r="H50" s="75" t="s">
        <v>2772</v>
      </c>
      <c r="I50" s="75">
        <v>20.879000000000001</v>
      </c>
      <c r="J50" s="75">
        <v>8.74</v>
      </c>
      <c r="K50" s="75" t="s">
        <v>2772</v>
      </c>
      <c r="L50" s="75" t="s">
        <v>2772</v>
      </c>
      <c r="M50" s="75" t="str">
        <f>HYPERLINK(".\links\netoglyc\EEC12621.1-netoglyc.txt","0")</f>
        <v>0</v>
      </c>
      <c r="N50" s="75" t="s">
        <v>3041</v>
      </c>
      <c r="O50" s="75">
        <v>192</v>
      </c>
      <c r="P50" s="75">
        <v>0</v>
      </c>
      <c r="Q50" s="75" t="s">
        <v>2772</v>
      </c>
      <c r="R50" s="75" t="s">
        <v>2772</v>
      </c>
      <c r="S50" s="75" t="s">
        <v>2772</v>
      </c>
      <c r="T50" s="75" t="s">
        <v>2772</v>
      </c>
      <c r="U50" s="75" t="s">
        <v>2772</v>
      </c>
      <c r="V50" s="75" t="s">
        <v>2772</v>
      </c>
      <c r="W50" s="75">
        <v>13.8</v>
      </c>
      <c r="X50" s="75">
        <v>7.1</v>
      </c>
      <c r="Y50" s="75">
        <v>2.6</v>
      </c>
      <c r="Z50" s="75" t="s">
        <v>2774</v>
      </c>
      <c r="AA50" s="77">
        <v>9.8958333333333304</v>
      </c>
      <c r="AB50" s="75">
        <v>0.33</v>
      </c>
      <c r="AD50" s="75">
        <v>3</v>
      </c>
      <c r="AE50" s="75" t="s">
        <v>2772</v>
      </c>
      <c r="AF50" s="75" t="s">
        <v>2772</v>
      </c>
      <c r="AG50" s="75" t="s">
        <v>2772</v>
      </c>
      <c r="AH50" s="75" t="s">
        <v>2772</v>
      </c>
      <c r="AI50" s="75" t="s">
        <v>2772</v>
      </c>
      <c r="AJ50" s="75" t="s">
        <v>2772</v>
      </c>
      <c r="AK50" s="75" t="s">
        <v>2772</v>
      </c>
      <c r="AL50" s="75" t="s">
        <v>2772</v>
      </c>
      <c r="AM50" s="75" t="s">
        <v>2772</v>
      </c>
      <c r="AN50" s="75" t="s">
        <v>2772</v>
      </c>
      <c r="AO50" s="78" t="str">
        <f>HYPERLINK(".\links\AAM-CEMENT-2018\EEC12621.1-AAM-CEMENT-2018.txt","Extracted CDS")</f>
        <v>Extracted CDS</v>
      </c>
      <c r="AP50" s="75" t="str">
        <f>HYPERLINK("http://www.ncbi.nlm.nih.gov/sutils/blink.cgi?pid=Aam-196385","7E-73")</f>
        <v>7E-73</v>
      </c>
      <c r="AQ50" s="75" t="str">
        <f>HYPERLINK("http://www.ncbi.nlm.nih.gov/protein/Aam-196385","Aam-196385")</f>
        <v>Aam-196385</v>
      </c>
      <c r="AR50" s="75">
        <v>212</v>
      </c>
      <c r="AS50" s="75">
        <v>185</v>
      </c>
      <c r="AT50" s="75">
        <v>185</v>
      </c>
      <c r="AU50" s="75">
        <v>65</v>
      </c>
      <c r="AV50" s="75">
        <v>73</v>
      </c>
      <c r="AW50" s="75">
        <v>100</v>
      </c>
      <c r="AX50" s="75">
        <v>63</v>
      </c>
      <c r="AY50" s="75">
        <v>3</v>
      </c>
      <c r="AZ50" s="75">
        <v>1</v>
      </c>
      <c r="BA50" s="75">
        <v>11</v>
      </c>
      <c r="BB50" s="75">
        <v>1</v>
      </c>
      <c r="BC50" s="75" t="s">
        <v>2775</v>
      </c>
      <c r="BD50" s="78" t="str">
        <f>HYPERLINK(".\links\CDD\EEC12621.1-CDD.txt","Rap1 Rap1 family GTPase consists of Rap1a and Rap1b isoforms")</f>
        <v>Rap1 Rap1 family GTPase consists of Rap1a and Rap1b isoforms</v>
      </c>
      <c r="BE50" s="79">
        <v>4.0000000000000002E-61</v>
      </c>
      <c r="BF50" s="75">
        <v>101.8</v>
      </c>
      <c r="BG50" s="75" t="s">
        <v>3042</v>
      </c>
      <c r="BH50" s="75" t="s">
        <v>3043</v>
      </c>
      <c r="BI50" s="75" t="str">
        <f>HYPERLINK(".\links\KOG\EEC12621.1-KOG.txt","CDD:224025 COG1100, COG1100, GTPase SAR1 and related small G proteins")</f>
        <v>CDD:224025 COG1100, COG1100, GTPase SAR1 and related small G proteins</v>
      </c>
      <c r="BJ50" s="79">
        <v>4.9999999999999999E-20</v>
      </c>
      <c r="BK50" s="75">
        <v>87.2</v>
      </c>
      <c r="BL50" s="75" t="s">
        <v>3044</v>
      </c>
      <c r="BM50" s="75" t="s">
        <v>2779</v>
      </c>
      <c r="BN50" s="78" t="str">
        <f>HYPERLINK(".\links\PFAM\EEC12621.1-PFAM.txt","Ras Ras family")</f>
        <v>Ras Ras family</v>
      </c>
      <c r="BO50" s="79">
        <v>2.9999999999999999E-41</v>
      </c>
      <c r="BP50" s="75">
        <v>114.8</v>
      </c>
      <c r="BQ50" s="75" t="s">
        <v>3045</v>
      </c>
      <c r="BR50" s="75" t="s">
        <v>2772</v>
      </c>
      <c r="BS50" s="78" t="str">
        <f>HYPERLINK(".\links\SMART\EEC12621.1-SMART.txt","predicts Ras-like small GTPases of the ARF, RAB, RAN, RAS, and SAR subfamilies")</f>
        <v>predicts Ras-like small GTPases of the ARF, RAB, RAN, RAS, and SAR subfamilies</v>
      </c>
      <c r="BT50" s="79">
        <v>1.9999999999999999E-60</v>
      </c>
      <c r="BU50" s="75">
        <v>113.3</v>
      </c>
      <c r="BV50" s="75" t="s">
        <v>3046</v>
      </c>
      <c r="BW50" s="75" t="s">
        <v>2772</v>
      </c>
      <c r="BX50" s="78" t="str">
        <f>HYPERLINK(".\links\TSF\EEC12621.1-TSF.txt","30-365 30-365, G protein alpha subunit||H|")</f>
        <v>30-365 30-365, G protein alpha subunit||H|</v>
      </c>
      <c r="BY50" s="75">
        <v>0.47</v>
      </c>
      <c r="BZ50" s="75">
        <v>11.1</v>
      </c>
      <c r="CA50" s="75" t="s">
        <v>3047</v>
      </c>
      <c r="CB50" s="75" t="s">
        <v>3048</v>
      </c>
      <c r="CC50" s="75" t="s">
        <v>2772</v>
      </c>
      <c r="CD50" s="75" t="s">
        <v>2808</v>
      </c>
      <c r="CE50" s="75" t="s">
        <v>3049</v>
      </c>
      <c r="CF50" s="75">
        <v>48</v>
      </c>
      <c r="CG50" s="75">
        <v>1</v>
      </c>
      <c r="CH50" s="75">
        <v>56</v>
      </c>
      <c r="CI50" s="75">
        <v>1</v>
      </c>
      <c r="CJ50" s="75">
        <v>57</v>
      </c>
      <c r="CK50" s="75">
        <v>1</v>
      </c>
      <c r="CL50" s="75">
        <v>61</v>
      </c>
      <c r="CM50" s="75">
        <v>1</v>
      </c>
      <c r="CN50" s="75">
        <v>65</v>
      </c>
      <c r="CO50" s="75">
        <v>1</v>
      </c>
      <c r="CP50" s="75">
        <v>67</v>
      </c>
      <c r="CQ50" s="75">
        <v>1</v>
      </c>
      <c r="CR50" s="75">
        <v>68</v>
      </c>
      <c r="CS50" s="75">
        <v>1</v>
      </c>
      <c r="CT50" s="75">
        <v>72</v>
      </c>
      <c r="CU50" s="75">
        <v>1</v>
      </c>
      <c r="CV50" s="75">
        <v>75</v>
      </c>
      <c r="CW50" s="75">
        <v>1</v>
      </c>
      <c r="CX50" s="75">
        <v>79</v>
      </c>
      <c r="CY50" s="75">
        <v>1</v>
      </c>
      <c r="CZ50" s="75">
        <v>81</v>
      </c>
      <c r="DA50" s="75">
        <v>1</v>
      </c>
      <c r="DB50" s="75">
        <v>87</v>
      </c>
      <c r="DC50" s="75">
        <v>1</v>
      </c>
      <c r="DD50" s="75">
        <v>90</v>
      </c>
      <c r="DE50" s="75">
        <v>1</v>
      </c>
      <c r="DF50" s="75">
        <v>92</v>
      </c>
      <c r="DG50" s="75">
        <v>1</v>
      </c>
      <c r="DH50" s="75">
        <v>93</v>
      </c>
      <c r="DI50" s="75">
        <v>1</v>
      </c>
      <c r="DJ50" s="75" t="s">
        <v>206</v>
      </c>
      <c r="DK50" s="75" t="str">
        <f>HYPERLINK(".\links\AAM-CEMENT-2018\EEC12621.1-AAM-CEMENT-2018.txt","Extracted CDS")</f>
        <v>Extracted CDS</v>
      </c>
      <c r="DL50" s="75" t="str">
        <f>HYPERLINK("http://www.ncbi.nlm.nih.gov/sutils/blink.cgi?pid=Aam-196385","7E-73")</f>
        <v>7E-73</v>
      </c>
      <c r="DM50" s="75" t="str">
        <f>HYPERLINK("http://www.ncbi.nlm.nih.gov/protein/Aam-196385","Aam-196385")</f>
        <v>Aam-196385</v>
      </c>
      <c r="DN50" s="75">
        <v>212</v>
      </c>
      <c r="DO50" s="75">
        <v>185</v>
      </c>
      <c r="DP50" s="75">
        <v>185</v>
      </c>
      <c r="DQ50" s="75">
        <v>65</v>
      </c>
      <c r="DR50" s="75">
        <v>73</v>
      </c>
      <c r="DS50" s="75">
        <v>100</v>
      </c>
      <c r="DT50" s="75">
        <v>63</v>
      </c>
      <c r="DU50" s="75">
        <v>3</v>
      </c>
      <c r="DV50" s="75">
        <v>1</v>
      </c>
      <c r="DW50" s="75">
        <v>11</v>
      </c>
      <c r="DX50" s="75">
        <v>1</v>
      </c>
      <c r="DY50" s="75" t="s">
        <v>2775</v>
      </c>
      <c r="DZ50" s="75" t="str">
        <f>HYPERLINK(".\links\CDD\EEC12621.1-CDD.txt","Rap1 Rap1 family GTPase consists of Rap1a and Rap1b isoforms")</f>
        <v>Rap1 Rap1 family GTPase consists of Rap1a and Rap1b isoforms</v>
      </c>
      <c r="EA50" s="79">
        <v>4.0000000000000002E-61</v>
      </c>
      <c r="EB50" s="75">
        <v>101.8</v>
      </c>
      <c r="EC50" s="75" t="s">
        <v>3042</v>
      </c>
      <c r="ED50" s="75" t="s">
        <v>3043</v>
      </c>
      <c r="EE50" s="75" t="str">
        <f>HYPERLINK(".\links\KOG\EEC12621.1-KOG.txt","CDD:224025 COG1100, COG1100, GTPase SAR1 and related small G proteins")</f>
        <v>CDD:224025 COG1100, COG1100, GTPase SAR1 and related small G proteins</v>
      </c>
      <c r="EF50" s="79">
        <v>4.9999999999999999E-20</v>
      </c>
      <c r="EG50" s="75">
        <v>87.2</v>
      </c>
      <c r="EH50" s="75" t="s">
        <v>3044</v>
      </c>
      <c r="EI50" s="75" t="s">
        <v>2779</v>
      </c>
      <c r="EJ50" s="75" t="str">
        <f>HYPERLINK(".\links\PFAM\EEC12621.1-PFAM.txt","Ras Ras family")</f>
        <v>Ras Ras family</v>
      </c>
      <c r="EK50" s="79">
        <v>2.9999999999999999E-41</v>
      </c>
      <c r="EL50" s="75">
        <v>114.8</v>
      </c>
      <c r="EM50" s="75" t="s">
        <v>3045</v>
      </c>
      <c r="EN50" s="75" t="s">
        <v>2772</v>
      </c>
      <c r="EO50" s="75" t="str">
        <f>HYPERLINK(".\links\SMART\EEC12621.1-SMART.txt","predicts Ras-like small GTPases of the ARF, RAB, RAN, RAS, and SAR subfamilies")</f>
        <v>predicts Ras-like small GTPases of the ARF, RAB, RAN, RAS, and SAR subfamilies</v>
      </c>
      <c r="EP50" s="79">
        <v>1.9999999999999999E-60</v>
      </c>
      <c r="EQ50" s="75">
        <v>113.3</v>
      </c>
      <c r="ER50" s="75" t="s">
        <v>3046</v>
      </c>
      <c r="ES50" s="75" t="s">
        <v>2772</v>
      </c>
      <c r="ET50" s="75" t="str">
        <f>HYPERLINK(".\links\TSF\EEC12621.1-TSF.txt","30-365 30-365, G protein alpha subunit||H|")</f>
        <v>30-365 30-365, G protein alpha subunit||H|</v>
      </c>
      <c r="EU50" s="75">
        <v>0.47</v>
      </c>
      <c r="EV50" s="75">
        <v>11.1</v>
      </c>
      <c r="EW50" s="75" t="s">
        <v>3047</v>
      </c>
      <c r="EX50" s="75" t="s">
        <v>3048</v>
      </c>
      <c r="EY50" s="75" t="s">
        <v>2772</v>
      </c>
      <c r="EZ50" s="75" t="s">
        <v>2808</v>
      </c>
      <c r="FA50" s="75" t="s">
        <v>3049</v>
      </c>
    </row>
    <row r="51" spans="1:157" x14ac:dyDescent="0.2">
      <c r="A51" s="75" t="str">
        <f>HYPERLINK(".\links\PEP\EEC01195.1-PEP.txt","EEC01195.1")</f>
        <v>EEC01195.1</v>
      </c>
      <c r="B51" s="75" t="s">
        <v>2768</v>
      </c>
      <c r="C51" s="75">
        <v>1830</v>
      </c>
      <c r="D51" s="75" t="s">
        <v>3050</v>
      </c>
      <c r="E51" s="76" t="s">
        <v>50</v>
      </c>
      <c r="F51" s="75" t="s">
        <v>2771</v>
      </c>
      <c r="G51" s="75" t="str">
        <f>HYPERLINK(".\links\Sigp\EEC01195.1-SigP.txt","CYT")</f>
        <v>CYT</v>
      </c>
      <c r="H51" s="75" t="s">
        <v>2772</v>
      </c>
      <c r="I51" s="75">
        <v>201.23400000000001</v>
      </c>
      <c r="J51" s="75">
        <v>4.97</v>
      </c>
      <c r="K51" s="75" t="s">
        <v>2772</v>
      </c>
      <c r="L51" s="75" t="s">
        <v>2772</v>
      </c>
      <c r="M51" s="75" t="str">
        <f>HYPERLINK(".\links\netoglyc\EEC01195.1-netoglyc.txt","9")</f>
        <v>9</v>
      </c>
      <c r="N51" s="75" t="s">
        <v>2971</v>
      </c>
      <c r="O51" s="75">
        <v>1830</v>
      </c>
      <c r="P51" s="75">
        <v>0</v>
      </c>
      <c r="Q51" s="75" t="s">
        <v>2772</v>
      </c>
      <c r="R51" s="75" t="s">
        <v>2772</v>
      </c>
      <c r="S51" s="75" t="s">
        <v>2772</v>
      </c>
      <c r="T51" s="75" t="s">
        <v>2772</v>
      </c>
      <c r="U51" s="75" t="s">
        <v>2772</v>
      </c>
      <c r="V51" s="75" t="s">
        <v>3051</v>
      </c>
      <c r="W51" s="75">
        <v>15.1</v>
      </c>
      <c r="X51" s="75">
        <v>4.7</v>
      </c>
      <c r="Y51" s="75">
        <v>6.2</v>
      </c>
      <c r="Z51" s="75" t="s">
        <v>2774</v>
      </c>
      <c r="AA51" s="77">
        <v>11.0382513661202</v>
      </c>
      <c r="AB51" s="75">
        <v>0.32</v>
      </c>
      <c r="AD51" s="75">
        <v>17</v>
      </c>
      <c r="AE51" s="75" t="str">
        <f>HYPERLINK(".\links\pep\EEC01195.1-sulf.txt","2")</f>
        <v>2</v>
      </c>
      <c r="AF51" s="75" t="str">
        <f>HYPERLINK(".\links\pep\EEC01195.1-tyr-sulf.txt","Fasta with y")</f>
        <v>Fasta with y</v>
      </c>
      <c r="AG51" s="75" t="s">
        <v>2772</v>
      </c>
      <c r="AH51" s="75">
        <v>2</v>
      </c>
      <c r="AI51" s="75">
        <v>4</v>
      </c>
      <c r="AJ51" s="75">
        <v>4</v>
      </c>
      <c r="AK51" s="75" t="s">
        <v>2772</v>
      </c>
      <c r="AL51" s="75" t="s">
        <v>2772</v>
      </c>
      <c r="AM51" s="75" t="s">
        <v>2772</v>
      </c>
      <c r="AN51" s="75" t="s">
        <v>2772</v>
      </c>
      <c r="AO51" s="75" t="str">
        <f>HYPERLINK(".\links\AAM-CEMENT-2018\EEC01195.1-AAM-CEMENT-2018.txt","Extracted CDS")</f>
        <v>Extracted CDS</v>
      </c>
      <c r="AP51" s="75" t="str">
        <f>HYPERLINK("http://www.ncbi.nlm.nih.gov/sutils/blink.cgi?pid=Aam-175962","12")</f>
        <v>12</v>
      </c>
      <c r="AQ51" s="75" t="str">
        <f>HYPERLINK("http://www.ncbi.nlm.nih.gov/protein/Aam-175962","Aam-175962")</f>
        <v>Aam-175962</v>
      </c>
      <c r="AR51" s="75">
        <v>22.3</v>
      </c>
      <c r="AS51" s="75">
        <v>13</v>
      </c>
      <c r="AT51" s="75">
        <v>132</v>
      </c>
      <c r="AU51" s="75">
        <v>53</v>
      </c>
      <c r="AV51" s="75">
        <v>61</v>
      </c>
      <c r="AW51" s="75">
        <v>10</v>
      </c>
      <c r="AX51" s="75">
        <v>6</v>
      </c>
      <c r="AY51" s="75">
        <v>0</v>
      </c>
      <c r="AZ51" s="75">
        <v>28</v>
      </c>
      <c r="BA51" s="75">
        <v>1608</v>
      </c>
      <c r="BB51" s="75">
        <v>1</v>
      </c>
      <c r="BC51" s="75" t="s">
        <v>2775</v>
      </c>
      <c r="BD51" s="75" t="str">
        <f>HYPERLINK(".\links\CDD\EEC01195.1-CDD.txt","PTZ00108 DNA topoisomerase 2-like protein")</f>
        <v>PTZ00108 DNA topoisomerase 2-like protein</v>
      </c>
      <c r="BE51" s="79">
        <v>2.9999999999999999E-7</v>
      </c>
      <c r="BF51" s="75">
        <v>21.5</v>
      </c>
      <c r="BG51" s="75" t="s">
        <v>3052</v>
      </c>
      <c r="BH51" s="75" t="s">
        <v>3053</v>
      </c>
      <c r="BI51" s="75" t="str">
        <f>HYPERLINK(".\links\KOG\EEC01195.1-KOG.txt","CDD:227596 COG5271, MDN1, AAA ATPase containing von Willebrand factor type A")</f>
        <v>CDD:227596 COG5271, MDN1, AAA ATPase containing von Willebrand factor type A</v>
      </c>
      <c r="BJ51" s="75">
        <v>3.0000000000000001E-3</v>
      </c>
      <c r="BK51" s="75">
        <v>7.1</v>
      </c>
      <c r="BL51" s="75" t="s">
        <v>2852</v>
      </c>
      <c r="BM51" s="75" t="s">
        <v>2779</v>
      </c>
      <c r="BN51" s="75" t="str">
        <f>HYPERLINK(".\links\PFAM\EEC01195.1-PFAM.txt","Endomucin Endomucin")</f>
        <v>Endomucin Endomucin</v>
      </c>
      <c r="BO51" s="79">
        <v>3.0000000000000001E-5</v>
      </c>
      <c r="BP51" s="75">
        <v>47.9</v>
      </c>
      <c r="BQ51" s="75" t="s">
        <v>3054</v>
      </c>
      <c r="BR51" s="75" t="s">
        <v>2772</v>
      </c>
      <c r="BS51" s="75" t="str">
        <f>HYPERLINK(".\links\SMART\EEC01195.1-SMART.txt","CDD:214660 smart00434, TOP4c, DNA Topoisomerase IV")</f>
        <v>CDD:214660 smart00434, TOP4c, DNA Topoisomerase IV</v>
      </c>
      <c r="BT51" s="75">
        <v>1.4999999999999999E-2</v>
      </c>
      <c r="BU51" s="75">
        <v>12.4</v>
      </c>
      <c r="BV51" s="75" t="s">
        <v>3055</v>
      </c>
      <c r="BW51" s="75" t="s">
        <v>2772</v>
      </c>
      <c r="BX51" s="75" t="str">
        <f>HYPERLINK(".\links\TSF\EEC01195.1-TSF.txt","30-417 30-417, BTSP||S|")</f>
        <v>30-417 30-417, BTSP||S|</v>
      </c>
      <c r="BY51" s="79">
        <v>8.0000000000000002E-13</v>
      </c>
      <c r="BZ51" s="75">
        <v>58.1</v>
      </c>
      <c r="CA51" s="75" t="s">
        <v>3056</v>
      </c>
      <c r="CB51" s="75" t="s">
        <v>3057</v>
      </c>
      <c r="CC51" s="75" t="s">
        <v>2772</v>
      </c>
      <c r="CD51" s="75" t="s">
        <v>2785</v>
      </c>
      <c r="CE51" s="75" t="s">
        <v>3058</v>
      </c>
      <c r="CF51" s="75">
        <v>23</v>
      </c>
      <c r="CG51" s="75">
        <v>1</v>
      </c>
      <c r="CH51" s="75">
        <v>26</v>
      </c>
      <c r="CI51" s="75">
        <v>1</v>
      </c>
      <c r="CJ51" s="75">
        <v>25</v>
      </c>
      <c r="CK51" s="75">
        <v>1</v>
      </c>
      <c r="CL51" s="75">
        <v>27</v>
      </c>
      <c r="CM51" s="75">
        <v>1</v>
      </c>
      <c r="CN51" s="75">
        <v>25</v>
      </c>
      <c r="CO51" s="75">
        <v>1</v>
      </c>
      <c r="CP51" s="75">
        <v>25</v>
      </c>
      <c r="CQ51" s="75">
        <v>1</v>
      </c>
      <c r="CR51" s="75">
        <v>26</v>
      </c>
      <c r="CS51" s="75">
        <v>1</v>
      </c>
      <c r="CT51" s="75">
        <v>28</v>
      </c>
      <c r="CU51" s="75">
        <v>1</v>
      </c>
      <c r="CV51" s="75">
        <v>28</v>
      </c>
      <c r="CW51" s="75">
        <v>1</v>
      </c>
      <c r="CX51" s="75">
        <v>29</v>
      </c>
      <c r="CY51" s="75">
        <v>1</v>
      </c>
      <c r="CZ51" s="75">
        <v>29</v>
      </c>
      <c r="DA51" s="75">
        <v>1</v>
      </c>
      <c r="DB51" s="75">
        <v>28</v>
      </c>
      <c r="DC51" s="75">
        <v>1</v>
      </c>
      <c r="DD51" s="75">
        <v>26</v>
      </c>
      <c r="DE51" s="75">
        <v>1</v>
      </c>
      <c r="DF51" s="75">
        <v>25</v>
      </c>
      <c r="DG51" s="75">
        <v>1</v>
      </c>
      <c r="DH51" s="75">
        <v>25</v>
      </c>
      <c r="DI51" s="75">
        <v>1</v>
      </c>
      <c r="DJ51" s="75" t="s">
        <v>166</v>
      </c>
      <c r="DK51" s="75" t="str">
        <f>HYPERLINK(".\links\AAM-CEMENT-2018\EEC01195.1-AAM-CEMENT-2018.txt","Extracted CDS")</f>
        <v>Extracted CDS</v>
      </c>
      <c r="DL51" s="75" t="str">
        <f>HYPERLINK("http://www.ncbi.nlm.nih.gov/sutils/blink.cgi?pid=Aam-175962","12")</f>
        <v>12</v>
      </c>
      <c r="DM51" s="75" t="str">
        <f>HYPERLINK("http://www.ncbi.nlm.nih.gov/protein/Aam-175962","Aam-175962")</f>
        <v>Aam-175962</v>
      </c>
      <c r="DN51" s="75">
        <v>22.3</v>
      </c>
      <c r="DO51" s="75">
        <v>13</v>
      </c>
      <c r="DP51" s="75">
        <v>132</v>
      </c>
      <c r="DQ51" s="75">
        <v>53</v>
      </c>
      <c r="DR51" s="75">
        <v>61</v>
      </c>
      <c r="DS51" s="75">
        <v>10</v>
      </c>
      <c r="DT51" s="75">
        <v>6</v>
      </c>
      <c r="DU51" s="75">
        <v>0</v>
      </c>
      <c r="DV51" s="75">
        <v>28</v>
      </c>
      <c r="DW51" s="75">
        <v>1608</v>
      </c>
      <c r="DX51" s="75">
        <v>1</v>
      </c>
      <c r="DY51" s="75" t="s">
        <v>2775</v>
      </c>
      <c r="DZ51" s="75" t="str">
        <f>HYPERLINK(".\links\CDD\EEC01195.1-CDD.txt","PTZ00108 DNA topoisomerase 2-like protein")</f>
        <v>PTZ00108 DNA topoisomerase 2-like protein</v>
      </c>
      <c r="EA51" s="79">
        <v>2.9999999999999999E-7</v>
      </c>
      <c r="EB51" s="75">
        <v>21.5</v>
      </c>
      <c r="EC51" s="75" t="s">
        <v>3052</v>
      </c>
      <c r="ED51" s="75" t="s">
        <v>3053</v>
      </c>
      <c r="EE51" s="75" t="str">
        <f>HYPERLINK(".\links\KOG\EEC01195.1-KOG.txt","CDD:227596 COG5271, MDN1, AAA ATPase containing von Willebrand factor type A")</f>
        <v>CDD:227596 COG5271, MDN1, AAA ATPase containing von Willebrand factor type A</v>
      </c>
      <c r="EF51" s="75">
        <v>3.0000000000000001E-3</v>
      </c>
      <c r="EG51" s="75">
        <v>7.1</v>
      </c>
      <c r="EH51" s="75" t="s">
        <v>2852</v>
      </c>
      <c r="EI51" s="75" t="s">
        <v>2779</v>
      </c>
      <c r="EJ51" s="75" t="str">
        <f>HYPERLINK(".\links\PFAM\EEC01195.1-PFAM.txt","Endomucin Endomucin")</f>
        <v>Endomucin Endomucin</v>
      </c>
      <c r="EK51" s="79">
        <v>3.0000000000000001E-5</v>
      </c>
      <c r="EL51" s="75">
        <v>47.9</v>
      </c>
      <c r="EM51" s="75" t="s">
        <v>3054</v>
      </c>
      <c r="EN51" s="75" t="s">
        <v>2772</v>
      </c>
      <c r="EO51" s="75" t="str">
        <f>HYPERLINK(".\links\SMART\EEC01195.1-SMART.txt","CDD:214660 smart00434, TOP4c, DNA Topoisomerase IV")</f>
        <v>CDD:214660 smart00434, TOP4c, DNA Topoisomerase IV</v>
      </c>
      <c r="EP51" s="75">
        <v>1.4999999999999999E-2</v>
      </c>
      <c r="EQ51" s="75">
        <v>12.4</v>
      </c>
      <c r="ER51" s="75" t="s">
        <v>3055</v>
      </c>
      <c r="ES51" s="75" t="s">
        <v>2772</v>
      </c>
      <c r="ET51" s="75" t="str">
        <f>HYPERLINK(".\links\TSF\EEC01195.1-TSF.txt","30-417 30-417, BTSP||S|")</f>
        <v>30-417 30-417, BTSP||S|</v>
      </c>
      <c r="EU51" s="79">
        <v>8.0000000000000002E-13</v>
      </c>
      <c r="EV51" s="75">
        <v>58.1</v>
      </c>
      <c r="EW51" s="75" t="s">
        <v>3056</v>
      </c>
      <c r="EX51" s="75" t="s">
        <v>3057</v>
      </c>
      <c r="EY51" s="75" t="s">
        <v>2772</v>
      </c>
      <c r="EZ51" s="75" t="s">
        <v>2785</v>
      </c>
      <c r="FA51" s="75" t="s">
        <v>3058</v>
      </c>
    </row>
    <row r="52" spans="1:157" x14ac:dyDescent="0.2">
      <c r="A52" s="75" t="str">
        <f>HYPERLINK(".\links\PEP\EEC17437.1-PEP.txt","EEC17437.1")</f>
        <v>EEC17437.1</v>
      </c>
      <c r="B52" s="75" t="s">
        <v>2627</v>
      </c>
      <c r="C52" s="75">
        <v>326</v>
      </c>
      <c r="D52" s="75" t="s">
        <v>3059</v>
      </c>
      <c r="E52" s="76" t="s">
        <v>50</v>
      </c>
      <c r="F52" s="75" t="s">
        <v>2771</v>
      </c>
      <c r="G52" s="75" t="str">
        <f>HYPERLINK(".\links\Sigp\EEC17437.1-SigP.txt","CYT")</f>
        <v>CYT</v>
      </c>
      <c r="H52" s="75" t="s">
        <v>2772</v>
      </c>
      <c r="I52" s="75">
        <v>36.037999999999997</v>
      </c>
      <c r="J52" s="75">
        <v>5.51</v>
      </c>
      <c r="K52" s="75" t="s">
        <v>2772</v>
      </c>
      <c r="L52" s="75" t="s">
        <v>2772</v>
      </c>
      <c r="M52" s="75" t="str">
        <f>HYPERLINK(".\links\netoglyc\EEC17437.1-netoglyc.txt","0")</f>
        <v>0</v>
      </c>
      <c r="N52" s="75" t="s">
        <v>3060</v>
      </c>
      <c r="O52" s="75">
        <v>326</v>
      </c>
      <c r="P52" s="75">
        <v>0</v>
      </c>
      <c r="Q52" s="75" t="s">
        <v>2772</v>
      </c>
      <c r="R52" s="75" t="s">
        <v>2772</v>
      </c>
      <c r="S52" s="75" t="s">
        <v>2772</v>
      </c>
      <c r="T52" s="75" t="s">
        <v>2772</v>
      </c>
      <c r="U52" s="75" t="s">
        <v>2772</v>
      </c>
      <c r="V52" s="75" t="s">
        <v>2772</v>
      </c>
      <c r="W52" s="75">
        <v>9</v>
      </c>
      <c r="X52" s="75">
        <v>7.2</v>
      </c>
      <c r="Y52" s="75">
        <v>6.3</v>
      </c>
      <c r="Z52" s="75" t="s">
        <v>2774</v>
      </c>
      <c r="AA52" s="77">
        <v>13.8036809815951</v>
      </c>
      <c r="AB52" s="75">
        <v>0.27</v>
      </c>
      <c r="AD52" s="75">
        <v>10</v>
      </c>
      <c r="AE52" s="75" t="s">
        <v>2772</v>
      </c>
      <c r="AF52" s="75" t="s">
        <v>2772</v>
      </c>
      <c r="AG52" s="75" t="s">
        <v>2772</v>
      </c>
      <c r="AH52" s="75" t="s">
        <v>2772</v>
      </c>
      <c r="AI52" s="75" t="s">
        <v>2772</v>
      </c>
      <c r="AJ52" s="75">
        <v>1</v>
      </c>
      <c r="AK52" s="75" t="s">
        <v>2772</v>
      </c>
      <c r="AL52" s="75" t="s">
        <v>2772</v>
      </c>
      <c r="AM52" s="75" t="s">
        <v>2772</v>
      </c>
      <c r="AN52" s="75" t="s">
        <v>2772</v>
      </c>
      <c r="AO52" s="78" t="str">
        <f>HYPERLINK(".\links\AAM-CEMENT-2018\EEC17437.1-AAM-CEMENT-2018.txt","Extracted CDS")</f>
        <v>Extracted CDS</v>
      </c>
      <c r="AP52" s="75" t="str">
        <f>HYPERLINK("http://www.ncbi.nlm.nih.gov/sutils/blink.cgi?pid=Aam-177048","0.44")</f>
        <v>0.44</v>
      </c>
      <c r="AQ52" s="75" t="str">
        <f>HYPERLINK("http://www.ncbi.nlm.nih.gov/protein/Aam-177048","Aam-177048")</f>
        <v>Aam-177048</v>
      </c>
      <c r="AR52" s="75">
        <v>25</v>
      </c>
      <c r="AS52" s="75">
        <v>28</v>
      </c>
      <c r="AT52" s="75">
        <v>806</v>
      </c>
      <c r="AU52" s="75">
        <v>42</v>
      </c>
      <c r="AV52" s="75">
        <v>57</v>
      </c>
      <c r="AW52" s="75">
        <v>3</v>
      </c>
      <c r="AX52" s="75">
        <v>16</v>
      </c>
      <c r="AY52" s="75">
        <v>0</v>
      </c>
      <c r="AZ52" s="75">
        <v>619</v>
      </c>
      <c r="BA52" s="75">
        <v>132</v>
      </c>
      <c r="BB52" s="75">
        <v>1</v>
      </c>
      <c r="BC52" s="75" t="s">
        <v>2775</v>
      </c>
      <c r="BD52" s="78" t="str">
        <f>HYPERLINK(".\links\CDD\EEC17437.1-CDD.txt","nuc_hydro_CeIAG nuc_hydro_CeIAG: Nucleoside hydrolases similar to the inosine-adenosine-guanosine-preferring nucleoside hydrolase from Caenorhabditis elegans")</f>
        <v>nuc_hydro_CeIAG nuc_hydro_CeIAG: Nucleoside hydrolases similar to the inosine-adenosine-guanosine-preferring nucleoside hydrolase from Caenorhabditis elegans</v>
      </c>
      <c r="BE52" s="79">
        <v>1E-97</v>
      </c>
      <c r="BF52" s="75">
        <v>102.6</v>
      </c>
      <c r="BG52" s="75" t="s">
        <v>3061</v>
      </c>
      <c r="BH52" s="75" t="s">
        <v>3062</v>
      </c>
      <c r="BI52" s="75" t="str">
        <f>HYPERLINK(".\links\KOG\EEC17437.1-KOG.txt","CDD:224868 COG1957, URH1, Inosine-uridine nucleoside N-ribohydrolase")</f>
        <v>CDD:224868 COG1957, URH1, Inosine-uridine nucleoside N-ribohydrolase</v>
      </c>
      <c r="BJ52" s="79">
        <v>1.9999999999999999E-67</v>
      </c>
      <c r="BK52" s="75">
        <v>102.3</v>
      </c>
      <c r="BL52" s="75" t="s">
        <v>3063</v>
      </c>
      <c r="BM52" s="75" t="s">
        <v>2779</v>
      </c>
      <c r="BN52" s="78" t="str">
        <f>HYPERLINK(".\links\PFAM\EEC17437.1-PFAM.txt","IU_nuc_hydro Inosine-uridine preferring nucleoside hydrolase")</f>
        <v>IU_nuc_hydro Inosine-uridine preferring nucleoside hydrolase</v>
      </c>
      <c r="BO52" s="79">
        <v>9.9999999999999997E-65</v>
      </c>
      <c r="BP52" s="75">
        <v>126.9</v>
      </c>
      <c r="BQ52" s="75" t="s">
        <v>3064</v>
      </c>
      <c r="BR52" s="75" t="s">
        <v>2772</v>
      </c>
      <c r="BS52" s="78" t="str">
        <f>HYPERLINK(".\links\SMART\EEC17437.1-SMART.txt","CDD:128526 smart00230, CysPc, Calpain-like thiol protease family")</f>
        <v>CDD:128526 smart00230, CysPc, Calpain-like thiol protease family</v>
      </c>
      <c r="BT52" s="75">
        <v>1.7</v>
      </c>
      <c r="BU52" s="75">
        <v>15.1</v>
      </c>
      <c r="BV52" s="75" t="s">
        <v>3065</v>
      </c>
      <c r="BW52" s="75" t="s">
        <v>2772</v>
      </c>
      <c r="BX52" s="78" t="str">
        <f>HYPERLINK(".\links\TSF\EEC17437.1-TSF.txt","30-207 30-207, Asparaginyl peptidase||H|E")</f>
        <v>30-207 30-207, Asparaginyl peptidase||H|E</v>
      </c>
      <c r="BY52" s="75">
        <v>2.8000000000000001E-2</v>
      </c>
      <c r="BZ52" s="75">
        <v>30.9</v>
      </c>
      <c r="CA52" s="75" t="s">
        <v>3066</v>
      </c>
      <c r="CB52" s="75" t="s">
        <v>3067</v>
      </c>
      <c r="CC52" s="75" t="s">
        <v>2772</v>
      </c>
      <c r="CD52" s="75" t="s">
        <v>2808</v>
      </c>
      <c r="CE52" s="75" t="s">
        <v>3068</v>
      </c>
      <c r="CF52" s="75">
        <v>65</v>
      </c>
      <c r="CG52" s="75">
        <v>1</v>
      </c>
      <c r="CH52" s="75">
        <v>76</v>
      </c>
      <c r="CI52" s="75">
        <v>1</v>
      </c>
      <c r="CJ52" s="75">
        <v>77</v>
      </c>
      <c r="CK52" s="75">
        <v>1</v>
      </c>
      <c r="CL52" s="75">
        <v>81</v>
      </c>
      <c r="CM52" s="75">
        <v>1</v>
      </c>
      <c r="CN52" s="75">
        <v>85</v>
      </c>
      <c r="CO52" s="75">
        <v>1</v>
      </c>
      <c r="CP52" s="75">
        <v>87</v>
      </c>
      <c r="CQ52" s="75">
        <v>1</v>
      </c>
      <c r="CR52" s="75">
        <v>88</v>
      </c>
      <c r="CS52" s="75">
        <v>1</v>
      </c>
      <c r="CT52" s="75">
        <v>92</v>
      </c>
      <c r="CU52" s="75">
        <v>1</v>
      </c>
      <c r="CV52" s="75">
        <v>95</v>
      </c>
      <c r="CW52" s="75">
        <v>1</v>
      </c>
      <c r="CX52" s="75">
        <v>99</v>
      </c>
      <c r="CY52" s="75">
        <v>1</v>
      </c>
      <c r="CZ52" s="75">
        <v>102</v>
      </c>
      <c r="DA52" s="75">
        <v>1</v>
      </c>
      <c r="DB52" s="75">
        <v>108</v>
      </c>
      <c r="DC52" s="75">
        <v>1</v>
      </c>
      <c r="DD52" s="75">
        <v>112</v>
      </c>
      <c r="DE52" s="75">
        <v>1</v>
      </c>
      <c r="DF52" s="75">
        <v>114</v>
      </c>
      <c r="DG52" s="75">
        <v>1</v>
      </c>
      <c r="DH52" s="75">
        <v>115</v>
      </c>
      <c r="DI52" s="75">
        <v>1</v>
      </c>
      <c r="DJ52" s="75" t="s">
        <v>105</v>
      </c>
      <c r="DK52" s="75" t="str">
        <f>HYPERLINK(".\links\AAM-CEMENT-2018\EEC17437.1-AAM-CEMENT-2018.txt","Extracted CDS")</f>
        <v>Extracted CDS</v>
      </c>
      <c r="DL52" s="75" t="str">
        <f>HYPERLINK("http://www.ncbi.nlm.nih.gov/sutils/blink.cgi?pid=Aam-177048","0.44")</f>
        <v>0.44</v>
      </c>
      <c r="DM52" s="75" t="str">
        <f>HYPERLINK("http://www.ncbi.nlm.nih.gov/protein/Aam-177048","Aam-177048")</f>
        <v>Aam-177048</v>
      </c>
      <c r="DN52" s="75">
        <v>25</v>
      </c>
      <c r="DO52" s="75">
        <v>28</v>
      </c>
      <c r="DP52" s="75">
        <v>806</v>
      </c>
      <c r="DQ52" s="75">
        <v>42</v>
      </c>
      <c r="DR52" s="75">
        <v>57</v>
      </c>
      <c r="DS52" s="75">
        <v>3</v>
      </c>
      <c r="DT52" s="75">
        <v>16</v>
      </c>
      <c r="DU52" s="75">
        <v>0</v>
      </c>
      <c r="DV52" s="75">
        <v>619</v>
      </c>
      <c r="DW52" s="75">
        <v>132</v>
      </c>
      <c r="DX52" s="75">
        <v>1</v>
      </c>
      <c r="DY52" s="75" t="s">
        <v>2775</v>
      </c>
      <c r="DZ52" s="75" t="str">
        <f>HYPERLINK(".\links\CDD\EEC17437.1-CDD.txt","nuc_hydro_CeIAG nuc_hydro_CeIAG: Nucleoside hydrolases similar to the inosine-adenosine-guanosine-preferring nucleoside hydrolase from Caenorhabditis elegans")</f>
        <v>nuc_hydro_CeIAG nuc_hydro_CeIAG: Nucleoside hydrolases similar to the inosine-adenosine-guanosine-preferring nucleoside hydrolase from Caenorhabditis elegans</v>
      </c>
      <c r="EA52" s="79">
        <v>1E-97</v>
      </c>
      <c r="EB52" s="75">
        <v>102.6</v>
      </c>
      <c r="EC52" s="75" t="s">
        <v>3061</v>
      </c>
      <c r="ED52" s="75" t="s">
        <v>3062</v>
      </c>
      <c r="EE52" s="75" t="str">
        <f>HYPERLINK(".\links\KOG\EEC17437.1-KOG.txt","CDD:224868 COG1957, URH1, Inosine-uridine nucleoside N-ribohydrolase")</f>
        <v>CDD:224868 COG1957, URH1, Inosine-uridine nucleoside N-ribohydrolase</v>
      </c>
      <c r="EF52" s="79">
        <v>1.9999999999999999E-67</v>
      </c>
      <c r="EG52" s="75">
        <v>102.3</v>
      </c>
      <c r="EH52" s="75" t="s">
        <v>3063</v>
      </c>
      <c r="EI52" s="75" t="s">
        <v>2779</v>
      </c>
      <c r="EJ52" s="75" t="str">
        <f>HYPERLINK(".\links\PFAM\EEC17437.1-PFAM.txt","IU_nuc_hydro Inosine-uridine preferring nucleoside hydrolase")</f>
        <v>IU_nuc_hydro Inosine-uridine preferring nucleoside hydrolase</v>
      </c>
      <c r="EK52" s="79">
        <v>9.9999999999999997E-65</v>
      </c>
      <c r="EL52" s="75">
        <v>126.9</v>
      </c>
      <c r="EM52" s="75" t="s">
        <v>3064</v>
      </c>
      <c r="EN52" s="75" t="s">
        <v>2772</v>
      </c>
      <c r="EO52" s="75" t="str">
        <f>HYPERLINK(".\links\SMART\EEC17437.1-SMART.txt","CDD:128526 smart00230, CysPc, Calpain-like thiol protease family")</f>
        <v>CDD:128526 smart00230, CysPc, Calpain-like thiol protease family</v>
      </c>
      <c r="EP52" s="75">
        <v>1.7</v>
      </c>
      <c r="EQ52" s="75">
        <v>15.1</v>
      </c>
      <c r="ER52" s="75" t="s">
        <v>3065</v>
      </c>
      <c r="ES52" s="75" t="s">
        <v>2772</v>
      </c>
      <c r="ET52" s="75" t="str">
        <f>HYPERLINK(".\links\TSF\EEC17437.1-TSF.txt","30-207 30-207, Asparaginyl peptidase||H|E")</f>
        <v>30-207 30-207, Asparaginyl peptidase||H|E</v>
      </c>
      <c r="EU52" s="75">
        <v>2.8000000000000001E-2</v>
      </c>
      <c r="EV52" s="75">
        <v>30.9</v>
      </c>
      <c r="EW52" s="75" t="s">
        <v>3066</v>
      </c>
      <c r="EX52" s="75" t="s">
        <v>3067</v>
      </c>
      <c r="EY52" s="75" t="s">
        <v>2772</v>
      </c>
      <c r="EZ52" s="75" t="s">
        <v>2808</v>
      </c>
      <c r="FA52" s="75" t="s">
        <v>3068</v>
      </c>
    </row>
    <row r="53" spans="1:157" x14ac:dyDescent="0.2">
      <c r="A53" s="75" t="str">
        <f>HYPERLINK(".\links\PEP\EEC04477.1-PEP.txt","EEC04477.1")</f>
        <v>EEC04477.1</v>
      </c>
      <c r="B53" s="75" t="s">
        <v>2598</v>
      </c>
      <c r="C53" s="75">
        <v>75</v>
      </c>
      <c r="D53" s="75" t="s">
        <v>3069</v>
      </c>
      <c r="E53" s="76" t="s">
        <v>50</v>
      </c>
      <c r="F53" s="75" t="s">
        <v>2771</v>
      </c>
      <c r="G53" s="75" t="str">
        <f>HYPERLINK(".\links\Sigp\EEC04477.1-SigP.txt","CYT")</f>
        <v>CYT</v>
      </c>
      <c r="H53" s="75" t="s">
        <v>2772</v>
      </c>
      <c r="I53" s="75">
        <v>8.1270000000000007</v>
      </c>
      <c r="J53" s="75">
        <v>5.22</v>
      </c>
      <c r="K53" s="75" t="s">
        <v>2772</v>
      </c>
      <c r="L53" s="75" t="s">
        <v>2772</v>
      </c>
      <c r="M53" s="75" t="str">
        <f>HYPERLINK(".\links\netoglyc\EEC04477.1-netoglyc.txt","1")</f>
        <v>1</v>
      </c>
      <c r="N53" s="75" t="s">
        <v>3070</v>
      </c>
      <c r="O53" s="75">
        <v>75</v>
      </c>
      <c r="P53" s="75">
        <v>0</v>
      </c>
      <c r="Q53" s="75" t="s">
        <v>2772</v>
      </c>
      <c r="R53" s="75" t="s">
        <v>2772</v>
      </c>
      <c r="S53" s="75" t="s">
        <v>2772</v>
      </c>
      <c r="T53" s="75" t="s">
        <v>2772</v>
      </c>
      <c r="U53" s="75" t="s">
        <v>2772</v>
      </c>
      <c r="V53" s="75" t="s">
        <v>2772</v>
      </c>
      <c r="W53" s="75">
        <v>11.5</v>
      </c>
      <c r="X53" s="75">
        <v>10.3</v>
      </c>
      <c r="Y53" s="75">
        <v>5.0999999999999996</v>
      </c>
      <c r="Z53" s="75" t="s">
        <v>2774</v>
      </c>
      <c r="AA53" s="77">
        <v>16</v>
      </c>
      <c r="AB53" s="75">
        <v>0.47</v>
      </c>
      <c r="AD53" s="75">
        <v>1</v>
      </c>
      <c r="AE53" s="75" t="s">
        <v>2772</v>
      </c>
      <c r="AF53" s="75" t="s">
        <v>2772</v>
      </c>
      <c r="AG53" s="75" t="s">
        <v>2772</v>
      </c>
      <c r="AH53" s="75" t="s">
        <v>2772</v>
      </c>
      <c r="AI53" s="75" t="s">
        <v>2772</v>
      </c>
      <c r="AJ53" s="75" t="s">
        <v>2772</v>
      </c>
      <c r="AK53" s="75" t="s">
        <v>2772</v>
      </c>
      <c r="AL53" s="75" t="s">
        <v>2772</v>
      </c>
      <c r="AM53" s="75" t="s">
        <v>2772</v>
      </c>
      <c r="AN53" s="75" t="s">
        <v>2772</v>
      </c>
      <c r="AO53" s="75" t="str">
        <f>HYPERLINK(".\links\AAM-CEMENT-2018\EEC04477.1-AAM-CEMENT-2018.txt","Extracted CDS")</f>
        <v>Extracted CDS</v>
      </c>
      <c r="AP53" s="75" t="str">
        <f>HYPERLINK("http://www.ncbi.nlm.nih.gov/sutils/blink.cgi?pid=Aam-498","3.4")</f>
        <v>3.4</v>
      </c>
      <c r="AQ53" s="75" t="str">
        <f>HYPERLINK("http://www.ncbi.nlm.nih.gov/protein/Aam-498","Aam-498")</f>
        <v>Aam-498</v>
      </c>
      <c r="AR53" s="75">
        <v>19.2</v>
      </c>
      <c r="AS53" s="75">
        <v>24</v>
      </c>
      <c r="AT53" s="75">
        <v>651</v>
      </c>
      <c r="AU53" s="75">
        <v>41</v>
      </c>
      <c r="AV53" s="75">
        <v>54</v>
      </c>
      <c r="AW53" s="75">
        <v>4</v>
      </c>
      <c r="AX53" s="75">
        <v>14</v>
      </c>
      <c r="AY53" s="75">
        <v>0</v>
      </c>
      <c r="AZ53" s="75">
        <v>448</v>
      </c>
      <c r="BA53" s="75">
        <v>2</v>
      </c>
      <c r="BB53" s="75">
        <v>1</v>
      </c>
      <c r="BC53" s="75" t="s">
        <v>2775</v>
      </c>
      <c r="BD53" s="75" t="str">
        <f>HYPERLINK(".\links\CDD\EEC04477.1-CDD.txt","MPP_CD73_N CD73 ecto-5'-nucleotidase and related proteins N-terminal metallophosphatase domain")</f>
        <v>MPP_CD73_N CD73 ecto-5'-nucleotidase and related proteins N-terminal metallophosphatase domain</v>
      </c>
      <c r="BE53" s="79">
        <v>3E-24</v>
      </c>
      <c r="BF53" s="75">
        <v>26.9</v>
      </c>
      <c r="BG53" s="75" t="s">
        <v>3071</v>
      </c>
      <c r="BH53" s="75" t="s">
        <v>3072</v>
      </c>
      <c r="BI53" s="75" t="str">
        <f>HYPERLINK(".\links\KOG\EEC04477.1-KOG.txt","CDD:223808 COG0737, UshA, 5'-nucleotidase/2',3'-cyclic phosphodiesterase and related esterases")</f>
        <v>CDD:223808 COG0737, UshA, 5'-nucleotidase/2',3'-cyclic phosphodiesterase and related esterases</v>
      </c>
      <c r="BJ53" s="79">
        <v>8.9999999999999999E-11</v>
      </c>
      <c r="BK53" s="75">
        <v>14.3</v>
      </c>
      <c r="BL53" s="75" t="s">
        <v>3073</v>
      </c>
      <c r="BM53" s="75" t="s">
        <v>2779</v>
      </c>
      <c r="BN53" s="75" t="str">
        <f>HYPERLINK(".\links\PFAM\EEC04477.1-PFAM.txt","PGA_cap Bacterial capsule synthesis protein PGA_cap")</f>
        <v>PGA_cap Bacterial capsule synthesis protein PGA_cap</v>
      </c>
      <c r="BO53" s="75">
        <v>1.0999999999999999E-2</v>
      </c>
      <c r="BP53" s="75">
        <v>26.9</v>
      </c>
      <c r="BQ53" s="75" t="s">
        <v>3074</v>
      </c>
      <c r="BR53" s="75" t="s">
        <v>2772</v>
      </c>
      <c r="BS53" s="75" t="str">
        <f>HYPERLINK(".\links\SMART\EEC04477.1-SMART.txt","CDD:214858 smart00854, PGA_cap, Bacterial capsule synthesis protein PGA_cap")</f>
        <v>CDD:214858 smart00854, PGA_cap, Bacterial capsule synthesis protein PGA_cap</v>
      </c>
      <c r="BT53" s="79">
        <v>5.0000000000000001E-4</v>
      </c>
      <c r="BU53" s="75">
        <v>25.9</v>
      </c>
      <c r="BV53" s="75" t="s">
        <v>3075</v>
      </c>
      <c r="BW53" s="75" t="s">
        <v>2772</v>
      </c>
      <c r="BX53" s="75" t="str">
        <f>HYPERLINK(".\links\TSF\EEC04477.1-TSF.txt","45-21 45-21, 5'nucleotidase||S|E")</f>
        <v>45-21 45-21, 5'nucleotidase||S|E</v>
      </c>
      <c r="BY53" s="79">
        <v>3.0000000000000002E-40</v>
      </c>
      <c r="BZ53" s="75">
        <v>13.2</v>
      </c>
      <c r="CA53" s="75" t="s">
        <v>3076</v>
      </c>
      <c r="CB53" s="75" t="s">
        <v>3077</v>
      </c>
      <c r="CC53" s="75" t="s">
        <v>2772</v>
      </c>
      <c r="CD53" s="75" t="s">
        <v>2785</v>
      </c>
      <c r="CE53" s="75" t="s">
        <v>3078</v>
      </c>
      <c r="CF53" s="75">
        <v>29</v>
      </c>
      <c r="CG53" s="75">
        <v>1</v>
      </c>
      <c r="CH53" s="75">
        <v>34</v>
      </c>
      <c r="CI53" s="75">
        <v>1</v>
      </c>
      <c r="CJ53" s="75">
        <v>35</v>
      </c>
      <c r="CK53" s="75">
        <v>1</v>
      </c>
      <c r="CL53" s="75">
        <v>38</v>
      </c>
      <c r="CM53" s="75">
        <v>1</v>
      </c>
      <c r="CN53" s="75">
        <v>38</v>
      </c>
      <c r="CO53" s="75">
        <v>1</v>
      </c>
      <c r="CP53" s="75">
        <v>39</v>
      </c>
      <c r="CQ53" s="75">
        <v>1</v>
      </c>
      <c r="CR53" s="75">
        <v>40</v>
      </c>
      <c r="CS53" s="75">
        <v>1</v>
      </c>
      <c r="CT53" s="75">
        <v>44</v>
      </c>
      <c r="CU53" s="75">
        <v>1</v>
      </c>
      <c r="CV53" s="75">
        <v>46</v>
      </c>
      <c r="CW53" s="75">
        <v>1</v>
      </c>
      <c r="CX53" s="75">
        <v>48</v>
      </c>
      <c r="CY53" s="75">
        <v>1</v>
      </c>
      <c r="CZ53" s="75">
        <v>49</v>
      </c>
      <c r="DA53" s="75">
        <v>1</v>
      </c>
      <c r="DB53" s="75">
        <v>49</v>
      </c>
      <c r="DC53" s="75">
        <v>1</v>
      </c>
      <c r="DD53" s="75">
        <v>50</v>
      </c>
      <c r="DE53" s="75">
        <v>1</v>
      </c>
      <c r="DF53" s="75">
        <v>49</v>
      </c>
      <c r="DG53" s="75">
        <v>1</v>
      </c>
      <c r="DH53" s="75">
        <v>50</v>
      </c>
      <c r="DI53" s="75">
        <v>1</v>
      </c>
      <c r="DJ53" s="75" t="s">
        <v>71</v>
      </c>
      <c r="DK53" s="75" t="str">
        <f>HYPERLINK(".\links\AAM-CEMENT-2018\EEC04477.1-AAM-CEMENT-2018.txt","Extracted CDS")</f>
        <v>Extracted CDS</v>
      </c>
      <c r="DL53" s="75" t="str">
        <f>HYPERLINK("http://www.ncbi.nlm.nih.gov/sutils/blink.cgi?pid=Aam-498","3.4")</f>
        <v>3.4</v>
      </c>
      <c r="DM53" s="75" t="str">
        <f>HYPERLINK("http://www.ncbi.nlm.nih.gov/protein/Aam-498","Aam-498")</f>
        <v>Aam-498</v>
      </c>
      <c r="DN53" s="75">
        <v>19.2</v>
      </c>
      <c r="DO53" s="75">
        <v>24</v>
      </c>
      <c r="DP53" s="75">
        <v>651</v>
      </c>
      <c r="DQ53" s="75">
        <v>41</v>
      </c>
      <c r="DR53" s="75">
        <v>54</v>
      </c>
      <c r="DS53" s="75">
        <v>4</v>
      </c>
      <c r="DT53" s="75">
        <v>14</v>
      </c>
      <c r="DU53" s="75">
        <v>0</v>
      </c>
      <c r="DV53" s="75">
        <v>448</v>
      </c>
      <c r="DW53" s="75">
        <v>2</v>
      </c>
      <c r="DX53" s="75">
        <v>1</v>
      </c>
      <c r="DY53" s="75" t="s">
        <v>2775</v>
      </c>
      <c r="DZ53" s="75" t="str">
        <f>HYPERLINK(".\links\CDD\EEC04477.1-CDD.txt","MPP_CD73_N CD73 ecto-5'-nucleotidase and related proteins N-terminal metallophosphatase domain")</f>
        <v>MPP_CD73_N CD73 ecto-5'-nucleotidase and related proteins N-terminal metallophosphatase domain</v>
      </c>
      <c r="EA53" s="79">
        <v>3E-24</v>
      </c>
      <c r="EB53" s="75">
        <v>26.9</v>
      </c>
      <c r="EC53" s="75" t="s">
        <v>3071</v>
      </c>
      <c r="ED53" s="75" t="s">
        <v>3072</v>
      </c>
      <c r="EE53" s="75" t="str">
        <f>HYPERLINK(".\links\KOG\EEC04477.1-KOG.txt","CDD:223808 COG0737, UshA, 5'-nucleotidase/2',3'-cyclic phosphodiesterase and related esterases")</f>
        <v>CDD:223808 COG0737, UshA, 5'-nucleotidase/2',3'-cyclic phosphodiesterase and related esterases</v>
      </c>
      <c r="EF53" s="79">
        <v>8.9999999999999999E-11</v>
      </c>
      <c r="EG53" s="75">
        <v>14.3</v>
      </c>
      <c r="EH53" s="75" t="s">
        <v>3073</v>
      </c>
      <c r="EI53" s="75" t="s">
        <v>2779</v>
      </c>
      <c r="EJ53" s="75" t="str">
        <f>HYPERLINK(".\links\PFAM\EEC04477.1-PFAM.txt","PGA_cap Bacterial capsule synthesis protein PGA_cap")</f>
        <v>PGA_cap Bacterial capsule synthesis protein PGA_cap</v>
      </c>
      <c r="EK53" s="75">
        <v>1.0999999999999999E-2</v>
      </c>
      <c r="EL53" s="75">
        <v>26.9</v>
      </c>
      <c r="EM53" s="75" t="s">
        <v>3074</v>
      </c>
      <c r="EN53" s="75" t="s">
        <v>2772</v>
      </c>
      <c r="EO53" s="75" t="str">
        <f>HYPERLINK(".\links\SMART\EEC04477.1-SMART.txt","CDD:214858 smart00854, PGA_cap, Bacterial capsule synthesis protein PGA_cap")</f>
        <v>CDD:214858 smart00854, PGA_cap, Bacterial capsule synthesis protein PGA_cap</v>
      </c>
      <c r="EP53" s="79">
        <v>5.0000000000000001E-4</v>
      </c>
      <c r="EQ53" s="75">
        <v>25.9</v>
      </c>
      <c r="ER53" s="75" t="s">
        <v>3075</v>
      </c>
      <c r="ES53" s="75" t="s">
        <v>2772</v>
      </c>
      <c r="ET53" s="75" t="str">
        <f>HYPERLINK(".\links\TSF\EEC04477.1-TSF.txt","45-21 45-21, 5'nucleotidase||S|E")</f>
        <v>45-21 45-21, 5'nucleotidase||S|E</v>
      </c>
      <c r="EU53" s="79">
        <v>3.0000000000000002E-40</v>
      </c>
      <c r="EV53" s="75">
        <v>13.2</v>
      </c>
      <c r="EW53" s="75" t="s">
        <v>3076</v>
      </c>
      <c r="EX53" s="75" t="s">
        <v>3077</v>
      </c>
      <c r="EY53" s="75" t="s">
        <v>2772</v>
      </c>
      <c r="EZ53" s="75" t="s">
        <v>2785</v>
      </c>
      <c r="FA53" s="75" t="s">
        <v>3078</v>
      </c>
    </row>
    <row r="54" spans="1:157" x14ac:dyDescent="0.2">
      <c r="A54" s="75" t="str">
        <f>HYPERLINK(".\links\PEP\EEC13429.1-PEP.txt","EEC13429.1")</f>
        <v>EEC13429.1</v>
      </c>
      <c r="B54" s="75" t="s">
        <v>2768</v>
      </c>
      <c r="C54" s="75">
        <v>247</v>
      </c>
      <c r="D54" s="75" t="s">
        <v>3079</v>
      </c>
      <c r="E54" s="76" t="s">
        <v>50</v>
      </c>
      <c r="F54" s="75" t="s">
        <v>2771</v>
      </c>
      <c r="G54" s="75" t="str">
        <f>HYPERLINK(".\links\Sigp\EEC13429.1-SigP.txt","CYT")</f>
        <v>CYT</v>
      </c>
      <c r="H54" s="75" t="s">
        <v>2772</v>
      </c>
      <c r="I54" s="75">
        <v>26.98</v>
      </c>
      <c r="J54" s="75">
        <v>7.56</v>
      </c>
      <c r="K54" s="75" t="s">
        <v>2772</v>
      </c>
      <c r="L54" s="75" t="s">
        <v>2772</v>
      </c>
      <c r="M54" s="75" t="str">
        <f>HYPERLINK(".\links\netoglyc\EEC13429.1-netoglyc.txt","0")</f>
        <v>0</v>
      </c>
      <c r="N54" s="75" t="s">
        <v>2817</v>
      </c>
      <c r="O54" s="75">
        <v>247</v>
      </c>
      <c r="P54" s="75">
        <v>0</v>
      </c>
      <c r="Q54" s="75" t="s">
        <v>2772</v>
      </c>
      <c r="R54" s="75" t="s">
        <v>2772</v>
      </c>
      <c r="S54" s="75" t="s">
        <v>2772</v>
      </c>
      <c r="T54" s="75" t="s">
        <v>2772</v>
      </c>
      <c r="U54" s="75" t="s">
        <v>2772</v>
      </c>
      <c r="V54" s="75" t="s">
        <v>2772</v>
      </c>
      <c r="W54" s="75">
        <v>9.1</v>
      </c>
      <c r="X54" s="75">
        <v>7.9</v>
      </c>
      <c r="Y54" s="75">
        <v>4</v>
      </c>
      <c r="Z54" s="75" t="s">
        <v>2774</v>
      </c>
      <c r="AA54" s="77">
        <v>12.145748987854301</v>
      </c>
      <c r="AB54" s="75">
        <v>0.28000000000000003</v>
      </c>
      <c r="AD54" s="75">
        <v>7</v>
      </c>
      <c r="AE54" s="75" t="s">
        <v>2772</v>
      </c>
      <c r="AF54" s="75" t="s">
        <v>2772</v>
      </c>
      <c r="AG54" s="75" t="s">
        <v>2772</v>
      </c>
      <c r="AH54" s="75" t="s">
        <v>2772</v>
      </c>
      <c r="AI54" s="75">
        <v>1</v>
      </c>
      <c r="AJ54" s="75">
        <v>1</v>
      </c>
      <c r="AK54" s="75" t="s">
        <v>2772</v>
      </c>
      <c r="AL54" s="75" t="s">
        <v>2772</v>
      </c>
      <c r="AM54" s="75" t="s">
        <v>2772</v>
      </c>
      <c r="AN54" s="75" t="s">
        <v>2772</v>
      </c>
      <c r="AO54" s="78" t="str">
        <f>HYPERLINK(".\links\AAM-CEMENT-2018\EEC13429.1-AAM-CEMENT-2018.txt","Extracted CDS")</f>
        <v>Extracted CDS</v>
      </c>
      <c r="AP54" s="75" t="str">
        <f>HYPERLINK("http://www.ncbi.nlm.nih.gov/sutils/blink.cgi?pid=Aam-3330","0.052")</f>
        <v>0.052</v>
      </c>
      <c r="AQ54" s="75" t="str">
        <f>HYPERLINK("http://www.ncbi.nlm.nih.gov/protein/Aam-3330","Aam-3330")</f>
        <v>Aam-3330</v>
      </c>
      <c r="AR54" s="75">
        <v>27.3</v>
      </c>
      <c r="AS54" s="75">
        <v>47</v>
      </c>
      <c r="AT54" s="75">
        <v>418</v>
      </c>
      <c r="AU54" s="75">
        <v>36</v>
      </c>
      <c r="AV54" s="75">
        <v>44</v>
      </c>
      <c r="AW54" s="75">
        <v>11</v>
      </c>
      <c r="AX54" s="75">
        <v>30</v>
      </c>
      <c r="AY54" s="75">
        <v>0</v>
      </c>
      <c r="AZ54" s="75">
        <v>185</v>
      </c>
      <c r="BA54" s="75">
        <v>108</v>
      </c>
      <c r="BB54" s="75">
        <v>1</v>
      </c>
      <c r="BC54" s="75" t="s">
        <v>2775</v>
      </c>
      <c r="BD54" s="78" t="str">
        <f>HYPERLINK(".\links\CDD\EEC13429.1-CDD.txt","PTZ00333 triosephosphate isomerase")</f>
        <v>PTZ00333 triosephosphate isomerase</v>
      </c>
      <c r="BE54" s="79">
        <v>4.9999999999999999E-132</v>
      </c>
      <c r="BF54" s="75">
        <v>98</v>
      </c>
      <c r="BG54" s="75" t="s">
        <v>3080</v>
      </c>
      <c r="BH54" s="75" t="s">
        <v>3081</v>
      </c>
      <c r="BI54" s="75" t="str">
        <f>HYPERLINK(".\links\KOG\EEC13429.1-KOG.txt","CDD:223227 COG0149, TpiA, Triosephosphate isomerase")</f>
        <v>CDD:223227 COG0149, TpiA, Triosephosphate isomerase</v>
      </c>
      <c r="BJ54" s="79">
        <v>7E-106</v>
      </c>
      <c r="BK54" s="75">
        <v>98.4</v>
      </c>
      <c r="BL54" s="75" t="s">
        <v>3082</v>
      </c>
      <c r="BM54" s="75" t="s">
        <v>2779</v>
      </c>
      <c r="BN54" s="78" t="str">
        <f>HYPERLINK(".\links\PFAM\EEC13429.1-PFAM.txt","TIM Triosephosphate isomerase")</f>
        <v>TIM Triosephosphate isomerase</v>
      </c>
      <c r="BO54" s="79">
        <v>3.9999999999999998E-126</v>
      </c>
      <c r="BP54" s="75">
        <v>99.6</v>
      </c>
      <c r="BQ54" s="75" t="s">
        <v>3083</v>
      </c>
      <c r="BR54" s="75" t="s">
        <v>2772</v>
      </c>
      <c r="BS54" s="78" t="str">
        <f>HYPERLINK(".\links\SMART\EEC13429.1-SMART.txt","CDD:197800 smart00592, BRK, domain in transcription and CHROMO domain helicases")</f>
        <v>CDD:197800 smart00592, BRK, domain in transcription and CHROMO domain helicases</v>
      </c>
      <c r="BT54" s="75">
        <v>7.4999999999999997E-2</v>
      </c>
      <c r="BU54" s="75">
        <v>88.9</v>
      </c>
      <c r="BV54" s="75" t="s">
        <v>3084</v>
      </c>
      <c r="BW54" s="75" t="s">
        <v>2772</v>
      </c>
      <c r="BX54" s="78" t="str">
        <f>HYPERLINK(".\links\TSF\EEC13429.1-TSF.txt","25-244 25-244, Cytotoxin||S|")</f>
        <v>25-244 25-244, Cytotoxin||S|</v>
      </c>
      <c r="BY54" s="75">
        <v>0.45</v>
      </c>
      <c r="BZ54" s="75">
        <v>30.2</v>
      </c>
      <c r="CA54" s="75" t="s">
        <v>3085</v>
      </c>
      <c r="CB54" s="75" t="s">
        <v>2962</v>
      </c>
      <c r="CC54" s="75" t="s">
        <v>2772</v>
      </c>
      <c r="CD54" s="75" t="s">
        <v>2785</v>
      </c>
      <c r="CE54" s="75" t="s">
        <v>3086</v>
      </c>
      <c r="CF54" s="75">
        <v>51</v>
      </c>
      <c r="CG54" s="75">
        <v>1</v>
      </c>
      <c r="CH54" s="75">
        <v>59</v>
      </c>
      <c r="CI54" s="75">
        <v>1</v>
      </c>
      <c r="CJ54" s="75">
        <v>60</v>
      </c>
      <c r="CK54" s="75">
        <v>1</v>
      </c>
      <c r="CL54" s="75">
        <v>64</v>
      </c>
      <c r="CM54" s="75">
        <v>1</v>
      </c>
      <c r="CN54" s="75">
        <v>68</v>
      </c>
      <c r="CO54" s="75">
        <v>1</v>
      </c>
      <c r="CP54" s="75">
        <v>70</v>
      </c>
      <c r="CQ54" s="75">
        <v>1</v>
      </c>
      <c r="CR54" s="75">
        <v>71</v>
      </c>
      <c r="CS54" s="75">
        <v>1</v>
      </c>
      <c r="CT54" s="75">
        <v>75</v>
      </c>
      <c r="CU54" s="75">
        <v>1</v>
      </c>
      <c r="CV54" s="75">
        <v>78</v>
      </c>
      <c r="CW54" s="75">
        <v>1</v>
      </c>
      <c r="CX54" s="75">
        <v>82</v>
      </c>
      <c r="CY54" s="75">
        <v>1</v>
      </c>
      <c r="CZ54" s="75">
        <v>84</v>
      </c>
      <c r="DA54" s="75">
        <v>1</v>
      </c>
      <c r="DB54" s="75">
        <v>90</v>
      </c>
      <c r="DC54" s="75">
        <v>1</v>
      </c>
      <c r="DD54" s="75">
        <v>93</v>
      </c>
      <c r="DE54" s="75">
        <v>1</v>
      </c>
      <c r="DF54" s="75">
        <v>95</v>
      </c>
      <c r="DG54" s="75">
        <v>1</v>
      </c>
      <c r="DH54" s="75">
        <v>96</v>
      </c>
      <c r="DI54" s="75">
        <v>1</v>
      </c>
      <c r="DJ54" s="75" t="s">
        <v>226</v>
      </c>
      <c r="DK54" s="75" t="str">
        <f>HYPERLINK(".\links\AAM-CEMENT-2018\EEC13429.1-AAM-CEMENT-2018.txt","Extracted CDS")</f>
        <v>Extracted CDS</v>
      </c>
      <c r="DL54" s="75" t="str">
        <f>HYPERLINK("http://www.ncbi.nlm.nih.gov/sutils/blink.cgi?pid=Aam-3330","0.052")</f>
        <v>0.052</v>
      </c>
      <c r="DM54" s="75" t="str">
        <f>HYPERLINK("http://www.ncbi.nlm.nih.gov/protein/Aam-3330","Aam-3330")</f>
        <v>Aam-3330</v>
      </c>
      <c r="DN54" s="75">
        <v>27.3</v>
      </c>
      <c r="DO54" s="75">
        <v>47</v>
      </c>
      <c r="DP54" s="75">
        <v>418</v>
      </c>
      <c r="DQ54" s="75">
        <v>36</v>
      </c>
      <c r="DR54" s="75">
        <v>44</v>
      </c>
      <c r="DS54" s="75">
        <v>11</v>
      </c>
      <c r="DT54" s="75">
        <v>30</v>
      </c>
      <c r="DU54" s="75">
        <v>0</v>
      </c>
      <c r="DV54" s="75">
        <v>185</v>
      </c>
      <c r="DW54" s="75">
        <v>108</v>
      </c>
      <c r="DX54" s="75">
        <v>1</v>
      </c>
      <c r="DY54" s="75" t="s">
        <v>2775</v>
      </c>
      <c r="DZ54" s="75" t="str">
        <f>HYPERLINK(".\links\CDD\EEC13429.1-CDD.txt","PTZ00333 triosephosphate isomerase")</f>
        <v>PTZ00333 triosephosphate isomerase</v>
      </c>
      <c r="EA54" s="79">
        <v>4.9999999999999999E-132</v>
      </c>
      <c r="EB54" s="75">
        <v>98</v>
      </c>
      <c r="EC54" s="75" t="s">
        <v>3080</v>
      </c>
      <c r="ED54" s="75" t="s">
        <v>3081</v>
      </c>
      <c r="EE54" s="75" t="str">
        <f>HYPERLINK(".\links\KOG\EEC13429.1-KOG.txt","CDD:223227 COG0149, TpiA, Triosephosphate isomerase")</f>
        <v>CDD:223227 COG0149, TpiA, Triosephosphate isomerase</v>
      </c>
      <c r="EF54" s="79">
        <v>7E-106</v>
      </c>
      <c r="EG54" s="75">
        <v>98.4</v>
      </c>
      <c r="EH54" s="75" t="s">
        <v>3082</v>
      </c>
      <c r="EI54" s="75" t="s">
        <v>2779</v>
      </c>
      <c r="EJ54" s="75" t="str">
        <f>HYPERLINK(".\links\PFAM\EEC13429.1-PFAM.txt","TIM Triosephosphate isomerase")</f>
        <v>TIM Triosephosphate isomerase</v>
      </c>
      <c r="EK54" s="79">
        <v>3.9999999999999998E-126</v>
      </c>
      <c r="EL54" s="75">
        <v>99.6</v>
      </c>
      <c r="EM54" s="75" t="s">
        <v>3083</v>
      </c>
      <c r="EN54" s="75" t="s">
        <v>2772</v>
      </c>
      <c r="EO54" s="75" t="str">
        <f>HYPERLINK(".\links\SMART\EEC13429.1-SMART.txt","CDD:197800 smart00592, BRK, domain in transcription and CHROMO domain helicases")</f>
        <v>CDD:197800 smart00592, BRK, domain in transcription and CHROMO domain helicases</v>
      </c>
      <c r="EP54" s="75">
        <v>7.4999999999999997E-2</v>
      </c>
      <c r="EQ54" s="75">
        <v>88.9</v>
      </c>
      <c r="ER54" s="75" t="s">
        <v>3084</v>
      </c>
      <c r="ES54" s="75" t="s">
        <v>2772</v>
      </c>
      <c r="ET54" s="75" t="str">
        <f>HYPERLINK(".\links\TSF\EEC13429.1-TSF.txt","25-244 25-244, Cytotoxin||S|")</f>
        <v>25-244 25-244, Cytotoxin||S|</v>
      </c>
      <c r="EU54" s="75">
        <v>0.45</v>
      </c>
      <c r="EV54" s="75">
        <v>30.2</v>
      </c>
      <c r="EW54" s="75" t="s">
        <v>3085</v>
      </c>
      <c r="EX54" s="75" t="s">
        <v>2962</v>
      </c>
      <c r="EY54" s="75" t="s">
        <v>2772</v>
      </c>
      <c r="EZ54" s="75" t="s">
        <v>2785</v>
      </c>
      <c r="FA54" s="75" t="s">
        <v>3086</v>
      </c>
    </row>
    <row r="55" spans="1:157" x14ac:dyDescent="0.2">
      <c r="A55" s="75" t="str">
        <f>HYPERLINK(".\links\PEP\EEC02148.1-PEP.txt","EEC02148.1")</f>
        <v>EEC02148.1</v>
      </c>
      <c r="B55" s="75" t="s">
        <v>2768</v>
      </c>
      <c r="C55" s="75">
        <v>394</v>
      </c>
      <c r="D55" s="75" t="s">
        <v>3087</v>
      </c>
      <c r="E55" s="76" t="s">
        <v>50</v>
      </c>
      <c r="F55" s="75" t="s">
        <v>2771</v>
      </c>
      <c r="G55" s="75" t="str">
        <f>HYPERLINK(".\links\Sigp\EEC02148.1-SigP.txt","CYT")</f>
        <v>CYT</v>
      </c>
      <c r="H55" s="75" t="s">
        <v>2772</v>
      </c>
      <c r="I55" s="75">
        <v>42.548000000000002</v>
      </c>
      <c r="J55" s="75">
        <v>5.36</v>
      </c>
      <c r="K55" s="75" t="s">
        <v>2772</v>
      </c>
      <c r="L55" s="75" t="s">
        <v>2772</v>
      </c>
      <c r="M55" s="75" t="str">
        <f>HYPERLINK(".\links\netoglyc\EEC02148.1-netoglyc.txt","2")</f>
        <v>2</v>
      </c>
      <c r="N55" s="75" t="s">
        <v>2992</v>
      </c>
      <c r="O55" s="75">
        <v>394</v>
      </c>
      <c r="P55" s="75">
        <v>0</v>
      </c>
      <c r="Q55" s="75" t="s">
        <v>2772</v>
      </c>
      <c r="R55" s="75" t="s">
        <v>2772</v>
      </c>
      <c r="S55" s="75" t="s">
        <v>2772</v>
      </c>
      <c r="T55" s="75" t="s">
        <v>2772</v>
      </c>
      <c r="U55" s="75" t="s">
        <v>2772</v>
      </c>
      <c r="V55" s="75" t="s">
        <v>2772</v>
      </c>
      <c r="W55" s="75">
        <v>10</v>
      </c>
      <c r="X55" s="75">
        <v>8</v>
      </c>
      <c r="Y55" s="75">
        <v>4.7</v>
      </c>
      <c r="Z55" s="75" t="s">
        <v>2774</v>
      </c>
      <c r="AA55" s="77">
        <v>12.944162436548201</v>
      </c>
      <c r="AB55" s="75">
        <v>0.24</v>
      </c>
      <c r="AD55" s="75">
        <v>10</v>
      </c>
      <c r="AE55" s="75" t="s">
        <v>2772</v>
      </c>
      <c r="AF55" s="75" t="s">
        <v>2772</v>
      </c>
      <c r="AG55" s="75" t="s">
        <v>2772</v>
      </c>
      <c r="AH55" s="75" t="s">
        <v>2772</v>
      </c>
      <c r="AI55" s="75">
        <v>4</v>
      </c>
      <c r="AJ55" s="75">
        <v>4</v>
      </c>
      <c r="AK55" s="75" t="s">
        <v>2772</v>
      </c>
      <c r="AL55" s="75" t="s">
        <v>2772</v>
      </c>
      <c r="AM55" s="75" t="s">
        <v>2772</v>
      </c>
      <c r="AN55" s="75" t="s">
        <v>2772</v>
      </c>
      <c r="AO55" s="78" t="str">
        <f>HYPERLINK(".\links\AAM-CEMENT-2018\EEC02148.1-AAM-CEMENT-2018.txt","Extracted CDS")</f>
        <v>Extracted CDS</v>
      </c>
      <c r="AP55" s="75" t="str">
        <f>HYPERLINK("http://www.ncbi.nlm.nih.gov/sutils/blink.cgi?pid=Aam-12609","1.9")</f>
        <v>1.9</v>
      </c>
      <c r="AQ55" s="75" t="str">
        <f>HYPERLINK("http://www.ncbi.nlm.nih.gov/protein/Aam-12609","Aam-12609")</f>
        <v>Aam-12609</v>
      </c>
      <c r="AR55" s="75">
        <v>21.9</v>
      </c>
      <c r="AS55" s="75">
        <v>55</v>
      </c>
      <c r="AT55" s="75">
        <v>83</v>
      </c>
      <c r="AU55" s="75">
        <v>34</v>
      </c>
      <c r="AV55" s="75">
        <v>47</v>
      </c>
      <c r="AW55" s="75">
        <v>66</v>
      </c>
      <c r="AX55" s="75">
        <v>36</v>
      </c>
      <c r="AY55" s="75">
        <v>9</v>
      </c>
      <c r="AZ55" s="75">
        <v>19</v>
      </c>
      <c r="BA55" s="75">
        <v>48</v>
      </c>
      <c r="BB55" s="75">
        <v>1</v>
      </c>
      <c r="BC55" s="75" t="s">
        <v>2775</v>
      </c>
      <c r="BD55" s="78" t="str">
        <f>HYPERLINK(".\links\CDD\EEC02148.1-CDD.txt","IPPase IPPase")</f>
        <v>IPPase IPPase</v>
      </c>
      <c r="BE55" s="79">
        <v>5E-51</v>
      </c>
      <c r="BF55" s="75">
        <v>129.4</v>
      </c>
      <c r="BG55" s="75" t="s">
        <v>3088</v>
      </c>
      <c r="BH55" s="75" t="s">
        <v>3089</v>
      </c>
      <c r="BI55" s="75" t="str">
        <f>HYPERLINK(".\links\KOG\EEC02148.1-KOG.txt","CDD:224139 COG1218, CysQ, 3'-Phosphoadenosine 5'-phosphosulfate")</f>
        <v>CDD:224139 COG1218, CysQ, 3'-Phosphoadenosine 5'-phosphosulfate</v>
      </c>
      <c r="BJ55" s="79">
        <v>6E-9</v>
      </c>
      <c r="BK55" s="75">
        <v>62.3</v>
      </c>
      <c r="BL55" s="75" t="s">
        <v>3090</v>
      </c>
      <c r="BM55" s="75" t="s">
        <v>2779</v>
      </c>
      <c r="BN55" s="78" t="str">
        <f>HYPERLINK(".\links\PFAM\EEC02148.1-PFAM.txt","Inositol_P Inositol monophosphatase family")</f>
        <v>Inositol_P Inositol monophosphatase family</v>
      </c>
      <c r="BO55" s="79">
        <v>2E-14</v>
      </c>
      <c r="BP55" s="75">
        <v>74.7</v>
      </c>
      <c r="BQ55" s="75" t="s">
        <v>3091</v>
      </c>
      <c r="BR55" s="75" t="s">
        <v>2772</v>
      </c>
      <c r="BS55" s="78" t="str">
        <f>HYPERLINK(".\links\SMART\EEC02148.1-SMART.txt","CDD:128928 smart00685, DM14, Repeats in fly CG4713, worm Y37H9A")</f>
        <v>CDD:128928 smart00685, DM14, Repeats in fly CG4713, worm Y37H9A</v>
      </c>
      <c r="BT55" s="75">
        <v>0.26</v>
      </c>
      <c r="BU55" s="75">
        <v>40.700000000000003</v>
      </c>
      <c r="BV55" s="75" t="s">
        <v>3092</v>
      </c>
      <c r="BW55" s="75" t="s">
        <v>2772</v>
      </c>
      <c r="BX55" s="78" t="str">
        <f>HYPERLINK(".\links\TSF\EEC02148.1-TSF.txt","30-435 30-435, IPPase|Inositol monophosphatase|S|E")</f>
        <v>30-435 30-435, IPPase|Inositol monophosphatase|S|E</v>
      </c>
      <c r="BY55" s="79">
        <v>1E-13</v>
      </c>
      <c r="BZ55" s="75">
        <v>63.6</v>
      </c>
      <c r="CA55" s="75" t="s">
        <v>3093</v>
      </c>
      <c r="CB55" s="75" t="s">
        <v>3094</v>
      </c>
      <c r="CC55" s="75" t="s">
        <v>3095</v>
      </c>
      <c r="CD55" s="75" t="s">
        <v>2785</v>
      </c>
      <c r="CE55" s="75" t="s">
        <v>3096</v>
      </c>
      <c r="CF55" s="75">
        <v>24</v>
      </c>
      <c r="CG55" s="75">
        <v>1</v>
      </c>
      <c r="CH55" s="75">
        <v>29</v>
      </c>
      <c r="CI55" s="75">
        <v>1</v>
      </c>
      <c r="CJ55" s="75">
        <v>29</v>
      </c>
      <c r="CK55" s="75">
        <v>1</v>
      </c>
      <c r="CL55" s="75">
        <v>31</v>
      </c>
      <c r="CM55" s="75">
        <v>1</v>
      </c>
      <c r="CN55" s="75">
        <v>30</v>
      </c>
      <c r="CO55" s="75">
        <v>1</v>
      </c>
      <c r="CP55" s="75">
        <v>31</v>
      </c>
      <c r="CQ55" s="75">
        <v>1</v>
      </c>
      <c r="CR55" s="75">
        <v>32</v>
      </c>
      <c r="CS55" s="75">
        <v>1</v>
      </c>
      <c r="CT55" s="75">
        <v>34</v>
      </c>
      <c r="CU55" s="75">
        <v>1</v>
      </c>
      <c r="CV55" s="75">
        <v>36</v>
      </c>
      <c r="CW55" s="75">
        <v>1</v>
      </c>
      <c r="CX55" s="75">
        <v>37</v>
      </c>
      <c r="CY55" s="75">
        <v>1</v>
      </c>
      <c r="CZ55" s="75">
        <v>38</v>
      </c>
      <c r="DA55" s="75">
        <v>1</v>
      </c>
      <c r="DB55" s="75">
        <v>38</v>
      </c>
      <c r="DC55" s="75">
        <v>1</v>
      </c>
      <c r="DD55" s="75">
        <v>36</v>
      </c>
      <c r="DE55" s="75">
        <v>1</v>
      </c>
      <c r="DF55" s="75">
        <v>35</v>
      </c>
      <c r="DG55" s="75">
        <v>1</v>
      </c>
      <c r="DH55" s="75">
        <v>35</v>
      </c>
      <c r="DI55" s="75">
        <v>1</v>
      </c>
      <c r="DJ55" s="75" t="s">
        <v>8</v>
      </c>
      <c r="DK55" s="75" t="str">
        <f>HYPERLINK(".\links\AAM-CEMENT-2018\EEC02148.1-AAM-CEMENT-2018.txt","Extracted CDS")</f>
        <v>Extracted CDS</v>
      </c>
      <c r="DL55" s="75" t="str">
        <f>HYPERLINK("http://www.ncbi.nlm.nih.gov/sutils/blink.cgi?pid=Aam-12609","1.9")</f>
        <v>1.9</v>
      </c>
      <c r="DM55" s="75" t="str">
        <f>HYPERLINK("http://www.ncbi.nlm.nih.gov/protein/Aam-12609","Aam-12609")</f>
        <v>Aam-12609</v>
      </c>
      <c r="DN55" s="75">
        <v>21.9</v>
      </c>
      <c r="DO55" s="75">
        <v>55</v>
      </c>
      <c r="DP55" s="75">
        <v>83</v>
      </c>
      <c r="DQ55" s="75">
        <v>34</v>
      </c>
      <c r="DR55" s="75">
        <v>47</v>
      </c>
      <c r="DS55" s="75">
        <v>66</v>
      </c>
      <c r="DT55" s="75">
        <v>36</v>
      </c>
      <c r="DU55" s="75">
        <v>9</v>
      </c>
      <c r="DV55" s="75">
        <v>19</v>
      </c>
      <c r="DW55" s="75">
        <v>48</v>
      </c>
      <c r="DX55" s="75">
        <v>1</v>
      </c>
      <c r="DY55" s="75" t="s">
        <v>2775</v>
      </c>
      <c r="DZ55" s="75" t="str">
        <f>HYPERLINK(".\links\CDD\EEC02148.1-CDD.txt","IPPase IPPase")</f>
        <v>IPPase IPPase</v>
      </c>
      <c r="EA55" s="79">
        <v>5E-51</v>
      </c>
      <c r="EB55" s="75">
        <v>129.4</v>
      </c>
      <c r="EC55" s="75" t="s">
        <v>3088</v>
      </c>
      <c r="ED55" s="75" t="s">
        <v>3089</v>
      </c>
      <c r="EE55" s="75" t="str">
        <f>HYPERLINK(".\links\KOG\EEC02148.1-KOG.txt","CDD:224139 COG1218, CysQ, 3'-Phosphoadenosine 5'-phosphosulfate")</f>
        <v>CDD:224139 COG1218, CysQ, 3'-Phosphoadenosine 5'-phosphosulfate</v>
      </c>
      <c r="EF55" s="79">
        <v>6E-9</v>
      </c>
      <c r="EG55" s="75">
        <v>62.3</v>
      </c>
      <c r="EH55" s="75" t="s">
        <v>3090</v>
      </c>
      <c r="EI55" s="75" t="s">
        <v>2779</v>
      </c>
      <c r="EJ55" s="75" t="str">
        <f>HYPERLINK(".\links\PFAM\EEC02148.1-PFAM.txt","Inositol_P Inositol monophosphatase family")</f>
        <v>Inositol_P Inositol monophosphatase family</v>
      </c>
      <c r="EK55" s="79">
        <v>2E-14</v>
      </c>
      <c r="EL55" s="75">
        <v>74.7</v>
      </c>
      <c r="EM55" s="75" t="s">
        <v>3091</v>
      </c>
      <c r="EN55" s="75" t="s">
        <v>2772</v>
      </c>
      <c r="EO55" s="75" t="str">
        <f>HYPERLINK(".\links\SMART\EEC02148.1-SMART.txt","CDD:128928 smart00685, DM14, Repeats in fly CG4713, worm Y37H9A")</f>
        <v>CDD:128928 smart00685, DM14, Repeats in fly CG4713, worm Y37H9A</v>
      </c>
      <c r="EP55" s="75">
        <v>0.26</v>
      </c>
      <c r="EQ55" s="75">
        <v>40.700000000000003</v>
      </c>
      <c r="ER55" s="75" t="s">
        <v>3092</v>
      </c>
      <c r="ES55" s="75" t="s">
        <v>2772</v>
      </c>
      <c r="ET55" s="75" t="str">
        <f>HYPERLINK(".\links\TSF\EEC02148.1-TSF.txt","30-435 30-435, IPPase|Inositol monophosphatase|S|E")</f>
        <v>30-435 30-435, IPPase|Inositol monophosphatase|S|E</v>
      </c>
      <c r="EU55" s="79">
        <v>1E-13</v>
      </c>
      <c r="EV55" s="75">
        <v>63.6</v>
      </c>
      <c r="EW55" s="75" t="s">
        <v>3093</v>
      </c>
      <c r="EX55" s="75" t="s">
        <v>3094</v>
      </c>
      <c r="EY55" s="75" t="s">
        <v>3095</v>
      </c>
      <c r="EZ55" s="75" t="s">
        <v>2785</v>
      </c>
      <c r="FA55" s="75" t="s">
        <v>3096</v>
      </c>
    </row>
    <row r="56" spans="1:157" x14ac:dyDescent="0.2">
      <c r="A56" s="75" t="str">
        <f>HYPERLINK(".\links\PEP\EEC11543.1-PEP.txt","EEC11543.1")</f>
        <v>EEC11543.1</v>
      </c>
      <c r="B56" s="75" t="s">
        <v>2768</v>
      </c>
      <c r="C56" s="75">
        <v>461</v>
      </c>
      <c r="D56" s="75" t="s">
        <v>3097</v>
      </c>
      <c r="E56" s="76" t="s">
        <v>50</v>
      </c>
      <c r="F56" s="75" t="s">
        <v>2771</v>
      </c>
      <c r="G56" s="75" t="str">
        <f>HYPERLINK(".\links\Sigp\EEC11543.1-SigP.txt","SIG")</f>
        <v>SIG</v>
      </c>
      <c r="H56" s="75" t="s">
        <v>3098</v>
      </c>
      <c r="I56" s="75">
        <v>52.789000000000001</v>
      </c>
      <c r="J56" s="75">
        <v>9.0500000000000007</v>
      </c>
      <c r="K56" s="75">
        <v>49.612000000000002</v>
      </c>
      <c r="L56" s="75">
        <v>8.99</v>
      </c>
      <c r="M56" s="75" t="str">
        <f>HYPERLINK(".\links\netoglyc\EEC11543.1-netoglyc.txt","0")</f>
        <v>0</v>
      </c>
      <c r="N56" s="75" t="s">
        <v>3099</v>
      </c>
      <c r="O56" s="75">
        <v>461</v>
      </c>
      <c r="P56" s="75" t="str">
        <f>HYPERLINK(".\links\tmhmm\EEC11543.1-tmhmm.txt","10")</f>
        <v>10</v>
      </c>
      <c r="Q56" s="75">
        <v>46.6</v>
      </c>
      <c r="R56" s="75">
        <v>21.7</v>
      </c>
      <c r="S56" s="75">
        <v>31.7</v>
      </c>
      <c r="T56" s="75" t="s">
        <v>2772</v>
      </c>
      <c r="U56" s="75" t="s">
        <v>2772</v>
      </c>
      <c r="V56" s="75" t="s">
        <v>2772</v>
      </c>
      <c r="W56" s="75">
        <v>10.199999999999999</v>
      </c>
      <c r="X56" s="75">
        <v>3.8</v>
      </c>
      <c r="Y56" s="75">
        <v>4.0999999999999996</v>
      </c>
      <c r="Z56" s="75" t="s">
        <v>2774</v>
      </c>
      <c r="AA56" s="77">
        <v>8.0260303687635606</v>
      </c>
      <c r="AB56" s="75">
        <v>0.43</v>
      </c>
      <c r="AD56" s="75">
        <v>14</v>
      </c>
      <c r="AE56" s="75" t="s">
        <v>2772</v>
      </c>
      <c r="AF56" s="75" t="s">
        <v>2772</v>
      </c>
      <c r="AG56" s="75" t="s">
        <v>2772</v>
      </c>
      <c r="AH56" s="75">
        <v>1</v>
      </c>
      <c r="AI56" s="75">
        <v>1</v>
      </c>
      <c r="AJ56" s="75">
        <v>1</v>
      </c>
      <c r="AK56" s="75" t="s">
        <v>2772</v>
      </c>
      <c r="AL56" s="75" t="s">
        <v>2772</v>
      </c>
      <c r="AM56" s="75" t="s">
        <v>2772</v>
      </c>
      <c r="AN56" s="75" t="s">
        <v>2772</v>
      </c>
      <c r="AO56" s="78" t="str">
        <f>HYPERLINK(".\links\AAM-CEMENT-2018\EEC11543.1-AAM-CEMENT-2018.txt","Extracted CDS")</f>
        <v>Extracted CDS</v>
      </c>
      <c r="AP56" s="75" t="str">
        <f>HYPERLINK("http://www.ncbi.nlm.nih.gov/sutils/blink.cgi?pid=Aam-4865","7.6")</f>
        <v>7.6</v>
      </c>
      <c r="AQ56" s="75" t="str">
        <f>HYPERLINK("http://www.ncbi.nlm.nih.gov/protein/Aam-4865","Aam-4865")</f>
        <v>Aam-4865</v>
      </c>
      <c r="AR56" s="75">
        <v>21.6</v>
      </c>
      <c r="AS56" s="75">
        <v>28</v>
      </c>
      <c r="AT56" s="75">
        <v>377</v>
      </c>
      <c r="AU56" s="75">
        <v>32</v>
      </c>
      <c r="AV56" s="75">
        <v>50</v>
      </c>
      <c r="AW56" s="75">
        <v>7</v>
      </c>
      <c r="AX56" s="75">
        <v>19</v>
      </c>
      <c r="AY56" s="75">
        <v>0</v>
      </c>
      <c r="AZ56" s="75">
        <v>267</v>
      </c>
      <c r="BA56" s="75">
        <v>244</v>
      </c>
      <c r="BB56" s="75">
        <v>1</v>
      </c>
      <c r="BC56" s="75" t="s">
        <v>2775</v>
      </c>
      <c r="BD56" s="78" t="str">
        <f>HYPERLINK(".\links\CDD\EEC11543.1-CDD.txt","DIE2_ALG10 DIE2/ALG10 family")</f>
        <v>DIE2_ALG10 DIE2/ALG10 family</v>
      </c>
      <c r="BE56" s="79">
        <v>9.9999999999999995E-145</v>
      </c>
      <c r="BF56" s="75">
        <v>102.6</v>
      </c>
      <c r="BG56" s="75" t="s">
        <v>3100</v>
      </c>
      <c r="BH56" s="75" t="s">
        <v>3101</v>
      </c>
      <c r="BI56" s="75" t="str">
        <f>HYPERLINK(".\links\KOG\EEC11543.1-KOG.txt","CDD:225137 COG2227, UbiG, 2-polyprenyl-3-methyl-5-hydroxy-6-metoxy-1,4-benzoquinol methylase")</f>
        <v>CDD:225137 COG2227, UbiG, 2-polyprenyl-3-methyl-5-hydroxy-6-metoxy-1,4-benzoquinol methylase</v>
      </c>
      <c r="BJ56" s="75">
        <v>0.94</v>
      </c>
      <c r="BK56" s="75">
        <v>39.9</v>
      </c>
      <c r="BL56" s="75" t="s">
        <v>3102</v>
      </c>
      <c r="BM56" s="75" t="s">
        <v>2779</v>
      </c>
      <c r="BN56" s="78" t="str">
        <f>HYPERLINK(".\links\PFAM\EEC11543.1-PFAM.txt","DIE2_ALG10 DIE2/ALG10 family")</f>
        <v>DIE2_ALG10 DIE2/ALG10 family</v>
      </c>
      <c r="BO56" s="79">
        <v>1.9999999999999998E-145</v>
      </c>
      <c r="BP56" s="75">
        <v>102.6</v>
      </c>
      <c r="BQ56" s="75" t="s">
        <v>3100</v>
      </c>
      <c r="BR56" s="75" t="s">
        <v>2772</v>
      </c>
      <c r="BS56" s="78" t="str">
        <f>HYPERLINK(".\links\SMART\EEC11543.1-SMART.txt","CDD:129021 smart00785, AARP2CN, AARP2CN")</f>
        <v>CDD:129021 smart00785, AARP2CN, AARP2CN</v>
      </c>
      <c r="BT56" s="75">
        <v>7.1999999999999995E-2</v>
      </c>
      <c r="BU56" s="75">
        <v>34.9</v>
      </c>
      <c r="BV56" s="75" t="s">
        <v>3103</v>
      </c>
      <c r="BW56" s="75" t="s">
        <v>2772</v>
      </c>
      <c r="BX56" s="78" t="str">
        <f>HYPERLINK(".\links\TSF\EEC11543.1-TSF.txt","45-53 45-53, Kunitz||S|PI")</f>
        <v>45-53 45-53, Kunitz||S|PI</v>
      </c>
      <c r="BY56" s="75">
        <v>0.64</v>
      </c>
      <c r="BZ56" s="75">
        <v>4.5</v>
      </c>
      <c r="CA56" s="75" t="s">
        <v>3104</v>
      </c>
      <c r="CB56" s="75" t="s">
        <v>3105</v>
      </c>
      <c r="CC56" s="75" t="s">
        <v>2772</v>
      </c>
      <c r="CD56" s="75" t="s">
        <v>2785</v>
      </c>
      <c r="CE56" s="75" t="s">
        <v>3106</v>
      </c>
      <c r="CF56" s="75">
        <v>44</v>
      </c>
      <c r="CG56" s="75">
        <v>1</v>
      </c>
      <c r="CH56" s="75">
        <v>52</v>
      </c>
      <c r="CI56" s="75">
        <v>1</v>
      </c>
      <c r="CJ56" s="75">
        <v>53</v>
      </c>
      <c r="CK56" s="75">
        <v>1</v>
      </c>
      <c r="CL56" s="75">
        <v>57</v>
      </c>
      <c r="CM56" s="75">
        <v>1</v>
      </c>
      <c r="CN56" s="75">
        <v>60</v>
      </c>
      <c r="CO56" s="75">
        <v>1</v>
      </c>
      <c r="CP56" s="75">
        <v>61</v>
      </c>
      <c r="CQ56" s="75">
        <v>1</v>
      </c>
      <c r="CR56" s="75">
        <v>62</v>
      </c>
      <c r="CS56" s="75">
        <v>1</v>
      </c>
      <c r="CT56" s="75">
        <v>66</v>
      </c>
      <c r="CU56" s="75">
        <v>1</v>
      </c>
      <c r="CV56" s="75">
        <v>69</v>
      </c>
      <c r="CW56" s="75">
        <v>1</v>
      </c>
      <c r="CX56" s="75">
        <v>73</v>
      </c>
      <c r="CY56" s="75">
        <v>1</v>
      </c>
      <c r="CZ56" s="75">
        <v>75</v>
      </c>
      <c r="DA56" s="75">
        <v>1</v>
      </c>
      <c r="DB56" s="75">
        <v>80</v>
      </c>
      <c r="DC56" s="75">
        <v>1</v>
      </c>
      <c r="DD56" s="75">
        <v>83</v>
      </c>
      <c r="DE56" s="75">
        <v>1</v>
      </c>
      <c r="DF56" s="75">
        <v>85</v>
      </c>
      <c r="DG56" s="75">
        <v>1</v>
      </c>
      <c r="DH56" s="75">
        <v>86</v>
      </c>
      <c r="DI56" s="75">
        <v>1</v>
      </c>
      <c r="DJ56" s="75" t="s">
        <v>63</v>
      </c>
      <c r="DK56" s="75" t="str">
        <f>HYPERLINK(".\links\AAM-CEMENT-2018\EEC11543.1-AAM-CEMENT-2018.txt","Extracted CDS")</f>
        <v>Extracted CDS</v>
      </c>
      <c r="DL56" s="75" t="str">
        <f>HYPERLINK("http://www.ncbi.nlm.nih.gov/sutils/blink.cgi?pid=Aam-4865","7.6")</f>
        <v>7.6</v>
      </c>
      <c r="DM56" s="75" t="str">
        <f>HYPERLINK("http://www.ncbi.nlm.nih.gov/protein/Aam-4865","Aam-4865")</f>
        <v>Aam-4865</v>
      </c>
      <c r="DN56" s="75">
        <v>21.6</v>
      </c>
      <c r="DO56" s="75">
        <v>28</v>
      </c>
      <c r="DP56" s="75">
        <v>377</v>
      </c>
      <c r="DQ56" s="75">
        <v>32</v>
      </c>
      <c r="DR56" s="75">
        <v>50</v>
      </c>
      <c r="DS56" s="75">
        <v>7</v>
      </c>
      <c r="DT56" s="75">
        <v>19</v>
      </c>
      <c r="DU56" s="75">
        <v>0</v>
      </c>
      <c r="DV56" s="75">
        <v>267</v>
      </c>
      <c r="DW56" s="75">
        <v>244</v>
      </c>
      <c r="DX56" s="75">
        <v>1</v>
      </c>
      <c r="DY56" s="75" t="s">
        <v>2775</v>
      </c>
      <c r="DZ56" s="75" t="str">
        <f>HYPERLINK(".\links\CDD\EEC11543.1-CDD.txt","DIE2_ALG10 DIE2/ALG10 family")</f>
        <v>DIE2_ALG10 DIE2/ALG10 family</v>
      </c>
      <c r="EA56" s="79">
        <v>9.9999999999999995E-145</v>
      </c>
      <c r="EB56" s="75">
        <v>102.6</v>
      </c>
      <c r="EC56" s="75" t="s">
        <v>3100</v>
      </c>
      <c r="ED56" s="75" t="s">
        <v>3101</v>
      </c>
      <c r="EE56" s="75" t="str">
        <f>HYPERLINK(".\links\KOG\EEC11543.1-KOG.txt","CDD:225137 COG2227, UbiG, 2-polyprenyl-3-methyl-5-hydroxy-6-metoxy-1,4-benzoquinol methylase")</f>
        <v>CDD:225137 COG2227, UbiG, 2-polyprenyl-3-methyl-5-hydroxy-6-metoxy-1,4-benzoquinol methylase</v>
      </c>
      <c r="EF56" s="75">
        <v>0.94</v>
      </c>
      <c r="EG56" s="75">
        <v>39.9</v>
      </c>
      <c r="EH56" s="75" t="s">
        <v>3102</v>
      </c>
      <c r="EI56" s="75" t="s">
        <v>2779</v>
      </c>
      <c r="EJ56" s="75" t="str">
        <f>HYPERLINK(".\links\PFAM\EEC11543.1-PFAM.txt","DIE2_ALG10 DIE2/ALG10 family")</f>
        <v>DIE2_ALG10 DIE2/ALG10 family</v>
      </c>
      <c r="EK56" s="79">
        <v>1.9999999999999998E-145</v>
      </c>
      <c r="EL56" s="75">
        <v>102.6</v>
      </c>
      <c r="EM56" s="75" t="s">
        <v>3100</v>
      </c>
      <c r="EN56" s="75" t="s">
        <v>2772</v>
      </c>
      <c r="EO56" s="75" t="str">
        <f>HYPERLINK(".\links\SMART\EEC11543.1-SMART.txt","CDD:129021 smart00785, AARP2CN, AARP2CN")</f>
        <v>CDD:129021 smart00785, AARP2CN, AARP2CN</v>
      </c>
      <c r="EP56" s="75">
        <v>7.1999999999999995E-2</v>
      </c>
      <c r="EQ56" s="75">
        <v>34.9</v>
      </c>
      <c r="ER56" s="75" t="s">
        <v>3103</v>
      </c>
      <c r="ES56" s="75" t="s">
        <v>2772</v>
      </c>
      <c r="ET56" s="75" t="str">
        <f>HYPERLINK(".\links\TSF\EEC11543.1-TSF.txt","45-53 45-53, Kunitz||S|PI")</f>
        <v>45-53 45-53, Kunitz||S|PI</v>
      </c>
      <c r="EU56" s="75">
        <v>0.64</v>
      </c>
      <c r="EV56" s="75">
        <v>4.5</v>
      </c>
      <c r="EW56" s="75" t="s">
        <v>3104</v>
      </c>
      <c r="EX56" s="75" t="s">
        <v>3105</v>
      </c>
      <c r="EY56" s="75" t="s">
        <v>2772</v>
      </c>
      <c r="EZ56" s="75" t="s">
        <v>2785</v>
      </c>
      <c r="FA56" s="75" t="s">
        <v>3106</v>
      </c>
    </row>
    <row r="57" spans="1:157" x14ac:dyDescent="0.2">
      <c r="A57" s="75" t="str">
        <f>HYPERLINK(".\links\PEP\EEC05986.1-PEP.txt","EEC05986.1")</f>
        <v>EEC05986.1</v>
      </c>
      <c r="B57" s="75" t="s">
        <v>2768</v>
      </c>
      <c r="C57" s="75">
        <v>620</v>
      </c>
      <c r="D57" s="75" t="s">
        <v>3107</v>
      </c>
      <c r="E57" s="76" t="s">
        <v>50</v>
      </c>
      <c r="F57" s="75" t="s">
        <v>2771</v>
      </c>
      <c r="G57" s="75" t="str">
        <f>HYPERLINK(".\links\Sigp\EEC05986.1-SigP.txt","CYT")</f>
        <v>CYT</v>
      </c>
      <c r="H57" s="75" t="s">
        <v>2772</v>
      </c>
      <c r="I57" s="75">
        <v>70.292000000000002</v>
      </c>
      <c r="J57" s="75">
        <v>9.61</v>
      </c>
      <c r="K57" s="75" t="s">
        <v>2772</v>
      </c>
      <c r="L57" s="75" t="s">
        <v>2772</v>
      </c>
      <c r="M57" s="75" t="str">
        <f>HYPERLINK(".\links\netoglyc\EEC05986.1-netoglyc.txt","1")</f>
        <v>1</v>
      </c>
      <c r="N57" s="75" t="s">
        <v>2971</v>
      </c>
      <c r="O57" s="75">
        <v>620</v>
      </c>
      <c r="P57" s="75">
        <v>0</v>
      </c>
      <c r="Q57" s="75" t="s">
        <v>2772</v>
      </c>
      <c r="R57" s="75" t="s">
        <v>2772</v>
      </c>
      <c r="S57" s="75" t="s">
        <v>2772</v>
      </c>
      <c r="T57" s="75" t="s">
        <v>2772</v>
      </c>
      <c r="U57" s="75" t="s">
        <v>2772</v>
      </c>
      <c r="V57" s="75" t="s">
        <v>2772</v>
      </c>
      <c r="W57" s="75">
        <v>10.6</v>
      </c>
      <c r="X57" s="75">
        <v>5.4</v>
      </c>
      <c r="Y57" s="75">
        <v>8.9</v>
      </c>
      <c r="Z57" s="75" t="s">
        <v>2774</v>
      </c>
      <c r="AA57" s="77">
        <v>14.5161290322581</v>
      </c>
      <c r="AB57" s="75">
        <v>0.38</v>
      </c>
      <c r="AC57" s="75" t="s">
        <v>3108</v>
      </c>
      <c r="AD57" s="75">
        <v>5</v>
      </c>
      <c r="AE57" s="75" t="s">
        <v>2772</v>
      </c>
      <c r="AF57" s="75" t="s">
        <v>2772</v>
      </c>
      <c r="AG57" s="75" t="s">
        <v>2772</v>
      </c>
      <c r="AH57" s="75">
        <v>1</v>
      </c>
      <c r="AI57" s="75">
        <v>2</v>
      </c>
      <c r="AJ57" s="75">
        <v>3</v>
      </c>
      <c r="AK57" s="75" t="s">
        <v>2772</v>
      </c>
      <c r="AL57" s="75" t="s">
        <v>2772</v>
      </c>
      <c r="AM57" s="75" t="s">
        <v>2772</v>
      </c>
      <c r="AN57" s="75" t="s">
        <v>2772</v>
      </c>
      <c r="AO57" s="78" t="str">
        <f>HYPERLINK(".\links\AAM-CEMENT-2018\EEC05986.1-AAM-CEMENT-2018.txt","Extracted CDS")</f>
        <v>Extracted CDS</v>
      </c>
      <c r="AP57" s="75" t="str">
        <f>HYPERLINK("http://www.ncbi.nlm.nih.gov/sutils/blink.cgi?pid=Aam-45507","0.63")</f>
        <v>0.63</v>
      </c>
      <c r="AQ57" s="75" t="str">
        <f>HYPERLINK("http://www.ncbi.nlm.nih.gov/protein/Aam-45507","Aam-45507")</f>
        <v>Aam-45507</v>
      </c>
      <c r="AR57" s="75">
        <v>25.4</v>
      </c>
      <c r="AS57" s="75">
        <v>56</v>
      </c>
      <c r="AT57" s="75">
        <v>688</v>
      </c>
      <c r="AU57" s="75">
        <v>32</v>
      </c>
      <c r="AV57" s="75">
        <v>44</v>
      </c>
      <c r="AW57" s="75">
        <v>8</v>
      </c>
      <c r="AX57" s="75">
        <v>38</v>
      </c>
      <c r="AY57" s="75">
        <v>10</v>
      </c>
      <c r="AZ57" s="75">
        <v>341</v>
      </c>
      <c r="BA57" s="75">
        <v>117</v>
      </c>
      <c r="BB57" s="75">
        <v>1</v>
      </c>
      <c r="BC57" s="75" t="s">
        <v>2775</v>
      </c>
      <c r="BD57" s="78" t="str">
        <f>HYPERLINK(".\links\CDD\EEC05986.1-CDD.txt","PRK10263 DNA translocase FtsK")</f>
        <v>PRK10263 DNA translocase FtsK</v>
      </c>
      <c r="BE57" s="75">
        <v>2E-3</v>
      </c>
      <c r="BF57" s="75">
        <v>7</v>
      </c>
      <c r="BG57" s="75" t="s">
        <v>3109</v>
      </c>
      <c r="BH57" s="75" t="s">
        <v>3110</v>
      </c>
      <c r="BI57" s="75" t="str">
        <f>HYPERLINK(".\links\KOG\EEC05986.1-KOG.txt","CDD:223599 COG0525, ValS, Valyl-tRNA synthetase")</f>
        <v>CDD:223599 COG0525, ValS, Valyl-tRNA synthetase</v>
      </c>
      <c r="BJ57" s="75">
        <v>0.31</v>
      </c>
      <c r="BK57" s="75">
        <v>3.9</v>
      </c>
      <c r="BL57" s="75" t="s">
        <v>3111</v>
      </c>
      <c r="BM57" s="75" t="s">
        <v>2779</v>
      </c>
      <c r="BN57" s="78" t="str">
        <f>HYPERLINK(".\links\PFAM\EEC05986.1-PFAM.txt","PAT1 Topoisomerase II-associated protein PAT1")</f>
        <v>PAT1 Topoisomerase II-associated protein PAT1</v>
      </c>
      <c r="BO57" s="75">
        <v>3.0000000000000001E-3</v>
      </c>
      <c r="BP57" s="75">
        <v>16.600000000000001</v>
      </c>
      <c r="BQ57" s="75" t="s">
        <v>3112</v>
      </c>
      <c r="BR57" s="75" t="s">
        <v>2772</v>
      </c>
      <c r="BS57" s="78" t="str">
        <f>HYPERLINK(".\links\SMART\EEC05986.1-SMART.txt","CDD:214832 smart00817, Amelin, Ameloblastin precursor")</f>
        <v>CDD:214832 smart00817, Amelin, Ameloblastin precursor</v>
      </c>
      <c r="BT57" s="75">
        <v>0.03</v>
      </c>
      <c r="BU57" s="75">
        <v>23.4</v>
      </c>
      <c r="BV57" s="75" t="s">
        <v>3113</v>
      </c>
      <c r="BW57" s="75" t="s">
        <v>2772</v>
      </c>
      <c r="BX57" s="78" t="str">
        <f>HYPERLINK(".\links\TSF\EEC05986.1-TSF.txt","30-76 30-76, Glycosidase|Alpha-D-galactosidase")</f>
        <v>30-76 30-76, Glycosidase|Alpha-D-galactosidase</v>
      </c>
      <c r="BY57" s="75">
        <v>1.8</v>
      </c>
      <c r="BZ57" s="75">
        <v>11.4</v>
      </c>
      <c r="CA57" s="75" t="s">
        <v>3114</v>
      </c>
      <c r="CB57" s="75" t="s">
        <v>3115</v>
      </c>
      <c r="CC57" s="75" t="s">
        <v>3116</v>
      </c>
      <c r="CD57" s="75" t="s">
        <v>2808</v>
      </c>
      <c r="CE57" s="75" t="s">
        <v>3117</v>
      </c>
      <c r="CF57" s="75">
        <v>31</v>
      </c>
      <c r="CG57" s="75">
        <v>1</v>
      </c>
      <c r="CH57" s="75">
        <v>36</v>
      </c>
      <c r="CI57" s="75">
        <v>1</v>
      </c>
      <c r="CJ57" s="75">
        <v>37</v>
      </c>
      <c r="CK57" s="75">
        <v>1</v>
      </c>
      <c r="CL57" s="75">
        <v>41</v>
      </c>
      <c r="CM57" s="75">
        <v>1</v>
      </c>
      <c r="CN57" s="75">
        <v>42</v>
      </c>
      <c r="CO57" s="75">
        <v>1</v>
      </c>
      <c r="CP57" s="75">
        <v>43</v>
      </c>
      <c r="CQ57" s="75">
        <v>1</v>
      </c>
      <c r="CR57" s="75">
        <v>44</v>
      </c>
      <c r="CS57" s="75">
        <v>1</v>
      </c>
      <c r="CT57" s="75">
        <v>48</v>
      </c>
      <c r="CU57" s="75">
        <v>1</v>
      </c>
      <c r="CV57" s="75">
        <v>50</v>
      </c>
      <c r="CW57" s="75">
        <v>1</v>
      </c>
      <c r="CX57" s="75">
        <v>52</v>
      </c>
      <c r="CY57" s="75">
        <v>1</v>
      </c>
      <c r="CZ57" s="75">
        <v>54</v>
      </c>
      <c r="DA57" s="75">
        <v>1</v>
      </c>
      <c r="DB57" s="75">
        <v>55</v>
      </c>
      <c r="DC57" s="75">
        <v>1</v>
      </c>
      <c r="DD57" s="75">
        <v>56</v>
      </c>
      <c r="DE57" s="75">
        <v>1</v>
      </c>
      <c r="DF57" s="75">
        <v>56</v>
      </c>
      <c r="DG57" s="75">
        <v>1</v>
      </c>
      <c r="DH57" s="75">
        <v>57</v>
      </c>
      <c r="DI57" s="75">
        <v>1</v>
      </c>
      <c r="DJ57" s="75" t="s">
        <v>70</v>
      </c>
      <c r="DK57" s="75" t="str">
        <f>HYPERLINK(".\links\AAM-CEMENT-2018\EEC05986.1-AAM-CEMENT-2018.txt","Extracted CDS")</f>
        <v>Extracted CDS</v>
      </c>
      <c r="DL57" s="75" t="str">
        <f>HYPERLINK("http://www.ncbi.nlm.nih.gov/sutils/blink.cgi?pid=Aam-45507","0.63")</f>
        <v>0.63</v>
      </c>
      <c r="DM57" s="75" t="str">
        <f>HYPERLINK("http://www.ncbi.nlm.nih.gov/protein/Aam-45507","Aam-45507")</f>
        <v>Aam-45507</v>
      </c>
      <c r="DN57" s="75">
        <v>25.4</v>
      </c>
      <c r="DO57" s="75">
        <v>56</v>
      </c>
      <c r="DP57" s="75">
        <v>688</v>
      </c>
      <c r="DQ57" s="75">
        <v>32</v>
      </c>
      <c r="DR57" s="75">
        <v>44</v>
      </c>
      <c r="DS57" s="75">
        <v>8</v>
      </c>
      <c r="DT57" s="75">
        <v>38</v>
      </c>
      <c r="DU57" s="75">
        <v>10</v>
      </c>
      <c r="DV57" s="75">
        <v>341</v>
      </c>
      <c r="DW57" s="75">
        <v>117</v>
      </c>
      <c r="DX57" s="75">
        <v>1</v>
      </c>
      <c r="DY57" s="75" t="s">
        <v>2775</v>
      </c>
      <c r="DZ57" s="75" t="str">
        <f>HYPERLINK(".\links\CDD\EEC05986.1-CDD.txt","PRK10263 DNA translocase FtsK")</f>
        <v>PRK10263 DNA translocase FtsK</v>
      </c>
      <c r="EA57" s="75">
        <v>2E-3</v>
      </c>
      <c r="EB57" s="75">
        <v>7</v>
      </c>
      <c r="EC57" s="75" t="s">
        <v>3109</v>
      </c>
      <c r="ED57" s="75" t="s">
        <v>3110</v>
      </c>
      <c r="EE57" s="75" t="str">
        <f>HYPERLINK(".\links\KOG\EEC05986.1-KOG.txt","CDD:223599 COG0525, ValS, Valyl-tRNA synthetase")</f>
        <v>CDD:223599 COG0525, ValS, Valyl-tRNA synthetase</v>
      </c>
      <c r="EF57" s="75">
        <v>0.31</v>
      </c>
      <c r="EG57" s="75">
        <v>3.9</v>
      </c>
      <c r="EH57" s="75" t="s">
        <v>3111</v>
      </c>
      <c r="EI57" s="75" t="s">
        <v>2779</v>
      </c>
      <c r="EJ57" s="75" t="str">
        <f>HYPERLINK(".\links\PFAM\EEC05986.1-PFAM.txt","PAT1 Topoisomerase II-associated protein PAT1")</f>
        <v>PAT1 Topoisomerase II-associated protein PAT1</v>
      </c>
      <c r="EK57" s="75">
        <v>3.0000000000000001E-3</v>
      </c>
      <c r="EL57" s="75">
        <v>16.600000000000001</v>
      </c>
      <c r="EM57" s="75" t="s">
        <v>3112</v>
      </c>
      <c r="EN57" s="75" t="s">
        <v>2772</v>
      </c>
      <c r="EO57" s="75" t="str">
        <f>HYPERLINK(".\links\SMART\EEC05986.1-SMART.txt","CDD:214832 smart00817, Amelin, Ameloblastin precursor")</f>
        <v>CDD:214832 smart00817, Amelin, Ameloblastin precursor</v>
      </c>
      <c r="EP57" s="75">
        <v>0.03</v>
      </c>
      <c r="EQ57" s="75">
        <v>23.4</v>
      </c>
      <c r="ER57" s="75" t="s">
        <v>3113</v>
      </c>
      <c r="ES57" s="75" t="s">
        <v>2772</v>
      </c>
      <c r="ET57" s="75" t="str">
        <f>HYPERLINK(".\links\TSF\EEC05986.1-TSF.txt","30-76 30-76, Glycosidase|Alpha-D-galactosidase")</f>
        <v>30-76 30-76, Glycosidase|Alpha-D-galactosidase</v>
      </c>
      <c r="EU57" s="75">
        <v>1.8</v>
      </c>
      <c r="EV57" s="75">
        <v>11.4</v>
      </c>
      <c r="EW57" s="75" t="s">
        <v>3114</v>
      </c>
      <c r="EX57" s="75" t="s">
        <v>3115</v>
      </c>
      <c r="EY57" s="75" t="s">
        <v>3116</v>
      </c>
      <c r="EZ57" s="75" t="s">
        <v>2808</v>
      </c>
      <c r="FA57" s="75" t="s">
        <v>3117</v>
      </c>
    </row>
    <row r="58" spans="1:157" x14ac:dyDescent="0.2">
      <c r="A58" s="75" t="str">
        <f>HYPERLINK(".\links\PEP\EEC10745.1-PEP.txt","EEC10745.1")</f>
        <v>EEC10745.1</v>
      </c>
      <c r="B58" s="75" t="s">
        <v>2768</v>
      </c>
      <c r="C58" s="75">
        <v>1443</v>
      </c>
      <c r="D58" s="75" t="s">
        <v>3118</v>
      </c>
      <c r="E58" s="76" t="s">
        <v>50</v>
      </c>
      <c r="F58" s="75" t="s">
        <v>2771</v>
      </c>
      <c r="G58" s="75" t="str">
        <f>HYPERLINK(".\links\Sigp\EEC10745.1-SigP.txt","CYT")</f>
        <v>CYT</v>
      </c>
      <c r="H58" s="75" t="s">
        <v>2772</v>
      </c>
      <c r="I58" s="75">
        <v>160.76900000000001</v>
      </c>
      <c r="J58" s="75">
        <v>8.4</v>
      </c>
      <c r="K58" s="75" t="s">
        <v>2772</v>
      </c>
      <c r="L58" s="75" t="s">
        <v>2772</v>
      </c>
      <c r="M58" s="75" t="str">
        <f>HYPERLINK(".\links\netoglyc\EEC10745.1-netoglyc.txt","3")</f>
        <v>3</v>
      </c>
      <c r="N58" s="75" t="s">
        <v>3119</v>
      </c>
      <c r="O58" s="75">
        <v>1443</v>
      </c>
      <c r="P58" s="75">
        <v>0</v>
      </c>
      <c r="Q58" s="75" t="s">
        <v>2772</v>
      </c>
      <c r="R58" s="75" t="s">
        <v>2772</v>
      </c>
      <c r="S58" s="75" t="s">
        <v>2772</v>
      </c>
      <c r="T58" s="75" t="s">
        <v>2772</v>
      </c>
      <c r="U58" s="75" t="s">
        <v>2772</v>
      </c>
      <c r="V58" s="75" t="s">
        <v>3120</v>
      </c>
      <c r="W58" s="75">
        <v>13.2</v>
      </c>
      <c r="X58" s="75">
        <v>6.3</v>
      </c>
      <c r="Y58" s="75">
        <v>7.8</v>
      </c>
      <c r="Z58" s="75" t="s">
        <v>2774</v>
      </c>
      <c r="AA58" s="77">
        <v>14.2758142758143</v>
      </c>
      <c r="AB58" s="75">
        <v>0.2</v>
      </c>
      <c r="AD58" s="75">
        <v>28</v>
      </c>
      <c r="AE58" s="75" t="str">
        <f>HYPERLINK(".\links\pep\EEC10745.1-sulf.txt","1")</f>
        <v>1</v>
      </c>
      <c r="AF58" s="75" t="str">
        <f>HYPERLINK(".\links\pep\EEC10745.1-tyr-sulf.txt","Fasta with y")</f>
        <v>Fasta with y</v>
      </c>
      <c r="AG58" s="75" t="s">
        <v>2772</v>
      </c>
      <c r="AH58" s="75">
        <v>1</v>
      </c>
      <c r="AI58" s="75">
        <v>7</v>
      </c>
      <c r="AJ58" s="75">
        <v>7</v>
      </c>
      <c r="AK58" s="75" t="s">
        <v>2772</v>
      </c>
      <c r="AL58" s="75" t="s">
        <v>2772</v>
      </c>
      <c r="AM58" s="75" t="s">
        <v>2772</v>
      </c>
      <c r="AN58" s="75" t="s">
        <v>2772</v>
      </c>
      <c r="AO58" s="78" t="str">
        <f>HYPERLINK(".\links\AAM-CEMENT-2018\EEC10745.1-AAM-CEMENT-2018.txt","Extracted CDS")</f>
        <v>Extracted CDS</v>
      </c>
      <c r="AP58" s="75" t="str">
        <f>HYPERLINK("http://www.ncbi.nlm.nih.gov/sutils/blink.cgi?pid=Aam-45507","5.5")</f>
        <v>5.5</v>
      </c>
      <c r="AQ58" s="75" t="str">
        <f>HYPERLINK("http://www.ncbi.nlm.nih.gov/protein/Aam-45507","Aam-45507")</f>
        <v>Aam-45507</v>
      </c>
      <c r="AR58" s="75">
        <v>23.9</v>
      </c>
      <c r="AS58" s="75">
        <v>41</v>
      </c>
      <c r="AT58" s="75">
        <v>688</v>
      </c>
      <c r="AU58" s="75">
        <v>31</v>
      </c>
      <c r="AV58" s="75">
        <v>48</v>
      </c>
      <c r="AW58" s="75">
        <v>6</v>
      </c>
      <c r="AX58" s="75">
        <v>28</v>
      </c>
      <c r="AY58" s="75">
        <v>4</v>
      </c>
      <c r="AZ58" s="75">
        <v>555</v>
      </c>
      <c r="BA58" s="75">
        <v>445</v>
      </c>
      <c r="BB58" s="75">
        <v>1</v>
      </c>
      <c r="BC58" s="75" t="s">
        <v>2775</v>
      </c>
      <c r="BD58" s="78" t="str">
        <f>HYPERLINK(".\links\CDD\EEC10745.1-CDD.txt","PIN_Smg6-like VapC-like PIN domain of human telomerase-binding protein EST1 Smg6 and other similar eukaryotic homologs")</f>
        <v>PIN_Smg6-like VapC-like PIN domain of human telomerase-binding protein EST1 Smg6 and other similar eukaryotic homologs</v>
      </c>
      <c r="BE58" s="79">
        <v>2E-91</v>
      </c>
      <c r="BF58" s="75">
        <v>100</v>
      </c>
      <c r="BG58" s="75" t="s">
        <v>3121</v>
      </c>
      <c r="BH58" s="75" t="s">
        <v>3122</v>
      </c>
      <c r="BI58" s="75" t="str">
        <f>HYPERLINK(".\links\KOG\EEC10745.1-KOG.txt","CDD:224787 COG1875, COG1875, NYN ribonuclease and ATPase of PhoH family domains")</f>
        <v>CDD:224787 COG1875, COG1875, NYN ribonuclease and ATPase of PhoH family domains</v>
      </c>
      <c r="BJ58" s="79">
        <v>2.0000000000000001E-4</v>
      </c>
      <c r="BK58" s="75">
        <v>40.4</v>
      </c>
      <c r="BL58" s="75" t="s">
        <v>3123</v>
      </c>
      <c r="BM58" s="75" t="s">
        <v>2779</v>
      </c>
      <c r="BN58" s="78" t="str">
        <f>HYPERLINK(".\links\PFAM\EEC10745.1-PFAM.txt","EST1_DNA_bind Est1 DNA/RNA binding domain")</f>
        <v>EST1_DNA_bind Est1 DNA/RNA binding domain</v>
      </c>
      <c r="BO58" s="79">
        <v>2E-50</v>
      </c>
      <c r="BP58" s="75">
        <v>131.9</v>
      </c>
      <c r="BQ58" s="75" t="s">
        <v>3124</v>
      </c>
      <c r="BR58" s="75" t="s">
        <v>2772</v>
      </c>
      <c r="BS58" s="78" t="str">
        <f>HYPERLINK(".\links\SMART\EEC10745.1-SMART.txt","CDD:214771 smart00670, PINc, Large family of predicted nucleotide-binding domains")</f>
        <v>CDD:214771 smart00670, PINc, Large family of predicted nucleotide-binding domains</v>
      </c>
      <c r="BT58" s="79">
        <v>4.9999999999999997E-12</v>
      </c>
      <c r="BU58" s="75">
        <v>136</v>
      </c>
      <c r="BV58" s="75" t="s">
        <v>3125</v>
      </c>
      <c r="BW58" s="75" t="s">
        <v>2772</v>
      </c>
      <c r="BX58" s="78" t="str">
        <f>HYPERLINK(".\links\TSF\EEC10745.1-TSF.txt","25-247 25-247, GRP|Collagen-like|S|")</f>
        <v>25-247 25-247, GRP|Collagen-like|S|</v>
      </c>
      <c r="BY58" s="79">
        <v>6.0000000000000002E-6</v>
      </c>
      <c r="BZ58" s="75">
        <v>20</v>
      </c>
      <c r="CA58" s="75" t="s">
        <v>3126</v>
      </c>
      <c r="CB58" s="75" t="s">
        <v>2863</v>
      </c>
      <c r="CC58" s="75" t="s">
        <v>3127</v>
      </c>
      <c r="CD58" s="75" t="s">
        <v>2785</v>
      </c>
      <c r="CE58" s="75" t="s">
        <v>3128</v>
      </c>
      <c r="CF58" s="75">
        <v>42</v>
      </c>
      <c r="CG58" s="75">
        <v>1</v>
      </c>
      <c r="CH58" s="75">
        <v>50</v>
      </c>
      <c r="CI58" s="75">
        <v>1</v>
      </c>
      <c r="CJ58" s="75">
        <v>51</v>
      </c>
      <c r="CK58" s="75">
        <v>1</v>
      </c>
      <c r="CL58" s="75">
        <v>55</v>
      </c>
      <c r="CM58" s="75">
        <v>1</v>
      </c>
      <c r="CN58" s="75">
        <v>57</v>
      </c>
      <c r="CO58" s="75">
        <v>1</v>
      </c>
      <c r="CP58" s="75">
        <v>58</v>
      </c>
      <c r="CQ58" s="75">
        <v>1</v>
      </c>
      <c r="CR58" s="75">
        <v>59</v>
      </c>
      <c r="CS58" s="75">
        <v>1</v>
      </c>
      <c r="CT58" s="75">
        <v>63</v>
      </c>
      <c r="CU58" s="75">
        <v>1</v>
      </c>
      <c r="CV58" s="75">
        <v>65</v>
      </c>
      <c r="CW58" s="75">
        <v>1</v>
      </c>
      <c r="CX58" s="75">
        <v>69</v>
      </c>
      <c r="CY58" s="75">
        <v>1</v>
      </c>
      <c r="CZ58" s="75">
        <v>71</v>
      </c>
      <c r="DA58" s="75">
        <v>1</v>
      </c>
      <c r="DB58" s="75">
        <v>75</v>
      </c>
      <c r="DC58" s="75">
        <v>1</v>
      </c>
      <c r="DD58" s="75">
        <v>78</v>
      </c>
      <c r="DE58" s="75">
        <v>1</v>
      </c>
      <c r="DF58" s="75">
        <v>80</v>
      </c>
      <c r="DG58" s="75">
        <v>1</v>
      </c>
      <c r="DH58" s="75">
        <v>81</v>
      </c>
      <c r="DI58" s="75">
        <v>1</v>
      </c>
      <c r="DJ58" s="75" t="s">
        <v>13</v>
      </c>
      <c r="DK58" s="75" t="str">
        <f>HYPERLINK(".\links\AAM-CEMENT-2018\EEC10745.1-AAM-CEMENT-2018.txt","Extracted CDS")</f>
        <v>Extracted CDS</v>
      </c>
      <c r="DL58" s="75" t="str">
        <f>HYPERLINK("http://www.ncbi.nlm.nih.gov/sutils/blink.cgi?pid=Aam-45507","5.5")</f>
        <v>5.5</v>
      </c>
      <c r="DM58" s="75" t="str">
        <f>HYPERLINK("http://www.ncbi.nlm.nih.gov/protein/Aam-45507","Aam-45507")</f>
        <v>Aam-45507</v>
      </c>
      <c r="DN58" s="75">
        <v>23.9</v>
      </c>
      <c r="DO58" s="75">
        <v>41</v>
      </c>
      <c r="DP58" s="75">
        <v>688</v>
      </c>
      <c r="DQ58" s="75">
        <v>31</v>
      </c>
      <c r="DR58" s="75">
        <v>48</v>
      </c>
      <c r="DS58" s="75">
        <v>6</v>
      </c>
      <c r="DT58" s="75">
        <v>28</v>
      </c>
      <c r="DU58" s="75">
        <v>4</v>
      </c>
      <c r="DV58" s="75">
        <v>555</v>
      </c>
      <c r="DW58" s="75">
        <v>445</v>
      </c>
      <c r="DX58" s="75">
        <v>1</v>
      </c>
      <c r="DY58" s="75" t="s">
        <v>2775</v>
      </c>
      <c r="DZ58" s="75" t="str">
        <f>HYPERLINK(".\links\CDD\EEC10745.1-CDD.txt","PIN_Smg6-like VapC-like PIN domain of human telomerase-binding protein EST1 Smg6 and other similar eukaryotic homologs")</f>
        <v>PIN_Smg6-like VapC-like PIN domain of human telomerase-binding protein EST1 Smg6 and other similar eukaryotic homologs</v>
      </c>
      <c r="EA58" s="79">
        <v>2E-91</v>
      </c>
      <c r="EB58" s="75">
        <v>100</v>
      </c>
      <c r="EC58" s="75" t="s">
        <v>3121</v>
      </c>
      <c r="ED58" s="75" t="s">
        <v>3122</v>
      </c>
      <c r="EE58" s="75" t="str">
        <f>HYPERLINK(".\links\KOG\EEC10745.1-KOG.txt","CDD:224787 COG1875, COG1875, NYN ribonuclease and ATPase of PhoH family domains")</f>
        <v>CDD:224787 COG1875, COG1875, NYN ribonuclease and ATPase of PhoH family domains</v>
      </c>
      <c r="EF58" s="79">
        <v>2.0000000000000001E-4</v>
      </c>
      <c r="EG58" s="75">
        <v>40.4</v>
      </c>
      <c r="EH58" s="75" t="s">
        <v>3123</v>
      </c>
      <c r="EI58" s="75" t="s">
        <v>2779</v>
      </c>
      <c r="EJ58" s="75" t="str">
        <f>HYPERLINK(".\links\PFAM\EEC10745.1-PFAM.txt","EST1_DNA_bind Est1 DNA/RNA binding domain")</f>
        <v>EST1_DNA_bind Est1 DNA/RNA binding domain</v>
      </c>
      <c r="EK58" s="79">
        <v>2E-50</v>
      </c>
      <c r="EL58" s="75">
        <v>131.9</v>
      </c>
      <c r="EM58" s="75" t="s">
        <v>3124</v>
      </c>
      <c r="EN58" s="75" t="s">
        <v>2772</v>
      </c>
      <c r="EO58" s="75" t="str">
        <f>HYPERLINK(".\links\SMART\EEC10745.1-SMART.txt","CDD:214771 smart00670, PINc, Large family of predicted nucleotide-binding domains")</f>
        <v>CDD:214771 smart00670, PINc, Large family of predicted nucleotide-binding domains</v>
      </c>
      <c r="EP58" s="79">
        <v>4.9999999999999997E-12</v>
      </c>
      <c r="EQ58" s="75">
        <v>136</v>
      </c>
      <c r="ER58" s="75" t="s">
        <v>3125</v>
      </c>
      <c r="ES58" s="75" t="s">
        <v>2772</v>
      </c>
      <c r="ET58" s="75" t="str">
        <f>HYPERLINK(".\links\TSF\EEC10745.1-TSF.txt","25-247 25-247, GRP|Collagen-like|S|")</f>
        <v>25-247 25-247, GRP|Collagen-like|S|</v>
      </c>
      <c r="EU58" s="79">
        <v>6.0000000000000002E-6</v>
      </c>
      <c r="EV58" s="75">
        <v>20</v>
      </c>
      <c r="EW58" s="75" t="s">
        <v>3126</v>
      </c>
      <c r="EX58" s="75" t="s">
        <v>2863</v>
      </c>
      <c r="EY58" s="75" t="s">
        <v>3127</v>
      </c>
      <c r="EZ58" s="75" t="s">
        <v>2785</v>
      </c>
      <c r="FA58" s="75" t="s">
        <v>3128</v>
      </c>
    </row>
    <row r="59" spans="1:157" x14ac:dyDescent="0.2">
      <c r="A59" s="75" t="str">
        <f>HYPERLINK(".\links\PEP\EEC06619.1-PEP.txt","EEC06619.1")</f>
        <v>EEC06619.1</v>
      </c>
      <c r="B59" s="75" t="s">
        <v>2768</v>
      </c>
      <c r="C59" s="75">
        <v>666</v>
      </c>
      <c r="D59" s="75" t="s">
        <v>3129</v>
      </c>
      <c r="E59" s="76" t="s">
        <v>50</v>
      </c>
      <c r="F59" s="75" t="s">
        <v>2771</v>
      </c>
      <c r="G59" s="75" t="str">
        <f>HYPERLINK(".\links\Sigp\EEC06619.1-SigP.txt","CYT")</f>
        <v>CYT</v>
      </c>
      <c r="H59" s="75" t="s">
        <v>2772</v>
      </c>
      <c r="I59" s="75">
        <v>74.257999999999996</v>
      </c>
      <c r="J59" s="75">
        <v>8.0299999999999994</v>
      </c>
      <c r="K59" s="75" t="s">
        <v>2772</v>
      </c>
      <c r="L59" s="75" t="s">
        <v>2772</v>
      </c>
      <c r="M59" s="75" t="str">
        <f>HYPERLINK(".\links\netoglyc\EEC06619.1-netoglyc.txt","2")</f>
        <v>2</v>
      </c>
      <c r="N59" s="75" t="s">
        <v>3130</v>
      </c>
      <c r="O59" s="75">
        <v>666</v>
      </c>
      <c r="P59" s="75">
        <v>0</v>
      </c>
      <c r="Q59" s="75" t="s">
        <v>2772</v>
      </c>
      <c r="R59" s="75" t="s">
        <v>2772</v>
      </c>
      <c r="S59" s="75" t="s">
        <v>2772</v>
      </c>
      <c r="T59" s="75" t="s">
        <v>2772</v>
      </c>
      <c r="U59" s="75" t="s">
        <v>2772</v>
      </c>
      <c r="V59" s="75" t="s">
        <v>2772</v>
      </c>
      <c r="W59" s="75">
        <v>9.1999999999999993</v>
      </c>
      <c r="X59" s="75">
        <v>6.9</v>
      </c>
      <c r="Y59" s="75">
        <v>5.9</v>
      </c>
      <c r="Z59" s="75">
        <v>0.4</v>
      </c>
      <c r="AA59" s="77">
        <v>13.063063063063099</v>
      </c>
      <c r="AB59" s="75">
        <v>0.19</v>
      </c>
      <c r="AD59" s="75">
        <v>8</v>
      </c>
      <c r="AE59" s="75" t="s">
        <v>2772</v>
      </c>
      <c r="AF59" s="75" t="s">
        <v>2772</v>
      </c>
      <c r="AG59" s="75" t="s">
        <v>2772</v>
      </c>
      <c r="AH59" s="75" t="s">
        <v>2772</v>
      </c>
      <c r="AI59" s="75">
        <v>2</v>
      </c>
      <c r="AJ59" s="75">
        <v>3</v>
      </c>
      <c r="AK59" s="75" t="s">
        <v>2772</v>
      </c>
      <c r="AL59" s="75" t="s">
        <v>2772</v>
      </c>
      <c r="AM59" s="75" t="s">
        <v>2772</v>
      </c>
      <c r="AN59" s="75" t="s">
        <v>2772</v>
      </c>
      <c r="AO59" s="78" t="str">
        <f>HYPERLINK(".\links\AAM-CEMENT-2018\EEC06619.1-AAM-CEMENT-2018.txt","Extracted CDS")</f>
        <v>Extracted CDS</v>
      </c>
      <c r="AP59" s="75" t="str">
        <f>HYPERLINK("http://www.ncbi.nlm.nih.gov/sutils/blink.cgi?pid=Aam-3330","0.19")</f>
        <v>0.19</v>
      </c>
      <c r="AQ59" s="75" t="str">
        <f>HYPERLINK("http://www.ncbi.nlm.nih.gov/protein/Aam-3330","Aam-3330")</f>
        <v>Aam-3330</v>
      </c>
      <c r="AR59" s="75">
        <v>27.3</v>
      </c>
      <c r="AS59" s="75">
        <v>52</v>
      </c>
      <c r="AT59" s="75">
        <v>418</v>
      </c>
      <c r="AU59" s="75">
        <v>28</v>
      </c>
      <c r="AV59" s="75">
        <v>53</v>
      </c>
      <c r="AW59" s="75">
        <v>12</v>
      </c>
      <c r="AX59" s="75">
        <v>37</v>
      </c>
      <c r="AY59" s="75">
        <v>4</v>
      </c>
      <c r="AZ59" s="75">
        <v>314</v>
      </c>
      <c r="BA59" s="75">
        <v>174</v>
      </c>
      <c r="BB59" s="75">
        <v>1</v>
      </c>
      <c r="BC59" s="75" t="s">
        <v>2775</v>
      </c>
      <c r="BD59" s="78" t="str">
        <f>HYPERLINK(".\links\CDD\EEC06619.1-CDD.txt","PLN02328 lysine-specific histone demethylase 1 homolog")</f>
        <v>PLN02328 lysine-specific histone demethylase 1 homolog</v>
      </c>
      <c r="BE59" s="79">
        <v>5.9999999999999998E-125</v>
      </c>
      <c r="BF59" s="75">
        <v>79.5</v>
      </c>
      <c r="BG59" s="75" t="s">
        <v>3131</v>
      </c>
      <c r="BH59" s="75" t="s">
        <v>3132</v>
      </c>
      <c r="BI59" s="75" t="str">
        <f>HYPERLINK(".\links\KOG\EEC06619.1-KOG.txt","CDD:224152 COG1231, COG1231, Monoamine oxidase")</f>
        <v>CDD:224152 COG1231, COG1231, Monoamine oxidase</v>
      </c>
      <c r="BJ59" s="79">
        <v>5.0000000000000002E-26</v>
      </c>
      <c r="BK59" s="75">
        <v>124.9</v>
      </c>
      <c r="BL59" s="75" t="s">
        <v>3133</v>
      </c>
      <c r="BM59" s="75" t="s">
        <v>2779</v>
      </c>
      <c r="BN59" s="78" t="str">
        <f>HYPERLINK(".\links\PFAM\EEC06619.1-PFAM.txt","Amino_oxidase Flavin containing amine oxidoreductase")</f>
        <v>Amino_oxidase Flavin containing amine oxidoreductase</v>
      </c>
      <c r="BO59" s="79">
        <v>4.9999999999999999E-96</v>
      </c>
      <c r="BP59" s="75">
        <v>127.1</v>
      </c>
      <c r="BQ59" s="75" t="s">
        <v>3134</v>
      </c>
      <c r="BR59" s="75" t="s">
        <v>2772</v>
      </c>
      <c r="BS59" s="78" t="str">
        <f>HYPERLINK(".\links\SMART\EEC06619.1-SMART.txt","CDD:214966 smart01002, AlaDh_PNT_C, Alanine dehydrogenase/PNT, C-terminal domain")</f>
        <v>CDD:214966 smart01002, AlaDh_PNT_C, Alanine dehydrogenase/PNT, C-terminal domain</v>
      </c>
      <c r="BT59" s="79">
        <v>3.0000000000000001E-5</v>
      </c>
      <c r="BU59" s="75">
        <v>55</v>
      </c>
      <c r="BV59" s="75" t="s">
        <v>3135</v>
      </c>
      <c r="BW59" s="75" t="s">
        <v>2772</v>
      </c>
      <c r="BX59" s="78" t="str">
        <f>HYPERLINK(".\links\TSF\EEC06619.1-TSF.txt","30-433 30-433, BTSP||S|")</f>
        <v>30-433 30-433, BTSP||S|</v>
      </c>
      <c r="BY59" s="79">
        <v>2.9999999999999997E-4</v>
      </c>
      <c r="BZ59" s="75">
        <v>12.5</v>
      </c>
      <c r="CA59" s="75" t="s">
        <v>3136</v>
      </c>
      <c r="CB59" s="75" t="s">
        <v>3057</v>
      </c>
      <c r="CC59" s="75" t="s">
        <v>2772</v>
      </c>
      <c r="CD59" s="75" t="s">
        <v>2785</v>
      </c>
      <c r="CE59" s="75" t="s">
        <v>3137</v>
      </c>
      <c r="CF59" s="75">
        <f>HYPERLINK(".\links\cluster-b\Ixsc-cement-202225-50SimCLU18.txt", 18)</f>
        <v>18</v>
      </c>
      <c r="CG59" s="75">
        <f>HYPERLINK(".\links\cluster-b\Ixsc-cement-202225-50SimCLTL18.txt", 2)</f>
        <v>2</v>
      </c>
      <c r="CH59" s="75">
        <f>HYPERLINK(".\links\cluster-b\Ixsc-cement-202230-50SimCLU19.txt", 19)</f>
        <v>19</v>
      </c>
      <c r="CI59" s="75">
        <f>HYPERLINK(".\links\cluster-b\Ixsc-cement-202230-50SimCLTL19.txt", 2)</f>
        <v>2</v>
      </c>
      <c r="CJ59" s="75">
        <f>HYPERLINK(".\links\cluster-b\Ixsc-cement-202235-50SimCLU18.txt", 18)</f>
        <v>18</v>
      </c>
      <c r="CK59" s="75">
        <f>HYPERLINK(".\links\cluster-b\Ixsc-cement-202235-50SimCLTL18.txt", 2)</f>
        <v>2</v>
      </c>
      <c r="CL59" s="75">
        <f>HYPERLINK(".\links\cluster-b\Ixsc-cement-202240-50SimCLU19.txt", 19)</f>
        <v>19</v>
      </c>
      <c r="CM59" s="75">
        <f>HYPERLINK(".\links\cluster-b\Ixsc-cement-202240-50SimCLTL19.txt", 2)</f>
        <v>2</v>
      </c>
      <c r="CN59" s="75">
        <f>HYPERLINK(".\links\cluster-b\Ixsc-cement-202245-50SimCLU18.txt", 18)</f>
        <v>18</v>
      </c>
      <c r="CO59" s="75">
        <f>HYPERLINK(".\links\cluster-b\Ixsc-cement-202245-50SimCLTL18.txt", 2)</f>
        <v>2</v>
      </c>
      <c r="CP59" s="75">
        <f>HYPERLINK(".\links\cluster-b\Ixsc-cement-202250-50SimCLU18.txt", 18)</f>
        <v>18</v>
      </c>
      <c r="CQ59" s="75">
        <f>HYPERLINK(".\links\cluster-b\Ixsc-cement-202250-50SimCLTL18.txt", 2)</f>
        <v>2</v>
      </c>
      <c r="CR59" s="75">
        <f>HYPERLINK(".\links\cluster-b\Ixsc-cement-202255-50SimCLU19.txt", 19)</f>
        <v>19</v>
      </c>
      <c r="CS59" s="75">
        <f>HYPERLINK(".\links\cluster-b\Ixsc-cement-202255-50SimCLTL19.txt", 2)</f>
        <v>2</v>
      </c>
      <c r="CT59" s="75">
        <f>HYPERLINK(".\links\cluster-b\Ixsc-cement-202260-50SimCLU20.txt", 20)</f>
        <v>20</v>
      </c>
      <c r="CU59" s="75">
        <f>HYPERLINK(".\links\cluster-b\Ixsc-cement-202260-50SimCLTL20.txt", 2)</f>
        <v>2</v>
      </c>
      <c r="CV59" s="75">
        <f>HYPERLINK(".\links\cluster-b\Ixsc-cement-202265-50SimCLU18.txt", 18)</f>
        <v>18</v>
      </c>
      <c r="CW59" s="75">
        <f>HYPERLINK(".\links\cluster-b\Ixsc-cement-202265-50SimCLTL18.txt", 2)</f>
        <v>2</v>
      </c>
      <c r="CX59" s="75">
        <f>HYPERLINK(".\links\cluster-b\Ixsc-cement-202270-50SimCLU17.txt", 17)</f>
        <v>17</v>
      </c>
      <c r="CY59" s="75">
        <f>HYPERLINK(".\links\cluster-b\Ixsc-cement-202270-50SimCLTL17.txt", 2)</f>
        <v>2</v>
      </c>
      <c r="CZ59" s="75">
        <f>HYPERLINK(".\links\cluster-b\Ixsc-cement-202275-50SimCLU15.txt", 15)</f>
        <v>15</v>
      </c>
      <c r="DA59" s="75">
        <f>HYPERLINK(".\links\cluster-b\Ixsc-cement-202275-50SimCLTL15.txt", 2)</f>
        <v>2</v>
      </c>
      <c r="DB59" s="75">
        <v>59</v>
      </c>
      <c r="DC59" s="75">
        <v>1</v>
      </c>
      <c r="DD59" s="75">
        <v>60</v>
      </c>
      <c r="DE59" s="75">
        <v>1</v>
      </c>
      <c r="DF59" s="75">
        <v>61</v>
      </c>
      <c r="DG59" s="75">
        <v>1</v>
      </c>
      <c r="DH59" s="75">
        <v>62</v>
      </c>
      <c r="DI59" s="75">
        <v>1</v>
      </c>
      <c r="DJ59" s="75" t="s">
        <v>6</v>
      </c>
      <c r="DK59" s="75" t="str">
        <f>HYPERLINK(".\links\AAM-CEMENT-2018\EEC06619.1-AAM-CEMENT-2018.txt","Extracted CDS")</f>
        <v>Extracted CDS</v>
      </c>
      <c r="DL59" s="75" t="str">
        <f>HYPERLINK("http://www.ncbi.nlm.nih.gov/sutils/blink.cgi?pid=Aam-3330","0.19")</f>
        <v>0.19</v>
      </c>
      <c r="DM59" s="75" t="str">
        <f>HYPERLINK("http://www.ncbi.nlm.nih.gov/protein/Aam-3330","Aam-3330")</f>
        <v>Aam-3330</v>
      </c>
      <c r="DN59" s="75">
        <v>27.3</v>
      </c>
      <c r="DO59" s="75">
        <v>52</v>
      </c>
      <c r="DP59" s="75">
        <v>418</v>
      </c>
      <c r="DQ59" s="75">
        <v>28</v>
      </c>
      <c r="DR59" s="75">
        <v>53</v>
      </c>
      <c r="DS59" s="75">
        <v>12</v>
      </c>
      <c r="DT59" s="75">
        <v>37</v>
      </c>
      <c r="DU59" s="75">
        <v>4</v>
      </c>
      <c r="DV59" s="75">
        <v>314</v>
      </c>
      <c r="DW59" s="75">
        <v>174</v>
      </c>
      <c r="DX59" s="75">
        <v>1</v>
      </c>
      <c r="DY59" s="75" t="s">
        <v>2775</v>
      </c>
      <c r="DZ59" s="75" t="str">
        <f>HYPERLINK(".\links\CDD\EEC06619.1-CDD.txt","PLN02328 lysine-specific histone demethylase 1 homolog")</f>
        <v>PLN02328 lysine-specific histone demethylase 1 homolog</v>
      </c>
      <c r="EA59" s="79">
        <v>5.9999999999999998E-125</v>
      </c>
      <c r="EB59" s="75">
        <v>79.5</v>
      </c>
      <c r="EC59" s="75" t="s">
        <v>3131</v>
      </c>
      <c r="ED59" s="75" t="s">
        <v>3132</v>
      </c>
      <c r="EE59" s="75" t="str">
        <f>HYPERLINK(".\links\KOG\EEC06619.1-KOG.txt","CDD:224152 COG1231, COG1231, Monoamine oxidase")</f>
        <v>CDD:224152 COG1231, COG1231, Monoamine oxidase</v>
      </c>
      <c r="EF59" s="79">
        <v>5.0000000000000002E-26</v>
      </c>
      <c r="EG59" s="75">
        <v>124.9</v>
      </c>
      <c r="EH59" s="75" t="s">
        <v>3133</v>
      </c>
      <c r="EI59" s="75" t="s">
        <v>2779</v>
      </c>
      <c r="EJ59" s="75" t="str">
        <f>HYPERLINK(".\links\PFAM\EEC06619.1-PFAM.txt","Amino_oxidase Flavin containing amine oxidoreductase")</f>
        <v>Amino_oxidase Flavin containing amine oxidoreductase</v>
      </c>
      <c r="EK59" s="79">
        <v>4.9999999999999999E-96</v>
      </c>
      <c r="EL59" s="75">
        <v>127.1</v>
      </c>
      <c r="EM59" s="75" t="s">
        <v>3134</v>
      </c>
      <c r="EN59" s="75" t="s">
        <v>2772</v>
      </c>
      <c r="EO59" s="75" t="str">
        <f>HYPERLINK(".\links\SMART\EEC06619.1-SMART.txt","CDD:214966 smart01002, AlaDh_PNT_C, Alanine dehydrogenase/PNT, C-terminal domain")</f>
        <v>CDD:214966 smart01002, AlaDh_PNT_C, Alanine dehydrogenase/PNT, C-terminal domain</v>
      </c>
      <c r="EP59" s="79">
        <v>3.0000000000000001E-5</v>
      </c>
      <c r="EQ59" s="75">
        <v>55</v>
      </c>
      <c r="ER59" s="75" t="s">
        <v>3135</v>
      </c>
      <c r="ES59" s="75" t="s">
        <v>2772</v>
      </c>
      <c r="ET59" s="75" t="str">
        <f>HYPERLINK(".\links\TSF\EEC06619.1-TSF.txt","30-433 30-433, BTSP||S|")</f>
        <v>30-433 30-433, BTSP||S|</v>
      </c>
      <c r="EU59" s="79">
        <v>2.9999999999999997E-4</v>
      </c>
      <c r="EV59" s="75">
        <v>12.5</v>
      </c>
      <c r="EW59" s="75" t="s">
        <v>3136</v>
      </c>
      <c r="EX59" s="75" t="s">
        <v>3057</v>
      </c>
      <c r="EY59" s="75" t="s">
        <v>2772</v>
      </c>
      <c r="EZ59" s="75" t="s">
        <v>2785</v>
      </c>
      <c r="FA59" s="75" t="s">
        <v>3137</v>
      </c>
    </row>
    <row r="60" spans="1:157" x14ac:dyDescent="0.2">
      <c r="A60" s="75" t="str">
        <f>HYPERLINK(".\links\PEP\EEC11164.1-PEP.txt","EEC11164.1")</f>
        <v>EEC11164.1</v>
      </c>
      <c r="B60" s="75" t="s">
        <v>2768</v>
      </c>
      <c r="C60" s="75">
        <v>772</v>
      </c>
      <c r="D60" s="75" t="s">
        <v>3129</v>
      </c>
      <c r="E60" s="76" t="s">
        <v>50</v>
      </c>
      <c r="F60" s="75" t="s">
        <v>2771</v>
      </c>
      <c r="G60" s="75" t="str">
        <f>HYPERLINK(".\links\Sigp\EEC11164.1-SigP.txt","CYT")</f>
        <v>CYT</v>
      </c>
      <c r="H60" s="75" t="s">
        <v>2772</v>
      </c>
      <c r="I60" s="75">
        <v>86.483000000000004</v>
      </c>
      <c r="J60" s="75">
        <v>6.47</v>
      </c>
      <c r="K60" s="75" t="s">
        <v>2772</v>
      </c>
      <c r="L60" s="75" t="s">
        <v>2772</v>
      </c>
      <c r="M60" s="75" t="str">
        <f>HYPERLINK(".\links\netoglyc\EEC11164.1-netoglyc.txt","2")</f>
        <v>2</v>
      </c>
      <c r="N60" s="75" t="s">
        <v>3138</v>
      </c>
      <c r="O60" s="75">
        <v>772</v>
      </c>
      <c r="P60" s="75">
        <v>0</v>
      </c>
      <c r="Q60" s="75" t="s">
        <v>2772</v>
      </c>
      <c r="R60" s="75" t="s">
        <v>2772</v>
      </c>
      <c r="S60" s="75" t="s">
        <v>2772</v>
      </c>
      <c r="T60" s="75" t="s">
        <v>2772</v>
      </c>
      <c r="U60" s="75" t="s">
        <v>2772</v>
      </c>
      <c r="V60" s="75" t="s">
        <v>3139</v>
      </c>
      <c r="W60" s="75">
        <v>11.7</v>
      </c>
      <c r="X60" s="75">
        <v>6</v>
      </c>
      <c r="Y60" s="75">
        <v>5.9</v>
      </c>
      <c r="Z60" s="75" t="s">
        <v>2774</v>
      </c>
      <c r="AA60" s="77">
        <v>12.0466321243523</v>
      </c>
      <c r="AB60" s="75">
        <v>0.14000000000000001</v>
      </c>
      <c r="AD60" s="75">
        <v>8</v>
      </c>
      <c r="AE60" s="75" t="s">
        <v>2772</v>
      </c>
      <c r="AF60" s="75" t="s">
        <v>2772</v>
      </c>
      <c r="AG60" s="75" t="s">
        <v>2772</v>
      </c>
      <c r="AH60" s="75" t="s">
        <v>2772</v>
      </c>
      <c r="AI60" s="75">
        <v>2</v>
      </c>
      <c r="AJ60" s="75">
        <v>2</v>
      </c>
      <c r="AK60" s="75" t="s">
        <v>2772</v>
      </c>
      <c r="AL60" s="75" t="s">
        <v>2772</v>
      </c>
      <c r="AM60" s="75" t="s">
        <v>2772</v>
      </c>
      <c r="AN60" s="75" t="s">
        <v>2772</v>
      </c>
      <c r="AO60" s="78" t="str">
        <f>HYPERLINK(".\links\AAM-CEMENT-2018\EEC11164.1-AAM-CEMENT-2018.txt","Extracted CDS")</f>
        <v>Extracted CDS</v>
      </c>
      <c r="AP60" s="75" t="str">
        <f>HYPERLINK("http://www.ncbi.nlm.nih.gov/sutils/blink.cgi?pid=Aam-3330","0.74")</f>
        <v>0.74</v>
      </c>
      <c r="AQ60" s="75" t="str">
        <f>HYPERLINK("http://www.ncbi.nlm.nih.gov/protein/Aam-3330","Aam-3330")</f>
        <v>Aam-3330</v>
      </c>
      <c r="AR60" s="75">
        <v>25.4</v>
      </c>
      <c r="AS60" s="75">
        <v>52</v>
      </c>
      <c r="AT60" s="75">
        <v>418</v>
      </c>
      <c r="AU60" s="75">
        <v>28</v>
      </c>
      <c r="AV60" s="75">
        <v>51</v>
      </c>
      <c r="AW60" s="75">
        <v>12</v>
      </c>
      <c r="AX60" s="75">
        <v>37</v>
      </c>
      <c r="AY60" s="75">
        <v>4</v>
      </c>
      <c r="AZ60" s="75">
        <v>314</v>
      </c>
      <c r="BA60" s="75">
        <v>290</v>
      </c>
      <c r="BB60" s="75">
        <v>1</v>
      </c>
      <c r="BC60" s="75" t="s">
        <v>2775</v>
      </c>
      <c r="BD60" s="78" t="str">
        <f>HYPERLINK(".\links\CDD\EEC11164.1-CDD.txt","PLN02328 lysine-specific histone demethylase 1 homolog")</f>
        <v>PLN02328 lysine-specific histone demethylase 1 homolog</v>
      </c>
      <c r="BE60" s="79">
        <v>2E-116</v>
      </c>
      <c r="BF60" s="75">
        <v>82.2</v>
      </c>
      <c r="BG60" s="75" t="s">
        <v>3131</v>
      </c>
      <c r="BH60" s="75" t="s">
        <v>3140</v>
      </c>
      <c r="BI60" s="75" t="str">
        <f>HYPERLINK(".\links\KOG\EEC11164.1-KOG.txt","CDD:224152 COG1231, COG1231, Monoamine oxidase")</f>
        <v>CDD:224152 COG1231, COG1231, Monoamine oxidase</v>
      </c>
      <c r="BJ60" s="79">
        <v>2.9999999999999998E-31</v>
      </c>
      <c r="BK60" s="75">
        <v>124.2</v>
      </c>
      <c r="BL60" s="75" t="s">
        <v>3133</v>
      </c>
      <c r="BM60" s="75" t="s">
        <v>2779</v>
      </c>
      <c r="BN60" s="78" t="str">
        <f>HYPERLINK(".\links\PFAM\EEC11164.1-PFAM.txt","Amino_oxidase Flavin containing amine oxidoreductase")</f>
        <v>Amino_oxidase Flavin containing amine oxidoreductase</v>
      </c>
      <c r="BO60" s="79">
        <v>9.9999999999999996E-95</v>
      </c>
      <c r="BP60" s="75">
        <v>125.3</v>
      </c>
      <c r="BQ60" s="75" t="s">
        <v>3134</v>
      </c>
      <c r="BR60" s="75" t="s">
        <v>2772</v>
      </c>
      <c r="BS60" s="78" t="str">
        <f>HYPERLINK(".\links\SMART\EEC11164.1-SMART.txt","CDD:214966 smart01002, AlaDh_PNT_C, Alanine dehydrogenase/PNT, C-terminal domain")</f>
        <v>CDD:214966 smart01002, AlaDh_PNT_C, Alanine dehydrogenase/PNT, C-terminal domain</v>
      </c>
      <c r="BT60" s="79">
        <v>6.9999999999999994E-5</v>
      </c>
      <c r="BU60" s="75">
        <v>51.7</v>
      </c>
      <c r="BV60" s="75" t="s">
        <v>3135</v>
      </c>
      <c r="BW60" s="75" t="s">
        <v>2772</v>
      </c>
      <c r="BX60" s="78" t="str">
        <f>HYPERLINK(".\links\TSF\EEC11164.1-TSF.txt","30-433 30-433, BTSP||S|")</f>
        <v>30-433 30-433, BTSP||S|</v>
      </c>
      <c r="BY60" s="75">
        <v>1.7999999999999999E-2</v>
      </c>
      <c r="BZ60" s="75">
        <v>14.9</v>
      </c>
      <c r="CA60" s="75" t="s">
        <v>3136</v>
      </c>
      <c r="CB60" s="75" t="s">
        <v>3057</v>
      </c>
      <c r="CC60" s="75" t="s">
        <v>2772</v>
      </c>
      <c r="CD60" s="75" t="s">
        <v>2785</v>
      </c>
      <c r="CE60" s="75" t="s">
        <v>3137</v>
      </c>
      <c r="CF60" s="75">
        <f>HYPERLINK(".\links\cluster-b\Ixsc-cement-202225-50SimCLU18.txt", 18)</f>
        <v>18</v>
      </c>
      <c r="CG60" s="75">
        <f>HYPERLINK(".\links\cluster-b\Ixsc-cement-202225-50SimCLTL18.txt", 2)</f>
        <v>2</v>
      </c>
      <c r="CH60" s="75">
        <f>HYPERLINK(".\links\cluster-b\Ixsc-cement-202230-50SimCLU19.txt", 19)</f>
        <v>19</v>
      </c>
      <c r="CI60" s="75">
        <f>HYPERLINK(".\links\cluster-b\Ixsc-cement-202230-50SimCLTL19.txt", 2)</f>
        <v>2</v>
      </c>
      <c r="CJ60" s="75">
        <f>HYPERLINK(".\links\cluster-b\Ixsc-cement-202235-50SimCLU18.txt", 18)</f>
        <v>18</v>
      </c>
      <c r="CK60" s="75">
        <f>HYPERLINK(".\links\cluster-b\Ixsc-cement-202235-50SimCLTL18.txt", 2)</f>
        <v>2</v>
      </c>
      <c r="CL60" s="75">
        <f>HYPERLINK(".\links\cluster-b\Ixsc-cement-202240-50SimCLU19.txt", 19)</f>
        <v>19</v>
      </c>
      <c r="CM60" s="75">
        <f>HYPERLINK(".\links\cluster-b\Ixsc-cement-202240-50SimCLTL19.txt", 2)</f>
        <v>2</v>
      </c>
      <c r="CN60" s="75">
        <f>HYPERLINK(".\links\cluster-b\Ixsc-cement-202245-50SimCLU18.txt", 18)</f>
        <v>18</v>
      </c>
      <c r="CO60" s="75">
        <f>HYPERLINK(".\links\cluster-b\Ixsc-cement-202245-50SimCLTL18.txt", 2)</f>
        <v>2</v>
      </c>
      <c r="CP60" s="75">
        <f>HYPERLINK(".\links\cluster-b\Ixsc-cement-202250-50SimCLU18.txt", 18)</f>
        <v>18</v>
      </c>
      <c r="CQ60" s="75">
        <f>HYPERLINK(".\links\cluster-b\Ixsc-cement-202250-50SimCLTL18.txt", 2)</f>
        <v>2</v>
      </c>
      <c r="CR60" s="75">
        <f>HYPERLINK(".\links\cluster-b\Ixsc-cement-202255-50SimCLU19.txt", 19)</f>
        <v>19</v>
      </c>
      <c r="CS60" s="75">
        <f>HYPERLINK(".\links\cluster-b\Ixsc-cement-202255-50SimCLTL19.txt", 2)</f>
        <v>2</v>
      </c>
      <c r="CT60" s="75">
        <f>HYPERLINK(".\links\cluster-b\Ixsc-cement-202260-50SimCLU20.txt", 20)</f>
        <v>20</v>
      </c>
      <c r="CU60" s="75">
        <f>HYPERLINK(".\links\cluster-b\Ixsc-cement-202260-50SimCLTL20.txt", 2)</f>
        <v>2</v>
      </c>
      <c r="CV60" s="75">
        <f>HYPERLINK(".\links\cluster-b\Ixsc-cement-202265-50SimCLU18.txt", 18)</f>
        <v>18</v>
      </c>
      <c r="CW60" s="75">
        <f>HYPERLINK(".\links\cluster-b\Ixsc-cement-202265-50SimCLTL18.txt", 2)</f>
        <v>2</v>
      </c>
      <c r="CX60" s="75">
        <f>HYPERLINK(".\links\cluster-b\Ixsc-cement-202270-50SimCLU17.txt", 17)</f>
        <v>17</v>
      </c>
      <c r="CY60" s="75">
        <f>HYPERLINK(".\links\cluster-b\Ixsc-cement-202270-50SimCLTL17.txt", 2)</f>
        <v>2</v>
      </c>
      <c r="CZ60" s="75">
        <f>HYPERLINK(".\links\cluster-b\Ixsc-cement-202275-50SimCLU15.txt", 15)</f>
        <v>15</v>
      </c>
      <c r="DA60" s="75">
        <f>HYPERLINK(".\links\cluster-b\Ixsc-cement-202275-50SimCLTL15.txt", 2)</f>
        <v>2</v>
      </c>
      <c r="DB60" s="75">
        <v>78</v>
      </c>
      <c r="DC60" s="75">
        <v>1</v>
      </c>
      <c r="DD60" s="75">
        <v>81</v>
      </c>
      <c r="DE60" s="75">
        <v>1</v>
      </c>
      <c r="DF60" s="75">
        <v>83</v>
      </c>
      <c r="DG60" s="75">
        <v>1</v>
      </c>
      <c r="DH60" s="75">
        <v>84</v>
      </c>
      <c r="DI60" s="75">
        <v>1</v>
      </c>
      <c r="DJ60" s="75" t="s">
        <v>7</v>
      </c>
      <c r="DK60" s="75" t="str">
        <f>HYPERLINK(".\links\AAM-CEMENT-2018\EEC11164.1-AAM-CEMENT-2018.txt","Extracted CDS")</f>
        <v>Extracted CDS</v>
      </c>
      <c r="DL60" s="75" t="str">
        <f>HYPERLINK("http://www.ncbi.nlm.nih.gov/sutils/blink.cgi?pid=Aam-3330","0.74")</f>
        <v>0.74</v>
      </c>
      <c r="DM60" s="75" t="str">
        <f>HYPERLINK("http://www.ncbi.nlm.nih.gov/protein/Aam-3330","Aam-3330")</f>
        <v>Aam-3330</v>
      </c>
      <c r="DN60" s="75">
        <v>25.4</v>
      </c>
      <c r="DO60" s="75">
        <v>52</v>
      </c>
      <c r="DP60" s="75">
        <v>418</v>
      </c>
      <c r="DQ60" s="75">
        <v>28</v>
      </c>
      <c r="DR60" s="75">
        <v>51</v>
      </c>
      <c r="DS60" s="75">
        <v>12</v>
      </c>
      <c r="DT60" s="75">
        <v>37</v>
      </c>
      <c r="DU60" s="75">
        <v>4</v>
      </c>
      <c r="DV60" s="75">
        <v>314</v>
      </c>
      <c r="DW60" s="75">
        <v>290</v>
      </c>
      <c r="DX60" s="75">
        <v>1</v>
      </c>
      <c r="DY60" s="75" t="s">
        <v>2775</v>
      </c>
      <c r="DZ60" s="75" t="str">
        <f>HYPERLINK(".\links\CDD\EEC11164.1-CDD.txt","PLN02328 lysine-specific histone demethylase 1 homolog")</f>
        <v>PLN02328 lysine-specific histone demethylase 1 homolog</v>
      </c>
      <c r="EA60" s="79">
        <v>2E-116</v>
      </c>
      <c r="EB60" s="75">
        <v>82.2</v>
      </c>
      <c r="EC60" s="75" t="s">
        <v>3131</v>
      </c>
      <c r="ED60" s="75" t="s">
        <v>3140</v>
      </c>
      <c r="EE60" s="75" t="str">
        <f>HYPERLINK(".\links\KOG\EEC11164.1-KOG.txt","CDD:224152 COG1231, COG1231, Monoamine oxidase")</f>
        <v>CDD:224152 COG1231, COG1231, Monoamine oxidase</v>
      </c>
      <c r="EF60" s="79">
        <v>2.9999999999999998E-31</v>
      </c>
      <c r="EG60" s="75">
        <v>124.2</v>
      </c>
      <c r="EH60" s="75" t="s">
        <v>3133</v>
      </c>
      <c r="EI60" s="75" t="s">
        <v>2779</v>
      </c>
      <c r="EJ60" s="75" t="str">
        <f>HYPERLINK(".\links\PFAM\EEC11164.1-PFAM.txt","Amino_oxidase Flavin containing amine oxidoreductase")</f>
        <v>Amino_oxidase Flavin containing amine oxidoreductase</v>
      </c>
      <c r="EK60" s="79">
        <v>9.9999999999999996E-95</v>
      </c>
      <c r="EL60" s="75">
        <v>125.3</v>
      </c>
      <c r="EM60" s="75" t="s">
        <v>3134</v>
      </c>
      <c r="EN60" s="75" t="s">
        <v>2772</v>
      </c>
      <c r="EO60" s="75" t="str">
        <f>HYPERLINK(".\links\SMART\EEC11164.1-SMART.txt","CDD:214966 smart01002, AlaDh_PNT_C, Alanine dehydrogenase/PNT, C-terminal domain")</f>
        <v>CDD:214966 smart01002, AlaDh_PNT_C, Alanine dehydrogenase/PNT, C-terminal domain</v>
      </c>
      <c r="EP60" s="79">
        <v>6.9999999999999994E-5</v>
      </c>
      <c r="EQ60" s="75">
        <v>51.7</v>
      </c>
      <c r="ER60" s="75" t="s">
        <v>3135</v>
      </c>
      <c r="ES60" s="75" t="s">
        <v>2772</v>
      </c>
      <c r="ET60" s="75" t="str">
        <f>HYPERLINK(".\links\TSF\EEC11164.1-TSF.txt","30-433 30-433, BTSP||S|")</f>
        <v>30-433 30-433, BTSP||S|</v>
      </c>
      <c r="EU60" s="75">
        <v>1.7999999999999999E-2</v>
      </c>
      <c r="EV60" s="75">
        <v>14.9</v>
      </c>
      <c r="EW60" s="75" t="s">
        <v>3136</v>
      </c>
      <c r="EX60" s="75" t="s">
        <v>3057</v>
      </c>
      <c r="EY60" s="75" t="s">
        <v>2772</v>
      </c>
      <c r="EZ60" s="75" t="s">
        <v>2785</v>
      </c>
      <c r="FA60" s="75" t="s">
        <v>3137</v>
      </c>
    </row>
    <row r="61" spans="1:157" x14ac:dyDescent="0.2">
      <c r="A61" s="75" t="str">
        <f>HYPERLINK(".\links\PEP\EEC17118.1-PEP.txt","EEC17118.1")</f>
        <v>EEC17118.1</v>
      </c>
      <c r="B61" s="75" t="s">
        <v>2768</v>
      </c>
      <c r="C61" s="75">
        <v>563</v>
      </c>
      <c r="D61" s="75" t="s">
        <v>3141</v>
      </c>
      <c r="E61" s="76" t="s">
        <v>50</v>
      </c>
      <c r="F61" s="75" t="s">
        <v>2771</v>
      </c>
      <c r="G61" s="75" t="str">
        <f>HYPERLINK(".\links\Sigp\EEC17118.1-SigP.txt","CYT")</f>
        <v>CYT</v>
      </c>
      <c r="H61" s="75" t="s">
        <v>2772</v>
      </c>
      <c r="I61" s="75">
        <v>60.805999999999997</v>
      </c>
      <c r="J61" s="75">
        <v>5.63</v>
      </c>
      <c r="K61" s="75" t="s">
        <v>2772</v>
      </c>
      <c r="L61" s="75" t="s">
        <v>2772</v>
      </c>
      <c r="M61" s="75" t="str">
        <f>HYPERLINK(".\links\netoglyc\EEC17118.1-netoglyc.txt","1")</f>
        <v>1</v>
      </c>
      <c r="N61" s="75" t="s">
        <v>3142</v>
      </c>
      <c r="O61" s="75">
        <v>563</v>
      </c>
      <c r="P61" s="75">
        <v>0</v>
      </c>
      <c r="Q61" s="75" t="s">
        <v>2772</v>
      </c>
      <c r="R61" s="75" t="s">
        <v>2772</v>
      </c>
      <c r="S61" s="75" t="s">
        <v>2772</v>
      </c>
      <c r="T61" s="75" t="s">
        <v>2772</v>
      </c>
      <c r="U61" s="75" t="s">
        <v>2772</v>
      </c>
      <c r="V61" s="75" t="s">
        <v>2772</v>
      </c>
      <c r="W61" s="75">
        <v>11.9</v>
      </c>
      <c r="X61" s="75">
        <v>8.6999999999999993</v>
      </c>
      <c r="Y61" s="75">
        <v>5.0999999999999996</v>
      </c>
      <c r="Z61" s="75">
        <v>0.5</v>
      </c>
      <c r="AA61" s="77">
        <v>14.0319715808171</v>
      </c>
      <c r="AB61" s="75">
        <v>0.18</v>
      </c>
      <c r="AD61" s="75">
        <v>2</v>
      </c>
      <c r="AE61" s="75" t="str">
        <f>HYPERLINK(".\links\pep\EEC17118.1-sulf.txt","2")</f>
        <v>2</v>
      </c>
      <c r="AF61" s="75" t="str">
        <f>HYPERLINK(".\links\pep\EEC17118.1-tyr-sulf.txt","Fasta with y")</f>
        <v>Fasta with y</v>
      </c>
      <c r="AG61" s="75" t="s">
        <v>2772</v>
      </c>
      <c r="AH61" s="75">
        <v>1</v>
      </c>
      <c r="AI61" s="75">
        <v>3</v>
      </c>
      <c r="AJ61" s="75">
        <v>3</v>
      </c>
      <c r="AK61" s="75" t="s">
        <v>2772</v>
      </c>
      <c r="AL61" s="75" t="s">
        <v>2772</v>
      </c>
      <c r="AM61" s="75" t="s">
        <v>2772</v>
      </c>
      <c r="AN61" s="75" t="s">
        <v>2772</v>
      </c>
      <c r="AO61" s="78" t="str">
        <f>HYPERLINK(".\links\AAM-CEMENT-2018\EEC17118.1-AAM-CEMENT-2018.txt","Extracted CDS")</f>
        <v>Extracted CDS</v>
      </c>
      <c r="AP61" s="75" t="str">
        <f>HYPERLINK("http://www.ncbi.nlm.nih.gov/sutils/blink.cgi?pid=Aam-532","4E-22")</f>
        <v>4E-22</v>
      </c>
      <c r="AQ61" s="75" t="str">
        <f>HYPERLINK("http://www.ncbi.nlm.nih.gov/protein/Aam-532","Aam-532")</f>
        <v>Aam-532</v>
      </c>
      <c r="AR61" s="75">
        <v>92.8</v>
      </c>
      <c r="AS61" s="75">
        <v>309</v>
      </c>
      <c r="AT61" s="75">
        <v>555</v>
      </c>
      <c r="AU61" s="75">
        <v>25</v>
      </c>
      <c r="AV61" s="75">
        <v>44</v>
      </c>
      <c r="AW61" s="75">
        <v>56</v>
      </c>
      <c r="AX61" s="75">
        <v>231</v>
      </c>
      <c r="AY61" s="75">
        <v>19</v>
      </c>
      <c r="AZ61" s="75">
        <v>118</v>
      </c>
      <c r="BA61" s="75">
        <v>146</v>
      </c>
      <c r="BB61" s="75">
        <v>1</v>
      </c>
      <c r="BC61" s="75" t="s">
        <v>2775</v>
      </c>
      <c r="BD61" s="78" t="str">
        <f>HYPERLINK(".\links\CDD\EEC17118.1-CDD.txt","PRK09280 F0F1 ATP synthase subunit beta")</f>
        <v>PRK09280 F0F1 ATP synthase subunit beta</v>
      </c>
      <c r="BE61" s="75">
        <v>0</v>
      </c>
      <c r="BF61" s="75">
        <v>101.1</v>
      </c>
      <c r="BG61" s="75" t="s">
        <v>3143</v>
      </c>
      <c r="BH61" s="75" t="s">
        <v>3144</v>
      </c>
      <c r="BI61" s="75" t="str">
        <f>HYPERLINK(".\links\KOG\EEC17118.1-KOG.txt","CDD:223133 COG0055, AtpD, F0F1-type ATP synthase, beta subunit")</f>
        <v>CDD:223133 COG0055, AtpD, F0F1-type ATP synthase, beta subunit</v>
      </c>
      <c r="BJ61" s="75">
        <v>0</v>
      </c>
      <c r="BK61" s="75">
        <v>101.3</v>
      </c>
      <c r="BL61" s="75" t="s">
        <v>3145</v>
      </c>
      <c r="BM61" s="75" t="s">
        <v>2779</v>
      </c>
      <c r="BN61" s="78" t="str">
        <f>HYPERLINK(".\links\PFAM\EEC17118.1-PFAM.txt","ATP-synt_ab ATP synthase alpha/beta family nucleotide-binding domain")</f>
        <v>ATP-synt_ab ATP synthase alpha/beta family nucleotide-binding domain</v>
      </c>
      <c r="BO61" s="79">
        <v>3.0000000000000001E-93</v>
      </c>
      <c r="BP61" s="75">
        <v>104.2</v>
      </c>
      <c r="BQ61" s="75" t="s">
        <v>3146</v>
      </c>
      <c r="BR61" s="75" t="s">
        <v>2772</v>
      </c>
      <c r="BS61" s="78" t="str">
        <f>HYPERLINK(".\links\SMART\EEC17118.1-SMART.txt","CDD:214640 smart00382, AAA, ATPases associated with a variety of cellular activities")</f>
        <v>CDD:214640 smart00382, AAA, ATPases associated with a variety of cellular activities</v>
      </c>
      <c r="BT61" s="79">
        <v>7.9999999999999996E-7</v>
      </c>
      <c r="BU61" s="75">
        <v>85.8</v>
      </c>
      <c r="BV61" s="75" t="s">
        <v>3147</v>
      </c>
      <c r="BW61" s="75" t="s">
        <v>2772</v>
      </c>
      <c r="BX61" s="78" t="str">
        <f>HYPERLINK(".\links\TSF\EEC17118.1-TSF.txt","25-248 25-248, Laminin||S|")</f>
        <v>25-248 25-248, Laminin||S|</v>
      </c>
      <c r="BY61" s="75">
        <v>3.7999999999999999E-2</v>
      </c>
      <c r="BZ61" s="75">
        <v>10.5</v>
      </c>
      <c r="CA61" s="75" t="s">
        <v>3028</v>
      </c>
      <c r="CB61" s="75" t="s">
        <v>3029</v>
      </c>
      <c r="CC61" s="75" t="s">
        <v>2772</v>
      </c>
      <c r="CD61" s="75" t="s">
        <v>2785</v>
      </c>
      <c r="CE61" s="75" t="s">
        <v>3030</v>
      </c>
      <c r="CF61" s="75">
        <f>HYPERLINK(".\links\cluster-b\Ixsc-cement-202225-50SimCLU17.txt", 17)</f>
        <v>17</v>
      </c>
      <c r="CG61" s="75">
        <f>HYPERLINK(".\links\cluster-b\Ixsc-cement-202225-50SimCLTL17.txt", 2)</f>
        <v>2</v>
      </c>
      <c r="CH61" s="75">
        <f>HYPERLINK(".\links\cluster-b\Ixsc-cement-202230-50SimCLU16.txt", 16)</f>
        <v>16</v>
      </c>
      <c r="CI61" s="75">
        <f>HYPERLINK(".\links\cluster-b\Ixsc-cement-202230-50SimCLTL16.txt", 2)</f>
        <v>2</v>
      </c>
      <c r="CJ61" s="75">
        <f>HYPERLINK(".\links\cluster-b\Ixsc-cement-202235-50SimCLU15.txt", 15)</f>
        <v>15</v>
      </c>
      <c r="CK61" s="75">
        <f>HYPERLINK(".\links\cluster-b\Ixsc-cement-202235-50SimCLTL15.txt", 2)</f>
        <v>2</v>
      </c>
      <c r="CL61" s="75">
        <f>HYPERLINK(".\links\cluster-b\Ixsc-cement-202240-50SimCLU16.txt", 16)</f>
        <v>16</v>
      </c>
      <c r="CM61" s="75">
        <f>HYPERLINK(".\links\cluster-b\Ixsc-cement-202240-50SimCLTL16.txt", 2)</f>
        <v>2</v>
      </c>
      <c r="CN61" s="75">
        <f>HYPERLINK(".\links\cluster-b\Ixsc-cement-202245-50SimCLU15.txt", 15)</f>
        <v>15</v>
      </c>
      <c r="CO61" s="75">
        <f>HYPERLINK(".\links\cluster-b\Ixsc-cement-202245-50SimCLTL15.txt", 2)</f>
        <v>2</v>
      </c>
      <c r="CP61" s="75">
        <f>HYPERLINK(".\links\cluster-b\Ixsc-cement-202250-50SimCLU15.txt", 15)</f>
        <v>15</v>
      </c>
      <c r="CQ61" s="75">
        <f>HYPERLINK(".\links\cluster-b\Ixsc-cement-202250-50SimCLTL15.txt", 2)</f>
        <v>2</v>
      </c>
      <c r="CR61" s="75">
        <f>HYPERLINK(".\links\cluster-b\Ixsc-cement-202255-50SimCLU16.txt", 16)</f>
        <v>16</v>
      </c>
      <c r="CS61" s="75">
        <f>HYPERLINK(".\links\cluster-b\Ixsc-cement-202255-50SimCLTL16.txt", 2)</f>
        <v>2</v>
      </c>
      <c r="CT61" s="75">
        <f>HYPERLINK(".\links\cluster-b\Ixsc-cement-202260-50SimCLU17.txt", 17)</f>
        <v>17</v>
      </c>
      <c r="CU61" s="75">
        <f>HYPERLINK(".\links\cluster-b\Ixsc-cement-202260-50SimCLTL17.txt", 2)</f>
        <v>2</v>
      </c>
      <c r="CV61" s="75">
        <f>HYPERLINK(".\links\cluster-b\Ixsc-cement-202265-50SimCLU15.txt", 15)</f>
        <v>15</v>
      </c>
      <c r="CW61" s="75">
        <f>HYPERLINK(".\links\cluster-b\Ixsc-cement-202265-50SimCLTL15.txt", 2)</f>
        <v>2</v>
      </c>
      <c r="CX61" s="75">
        <f>HYPERLINK(".\links\cluster-b\Ixsc-cement-202270-50SimCLU14.txt", 14)</f>
        <v>14</v>
      </c>
      <c r="CY61" s="75">
        <f>HYPERLINK(".\links\cluster-b\Ixsc-cement-202270-50SimCLTL14.txt", 2)</f>
        <v>2</v>
      </c>
      <c r="CZ61" s="75">
        <v>100</v>
      </c>
      <c r="DA61" s="75">
        <v>1</v>
      </c>
      <c r="DB61" s="75">
        <v>106</v>
      </c>
      <c r="DC61" s="75">
        <v>1</v>
      </c>
      <c r="DD61" s="75">
        <v>110</v>
      </c>
      <c r="DE61" s="75">
        <v>1</v>
      </c>
      <c r="DF61" s="75">
        <v>112</v>
      </c>
      <c r="DG61" s="75">
        <v>1</v>
      </c>
      <c r="DH61" s="75">
        <v>113</v>
      </c>
      <c r="DI61" s="75">
        <v>1</v>
      </c>
      <c r="DJ61" s="75" t="s">
        <v>227</v>
      </c>
      <c r="DK61" s="75" t="str">
        <f>HYPERLINK(".\links\AAM-CEMENT-2018\EEC17118.1-AAM-CEMENT-2018.txt","Extracted CDS")</f>
        <v>Extracted CDS</v>
      </c>
      <c r="DL61" s="75" t="str">
        <f>HYPERLINK("http://www.ncbi.nlm.nih.gov/sutils/blink.cgi?pid=Aam-532","4E-22")</f>
        <v>4E-22</v>
      </c>
      <c r="DM61" s="75" t="str">
        <f>HYPERLINK("http://www.ncbi.nlm.nih.gov/protein/Aam-532","Aam-532")</f>
        <v>Aam-532</v>
      </c>
      <c r="DN61" s="75">
        <v>92.8</v>
      </c>
      <c r="DO61" s="75">
        <v>309</v>
      </c>
      <c r="DP61" s="75">
        <v>555</v>
      </c>
      <c r="DQ61" s="75">
        <v>25</v>
      </c>
      <c r="DR61" s="75">
        <v>44</v>
      </c>
      <c r="DS61" s="75">
        <v>56</v>
      </c>
      <c r="DT61" s="75">
        <v>231</v>
      </c>
      <c r="DU61" s="75">
        <v>19</v>
      </c>
      <c r="DV61" s="75">
        <v>118</v>
      </c>
      <c r="DW61" s="75">
        <v>146</v>
      </c>
      <c r="DX61" s="75">
        <v>1</v>
      </c>
      <c r="DY61" s="75" t="s">
        <v>2775</v>
      </c>
      <c r="DZ61" s="75" t="str">
        <f>HYPERLINK(".\links\CDD\EEC17118.1-CDD.txt","PRK09280 F0F1 ATP synthase subunit beta")</f>
        <v>PRK09280 F0F1 ATP synthase subunit beta</v>
      </c>
      <c r="EA61" s="75">
        <v>0</v>
      </c>
      <c r="EB61" s="75">
        <v>101.1</v>
      </c>
      <c r="EC61" s="75" t="s">
        <v>3143</v>
      </c>
      <c r="ED61" s="75" t="s">
        <v>3144</v>
      </c>
      <c r="EE61" s="75" t="str">
        <f>HYPERLINK(".\links\KOG\EEC17118.1-KOG.txt","CDD:223133 COG0055, AtpD, F0F1-type ATP synthase, beta subunit")</f>
        <v>CDD:223133 COG0055, AtpD, F0F1-type ATP synthase, beta subunit</v>
      </c>
      <c r="EF61" s="75">
        <v>0</v>
      </c>
      <c r="EG61" s="75">
        <v>101.3</v>
      </c>
      <c r="EH61" s="75" t="s">
        <v>3145</v>
      </c>
      <c r="EI61" s="75" t="s">
        <v>2779</v>
      </c>
      <c r="EJ61" s="75" t="str">
        <f>HYPERLINK(".\links\PFAM\EEC17118.1-PFAM.txt","ATP-synt_ab ATP synthase alpha/beta family nucleotide-binding domain")</f>
        <v>ATP-synt_ab ATP synthase alpha/beta family nucleotide-binding domain</v>
      </c>
      <c r="EK61" s="79">
        <v>3.0000000000000001E-93</v>
      </c>
      <c r="EL61" s="75">
        <v>104.2</v>
      </c>
      <c r="EM61" s="75" t="s">
        <v>3146</v>
      </c>
      <c r="EN61" s="75" t="s">
        <v>2772</v>
      </c>
      <c r="EO61" s="75" t="str">
        <f>HYPERLINK(".\links\SMART\EEC17118.1-SMART.txt","CDD:214640 smart00382, AAA, ATPases associated with a variety of cellular activities")</f>
        <v>CDD:214640 smart00382, AAA, ATPases associated with a variety of cellular activities</v>
      </c>
      <c r="EP61" s="79">
        <v>7.9999999999999996E-7</v>
      </c>
      <c r="EQ61" s="75">
        <v>85.8</v>
      </c>
      <c r="ER61" s="75" t="s">
        <v>3147</v>
      </c>
      <c r="ES61" s="75" t="s">
        <v>2772</v>
      </c>
      <c r="ET61" s="75" t="str">
        <f>HYPERLINK(".\links\TSF\EEC17118.1-TSF.txt","25-248 25-248, Laminin||S|")</f>
        <v>25-248 25-248, Laminin||S|</v>
      </c>
      <c r="EU61" s="75">
        <v>3.7999999999999999E-2</v>
      </c>
      <c r="EV61" s="75">
        <v>10.5</v>
      </c>
      <c r="EW61" s="75" t="s">
        <v>3028</v>
      </c>
      <c r="EX61" s="75" t="s">
        <v>3029</v>
      </c>
      <c r="EY61" s="75" t="s">
        <v>2772</v>
      </c>
      <c r="EZ61" s="75" t="s">
        <v>2785</v>
      </c>
      <c r="FA61" s="75" t="s">
        <v>3030</v>
      </c>
    </row>
    <row r="62" spans="1:157" x14ac:dyDescent="0.2">
      <c r="A62" s="75" t="str">
        <f>HYPERLINK(".\links\PEP\EEC12401.1-PEP.txt","EEC12401.1")</f>
        <v>EEC12401.1</v>
      </c>
      <c r="B62" s="75" t="s">
        <v>2574</v>
      </c>
      <c r="C62" s="75">
        <v>1060</v>
      </c>
      <c r="D62" s="75" t="s">
        <v>3148</v>
      </c>
      <c r="E62" s="76" t="s">
        <v>50</v>
      </c>
      <c r="F62" s="75" t="s">
        <v>2771</v>
      </c>
      <c r="G62" s="75" t="str">
        <f>HYPERLINK(".\links\Sigp\EEC12401.1-SigP.txt","CYT")</f>
        <v>CYT</v>
      </c>
      <c r="H62" s="75" t="s">
        <v>2772</v>
      </c>
      <c r="I62" s="75">
        <v>117.545</v>
      </c>
      <c r="J62" s="75">
        <v>5.71</v>
      </c>
      <c r="K62" s="75" t="s">
        <v>2772</v>
      </c>
      <c r="L62" s="75" t="s">
        <v>2772</v>
      </c>
      <c r="M62" s="75" t="str">
        <f>HYPERLINK(".\links\netoglyc\EEC12401.1-netoglyc.txt","2")</f>
        <v>2</v>
      </c>
      <c r="N62" s="75" t="s">
        <v>3149</v>
      </c>
      <c r="O62" s="75">
        <v>1060</v>
      </c>
      <c r="P62" s="75">
        <v>0</v>
      </c>
      <c r="Q62" s="75" t="s">
        <v>2772</v>
      </c>
      <c r="R62" s="75" t="s">
        <v>2772</v>
      </c>
      <c r="S62" s="75" t="s">
        <v>2772</v>
      </c>
      <c r="T62" s="75" t="s">
        <v>2772</v>
      </c>
      <c r="U62" s="75" t="s">
        <v>2772</v>
      </c>
      <c r="V62" s="75" t="s">
        <v>3150</v>
      </c>
      <c r="W62" s="75">
        <v>11.1</v>
      </c>
      <c r="X62" s="75">
        <v>7.4</v>
      </c>
      <c r="Y62" s="75">
        <v>4.5999999999999996</v>
      </c>
      <c r="Z62" s="75" t="s">
        <v>2774</v>
      </c>
      <c r="AA62" s="77">
        <v>12.264150943396199</v>
      </c>
      <c r="AB62" s="75">
        <v>0.24</v>
      </c>
      <c r="AD62" s="75">
        <v>10</v>
      </c>
      <c r="AE62" s="75" t="s">
        <v>2772</v>
      </c>
      <c r="AF62" s="75" t="s">
        <v>2772</v>
      </c>
      <c r="AG62" s="75" t="s">
        <v>2772</v>
      </c>
      <c r="AH62" s="75" t="s">
        <v>2772</v>
      </c>
      <c r="AI62" s="75">
        <v>26</v>
      </c>
      <c r="AJ62" s="75">
        <v>26</v>
      </c>
      <c r="AK62" s="75" t="s">
        <v>2772</v>
      </c>
      <c r="AL62" s="75" t="s">
        <v>2772</v>
      </c>
      <c r="AM62" s="75" t="s">
        <v>2772</v>
      </c>
      <c r="AN62" s="75" t="s">
        <v>2772</v>
      </c>
      <c r="AO62" s="78" t="str">
        <f>HYPERLINK(".\links\AAM-CEMENT-2018\EEC12401.1-AAM-CEMENT-2018.txt","Extracted CDS")</f>
        <v>Extracted CDS</v>
      </c>
      <c r="AP62" s="75" t="str">
        <f>HYPERLINK("http://www.ncbi.nlm.nih.gov/sutils/blink.cgi?pid=Aam-179046","5E-04")</f>
        <v>5E-04</v>
      </c>
      <c r="AQ62" s="75" t="str">
        <f>HYPERLINK("http://www.ncbi.nlm.nih.gov/protein/Aam-179046","Aam-179046")</f>
        <v>Aam-179046</v>
      </c>
      <c r="AR62" s="75">
        <v>36.200000000000003</v>
      </c>
      <c r="AS62" s="75">
        <v>217</v>
      </c>
      <c r="AT62" s="75">
        <v>470</v>
      </c>
      <c r="AU62" s="75">
        <v>25</v>
      </c>
      <c r="AV62" s="75">
        <v>39</v>
      </c>
      <c r="AW62" s="75">
        <v>46</v>
      </c>
      <c r="AX62" s="75">
        <v>162</v>
      </c>
      <c r="AY62" s="75">
        <v>44</v>
      </c>
      <c r="AZ62" s="75">
        <v>18</v>
      </c>
      <c r="BA62" s="75">
        <v>474</v>
      </c>
      <c r="BB62" s="75">
        <v>1</v>
      </c>
      <c r="BC62" s="75" t="s">
        <v>2775</v>
      </c>
      <c r="BD62" s="78" t="str">
        <f>HYPERLINK(".\links\CDD\EEC12401.1-CDD.txt","PRK04004 translation initiation factor IF-2")</f>
        <v>PRK04004 translation initiation factor IF-2</v>
      </c>
      <c r="BE62" s="75">
        <v>0</v>
      </c>
      <c r="BF62" s="75">
        <v>95.6</v>
      </c>
      <c r="BG62" s="75" t="s">
        <v>3151</v>
      </c>
      <c r="BH62" s="75" t="s">
        <v>3152</v>
      </c>
      <c r="BI62" s="75" t="str">
        <f>HYPERLINK(".\links\KOG\EEC12401.1-KOG.txt","CDD:223606 COG0532, InfB, Translation initiation factor 2")</f>
        <v>CDD:223606 COG0532, InfB, Translation initiation factor 2</v>
      </c>
      <c r="BJ62" s="79">
        <v>2.9999999999999998E-136</v>
      </c>
      <c r="BK62" s="75">
        <v>112.6</v>
      </c>
      <c r="BL62" s="75" t="s">
        <v>3153</v>
      </c>
      <c r="BM62" s="75" t="s">
        <v>2779</v>
      </c>
      <c r="BN62" s="78" t="str">
        <f>HYPERLINK(".\links\PFAM\EEC12401.1-PFAM.txt","GTP_EFTU Elongation factor Tu GTP binding domain")</f>
        <v>GTP_EFTU Elongation factor Tu GTP binding domain</v>
      </c>
      <c r="BO62" s="79">
        <v>7E-39</v>
      </c>
      <c r="BP62" s="75">
        <v>115</v>
      </c>
      <c r="BQ62" s="75" t="s">
        <v>3154</v>
      </c>
      <c r="BR62" s="75" t="s">
        <v>2772</v>
      </c>
      <c r="BS62" s="78" t="str">
        <f>HYPERLINK(".\links\SMART\EEC12401.1-SMART.txt","CDD:197555 smart00175, RAB, Rab subfamily of small GTPases")</f>
        <v>CDD:197555 smart00175, RAB, Rab subfamily of small GTPases</v>
      </c>
      <c r="BT62" s="75">
        <v>6.9000000000000006E-2</v>
      </c>
      <c r="BU62" s="75">
        <v>53</v>
      </c>
      <c r="BV62" s="75" t="s">
        <v>3155</v>
      </c>
      <c r="BW62" s="75" t="s">
        <v>2772</v>
      </c>
      <c r="BX62" s="78" t="str">
        <f>HYPERLINK(".\links\TSF\EEC12401.1-TSF.txt","55-213 55-213, Papa||S|")</f>
        <v>55-213 55-213, Papa||S|</v>
      </c>
      <c r="BY62" s="75">
        <v>0.12</v>
      </c>
      <c r="BZ62" s="75">
        <v>38.1</v>
      </c>
      <c r="CA62" s="75" t="s">
        <v>3156</v>
      </c>
      <c r="CB62" s="75" t="s">
        <v>3020</v>
      </c>
      <c r="CC62" s="75" t="s">
        <v>2772</v>
      </c>
      <c r="CD62" s="75" t="s">
        <v>2785</v>
      </c>
      <c r="CE62" s="75" t="s">
        <v>3157</v>
      </c>
      <c r="CF62" s="75">
        <v>47</v>
      </c>
      <c r="CG62" s="75">
        <v>1</v>
      </c>
      <c r="CH62" s="75">
        <v>55</v>
      </c>
      <c r="CI62" s="75">
        <v>1</v>
      </c>
      <c r="CJ62" s="75">
        <v>56</v>
      </c>
      <c r="CK62" s="75">
        <v>1</v>
      </c>
      <c r="CL62" s="75">
        <v>60</v>
      </c>
      <c r="CM62" s="75">
        <v>1</v>
      </c>
      <c r="CN62" s="75">
        <v>63</v>
      </c>
      <c r="CO62" s="75">
        <v>1</v>
      </c>
      <c r="CP62" s="75">
        <v>65</v>
      </c>
      <c r="CQ62" s="75">
        <v>1</v>
      </c>
      <c r="CR62" s="75">
        <v>66</v>
      </c>
      <c r="CS62" s="75">
        <v>1</v>
      </c>
      <c r="CT62" s="75">
        <v>70</v>
      </c>
      <c r="CU62" s="75">
        <v>1</v>
      </c>
      <c r="CV62" s="75">
        <v>73</v>
      </c>
      <c r="CW62" s="75">
        <v>1</v>
      </c>
      <c r="CX62" s="75">
        <v>77</v>
      </c>
      <c r="CY62" s="75">
        <v>1</v>
      </c>
      <c r="CZ62" s="75">
        <v>79</v>
      </c>
      <c r="DA62" s="75">
        <v>1</v>
      </c>
      <c r="DB62" s="75">
        <v>85</v>
      </c>
      <c r="DC62" s="75">
        <v>1</v>
      </c>
      <c r="DD62" s="75">
        <v>88</v>
      </c>
      <c r="DE62" s="75">
        <v>1</v>
      </c>
      <c r="DF62" s="75">
        <v>90</v>
      </c>
      <c r="DG62" s="75">
        <v>1</v>
      </c>
      <c r="DH62" s="75">
        <v>91</v>
      </c>
      <c r="DI62" s="75">
        <v>1</v>
      </c>
      <c r="DJ62" s="75" t="s">
        <v>235</v>
      </c>
      <c r="DK62" s="75" t="str">
        <f>HYPERLINK(".\links\AAM-CEMENT-2018\EEC12401.1-AAM-CEMENT-2018.txt","Extracted CDS")</f>
        <v>Extracted CDS</v>
      </c>
      <c r="DL62" s="75" t="str">
        <f>HYPERLINK("http://www.ncbi.nlm.nih.gov/sutils/blink.cgi?pid=Aam-179046","5E-04")</f>
        <v>5E-04</v>
      </c>
      <c r="DM62" s="75" t="str">
        <f>HYPERLINK("http://www.ncbi.nlm.nih.gov/protein/Aam-179046","Aam-179046")</f>
        <v>Aam-179046</v>
      </c>
      <c r="DN62" s="75">
        <v>36.200000000000003</v>
      </c>
      <c r="DO62" s="75">
        <v>217</v>
      </c>
      <c r="DP62" s="75">
        <v>470</v>
      </c>
      <c r="DQ62" s="75">
        <v>25</v>
      </c>
      <c r="DR62" s="75">
        <v>39</v>
      </c>
      <c r="DS62" s="75">
        <v>46</v>
      </c>
      <c r="DT62" s="75">
        <v>162</v>
      </c>
      <c r="DU62" s="75">
        <v>44</v>
      </c>
      <c r="DV62" s="75">
        <v>18</v>
      </c>
      <c r="DW62" s="75">
        <v>474</v>
      </c>
      <c r="DX62" s="75">
        <v>1</v>
      </c>
      <c r="DY62" s="75" t="s">
        <v>2775</v>
      </c>
      <c r="DZ62" s="75" t="str">
        <f>HYPERLINK(".\links\CDD\EEC12401.1-CDD.txt","PRK04004 translation initiation factor IF-2")</f>
        <v>PRK04004 translation initiation factor IF-2</v>
      </c>
      <c r="EA62" s="75">
        <v>0</v>
      </c>
      <c r="EB62" s="75">
        <v>95.6</v>
      </c>
      <c r="EC62" s="75" t="s">
        <v>3151</v>
      </c>
      <c r="ED62" s="75" t="s">
        <v>3152</v>
      </c>
      <c r="EE62" s="75" t="str">
        <f>HYPERLINK(".\links\KOG\EEC12401.1-KOG.txt","CDD:223606 COG0532, InfB, Translation initiation factor 2")</f>
        <v>CDD:223606 COG0532, InfB, Translation initiation factor 2</v>
      </c>
      <c r="EF62" s="79">
        <v>2.9999999999999998E-136</v>
      </c>
      <c r="EG62" s="75">
        <v>112.6</v>
      </c>
      <c r="EH62" s="75" t="s">
        <v>3153</v>
      </c>
      <c r="EI62" s="75" t="s">
        <v>2779</v>
      </c>
      <c r="EJ62" s="75" t="str">
        <f>HYPERLINK(".\links\PFAM\EEC12401.1-PFAM.txt","GTP_EFTU Elongation factor Tu GTP binding domain")</f>
        <v>GTP_EFTU Elongation factor Tu GTP binding domain</v>
      </c>
      <c r="EK62" s="79">
        <v>7E-39</v>
      </c>
      <c r="EL62" s="75">
        <v>115</v>
      </c>
      <c r="EM62" s="75" t="s">
        <v>3154</v>
      </c>
      <c r="EN62" s="75" t="s">
        <v>2772</v>
      </c>
      <c r="EO62" s="75" t="str">
        <f>HYPERLINK(".\links\SMART\EEC12401.1-SMART.txt","CDD:197555 smart00175, RAB, Rab subfamily of small GTPases")</f>
        <v>CDD:197555 smart00175, RAB, Rab subfamily of small GTPases</v>
      </c>
      <c r="EP62" s="75">
        <v>6.9000000000000006E-2</v>
      </c>
      <c r="EQ62" s="75">
        <v>53</v>
      </c>
      <c r="ER62" s="75" t="s">
        <v>3155</v>
      </c>
      <c r="ES62" s="75" t="s">
        <v>2772</v>
      </c>
      <c r="ET62" s="75" t="str">
        <f>HYPERLINK(".\links\TSF\EEC12401.1-TSF.txt","55-213 55-213, Papa||S|")</f>
        <v>55-213 55-213, Papa||S|</v>
      </c>
      <c r="EU62" s="75">
        <v>0.12</v>
      </c>
      <c r="EV62" s="75">
        <v>38.1</v>
      </c>
      <c r="EW62" s="75" t="s">
        <v>3156</v>
      </c>
      <c r="EX62" s="75" t="s">
        <v>3020</v>
      </c>
      <c r="EY62" s="75" t="s">
        <v>2772</v>
      </c>
      <c r="EZ62" s="75" t="s">
        <v>2785</v>
      </c>
      <c r="FA62" s="75" t="s">
        <v>3157</v>
      </c>
    </row>
    <row r="63" spans="1:157" x14ac:dyDescent="0.2">
      <c r="A63" s="75" t="str">
        <f>HYPERLINK(".\links\PEP\EEC02131.1-PEP.txt","EEC02131.1")</f>
        <v>EEC02131.1</v>
      </c>
      <c r="B63" s="75" t="s">
        <v>2768</v>
      </c>
      <c r="C63" s="75">
        <v>474</v>
      </c>
      <c r="D63" s="75" t="s">
        <v>3158</v>
      </c>
      <c r="E63" s="76" t="s">
        <v>50</v>
      </c>
      <c r="F63" s="75" t="s">
        <v>2771</v>
      </c>
      <c r="G63" s="75" t="str">
        <f>HYPERLINK(".\links\Sigp\EEC02131.1-SigP.txt","CYT")</f>
        <v>CYT</v>
      </c>
      <c r="H63" s="75" t="s">
        <v>2772</v>
      </c>
      <c r="I63" s="75">
        <v>51.36</v>
      </c>
      <c r="J63" s="75">
        <v>4.82</v>
      </c>
      <c r="K63" s="75" t="s">
        <v>2772</v>
      </c>
      <c r="L63" s="75" t="s">
        <v>2772</v>
      </c>
      <c r="M63" s="75" t="str">
        <f>HYPERLINK(".\links\netoglyc\EEC02131.1-netoglyc.txt","0")</f>
        <v>0</v>
      </c>
      <c r="N63" s="75" t="s">
        <v>3159</v>
      </c>
      <c r="O63" s="75">
        <v>474</v>
      </c>
      <c r="P63" s="75">
        <v>0</v>
      </c>
      <c r="Q63" s="75" t="s">
        <v>2772</v>
      </c>
      <c r="R63" s="75" t="s">
        <v>2772</v>
      </c>
      <c r="S63" s="75" t="s">
        <v>2772</v>
      </c>
      <c r="T63" s="75" t="s">
        <v>2772</v>
      </c>
      <c r="U63" s="75" t="s">
        <v>2772</v>
      </c>
      <c r="V63" s="75" t="s">
        <v>2772</v>
      </c>
      <c r="W63" s="75">
        <v>12.2</v>
      </c>
      <c r="X63" s="75">
        <v>8.6999999999999993</v>
      </c>
      <c r="Y63" s="75">
        <v>4.0999999999999996</v>
      </c>
      <c r="Z63" s="75">
        <v>0.6</v>
      </c>
      <c r="AA63" s="77">
        <v>13.0801687763713</v>
      </c>
      <c r="AB63" s="75">
        <v>0.21</v>
      </c>
      <c r="AD63" s="75">
        <v>2</v>
      </c>
      <c r="AE63" s="75" t="str">
        <f>HYPERLINK(".\links\pep\EEC02131.1-sulf.txt","2")</f>
        <v>2</v>
      </c>
      <c r="AF63" s="75" t="str">
        <f>HYPERLINK(".\links\pep\EEC02131.1-tyr-sulf.txt","Fasta with y")</f>
        <v>Fasta with y</v>
      </c>
      <c r="AG63" s="75" t="s">
        <v>2772</v>
      </c>
      <c r="AH63" s="75">
        <v>1</v>
      </c>
      <c r="AI63" s="75">
        <v>3</v>
      </c>
      <c r="AJ63" s="75">
        <v>3</v>
      </c>
      <c r="AK63" s="75" t="s">
        <v>2772</v>
      </c>
      <c r="AL63" s="75" t="s">
        <v>2772</v>
      </c>
      <c r="AM63" s="75" t="s">
        <v>2772</v>
      </c>
      <c r="AN63" s="75" t="s">
        <v>2772</v>
      </c>
      <c r="AO63" s="78" t="str">
        <f>HYPERLINK(".\links\AAM-CEMENT-2018\EEC02131.1-AAM-CEMENT-2018.txt","Extracted CDS")</f>
        <v>Extracted CDS</v>
      </c>
      <c r="AP63" s="75" t="str">
        <f>HYPERLINK("http://www.ncbi.nlm.nih.gov/sutils/blink.cgi?pid=Aam-532","9E-19")</f>
        <v>9E-19</v>
      </c>
      <c r="AQ63" s="75" t="str">
        <f>HYPERLINK("http://www.ncbi.nlm.nih.gov/protein/Aam-532","Aam-532")</f>
        <v>Aam-532</v>
      </c>
      <c r="AR63" s="75">
        <v>81.599999999999994</v>
      </c>
      <c r="AS63" s="75">
        <v>285</v>
      </c>
      <c r="AT63" s="75">
        <v>555</v>
      </c>
      <c r="AU63" s="75">
        <v>24</v>
      </c>
      <c r="AV63" s="75">
        <v>42</v>
      </c>
      <c r="AW63" s="75">
        <v>51</v>
      </c>
      <c r="AX63" s="75">
        <v>216</v>
      </c>
      <c r="AY63" s="75">
        <v>20</v>
      </c>
      <c r="AZ63" s="75">
        <v>136</v>
      </c>
      <c r="BA63" s="75">
        <v>75</v>
      </c>
      <c r="BB63" s="75">
        <v>1</v>
      </c>
      <c r="BC63" s="75" t="s">
        <v>2775</v>
      </c>
      <c r="BD63" s="78" t="str">
        <f>HYPERLINK(".\links\CDD\EEC02131.1-CDD.txt","PRK09280 F0F1 ATP synthase subunit beta")</f>
        <v>PRK09280 F0F1 ATP synthase subunit beta</v>
      </c>
      <c r="BE63" s="75">
        <v>0</v>
      </c>
      <c r="BF63" s="75">
        <v>101.9</v>
      </c>
      <c r="BG63" s="75" t="s">
        <v>3143</v>
      </c>
      <c r="BH63" s="75" t="s">
        <v>3144</v>
      </c>
      <c r="BI63" s="75" t="str">
        <f>HYPERLINK(".\links\KOG\EEC02131.1-KOG.txt","CDD:223133 COG0055, AtpD, F0F1-type ATP synthase, beta subunit")</f>
        <v>CDD:223133 COG0055, AtpD, F0F1-type ATP synthase, beta subunit</v>
      </c>
      <c r="BJ63" s="75">
        <v>0</v>
      </c>
      <c r="BK63" s="75">
        <v>101.3</v>
      </c>
      <c r="BL63" s="75" t="s">
        <v>3145</v>
      </c>
      <c r="BM63" s="75" t="s">
        <v>2779</v>
      </c>
      <c r="BN63" s="78" t="str">
        <f>HYPERLINK(".\links\PFAM\EEC02131.1-PFAM.txt","ATP-synt_ab ATP synthase alpha/beta family nucleotide-binding domain")</f>
        <v>ATP-synt_ab ATP synthase alpha/beta family nucleotide-binding domain</v>
      </c>
      <c r="BO63" s="79">
        <v>6.0000000000000003E-93</v>
      </c>
      <c r="BP63" s="75">
        <v>105.2</v>
      </c>
      <c r="BQ63" s="75" t="s">
        <v>3146</v>
      </c>
      <c r="BR63" s="75" t="s">
        <v>2772</v>
      </c>
      <c r="BS63" s="78" t="str">
        <f>HYPERLINK(".\links\SMART\EEC02131.1-SMART.txt","CDD:214640 smart00382, AAA, ATPases associated with a variety of cellular activities")</f>
        <v>CDD:214640 smart00382, AAA, ATPases associated with a variety of cellular activities</v>
      </c>
      <c r="BT63" s="79">
        <v>6.0000000000000002E-6</v>
      </c>
      <c r="BU63" s="75">
        <v>41.9</v>
      </c>
      <c r="BV63" s="75" t="s">
        <v>3147</v>
      </c>
      <c r="BW63" s="75" t="s">
        <v>2772</v>
      </c>
      <c r="BX63" s="78" t="str">
        <f>HYPERLINK(".\links\TSF\EEC02131.1-TSF.txt","30-75 30-75, Prolyl 4-hydroxylase alpha subunit||H|E")</f>
        <v>30-75 30-75, Prolyl 4-hydroxylase alpha subunit||H|E</v>
      </c>
      <c r="BY63" s="75">
        <v>5.2999999999999999E-2</v>
      </c>
      <c r="BZ63" s="75">
        <v>16.5</v>
      </c>
      <c r="CA63" s="75" t="s">
        <v>3160</v>
      </c>
      <c r="CB63" s="75" t="s">
        <v>3161</v>
      </c>
      <c r="CC63" s="75" t="s">
        <v>2772</v>
      </c>
      <c r="CD63" s="75" t="s">
        <v>2808</v>
      </c>
      <c r="CE63" s="75" t="s">
        <v>3162</v>
      </c>
      <c r="CF63" s="75">
        <f>HYPERLINK(".\links\cluster-b\Ixsc-cement-202225-50SimCLU17.txt", 17)</f>
        <v>17</v>
      </c>
      <c r="CG63" s="75">
        <f>HYPERLINK(".\links\cluster-b\Ixsc-cement-202225-50SimCLTL17.txt", 2)</f>
        <v>2</v>
      </c>
      <c r="CH63" s="75">
        <f>HYPERLINK(".\links\cluster-b\Ixsc-cement-202230-50SimCLU16.txt", 16)</f>
        <v>16</v>
      </c>
      <c r="CI63" s="75">
        <f>HYPERLINK(".\links\cluster-b\Ixsc-cement-202230-50SimCLTL16.txt", 2)</f>
        <v>2</v>
      </c>
      <c r="CJ63" s="75">
        <f>HYPERLINK(".\links\cluster-b\Ixsc-cement-202235-50SimCLU15.txt", 15)</f>
        <v>15</v>
      </c>
      <c r="CK63" s="75">
        <f>HYPERLINK(".\links\cluster-b\Ixsc-cement-202235-50SimCLTL15.txt", 2)</f>
        <v>2</v>
      </c>
      <c r="CL63" s="75">
        <f>HYPERLINK(".\links\cluster-b\Ixsc-cement-202240-50SimCLU16.txt", 16)</f>
        <v>16</v>
      </c>
      <c r="CM63" s="75">
        <f>HYPERLINK(".\links\cluster-b\Ixsc-cement-202240-50SimCLTL16.txt", 2)</f>
        <v>2</v>
      </c>
      <c r="CN63" s="75">
        <f>HYPERLINK(".\links\cluster-b\Ixsc-cement-202245-50SimCLU15.txt", 15)</f>
        <v>15</v>
      </c>
      <c r="CO63" s="75">
        <f>HYPERLINK(".\links\cluster-b\Ixsc-cement-202245-50SimCLTL15.txt", 2)</f>
        <v>2</v>
      </c>
      <c r="CP63" s="75">
        <f>HYPERLINK(".\links\cluster-b\Ixsc-cement-202250-50SimCLU15.txt", 15)</f>
        <v>15</v>
      </c>
      <c r="CQ63" s="75">
        <f>HYPERLINK(".\links\cluster-b\Ixsc-cement-202250-50SimCLTL15.txt", 2)</f>
        <v>2</v>
      </c>
      <c r="CR63" s="75">
        <f>HYPERLINK(".\links\cluster-b\Ixsc-cement-202255-50SimCLU16.txt", 16)</f>
        <v>16</v>
      </c>
      <c r="CS63" s="75">
        <f>HYPERLINK(".\links\cluster-b\Ixsc-cement-202255-50SimCLTL16.txt", 2)</f>
        <v>2</v>
      </c>
      <c r="CT63" s="75">
        <f>HYPERLINK(".\links\cluster-b\Ixsc-cement-202260-50SimCLU17.txt", 17)</f>
        <v>17</v>
      </c>
      <c r="CU63" s="75">
        <f>HYPERLINK(".\links\cluster-b\Ixsc-cement-202260-50SimCLTL17.txt", 2)</f>
        <v>2</v>
      </c>
      <c r="CV63" s="75">
        <f>HYPERLINK(".\links\cluster-b\Ixsc-cement-202265-50SimCLU15.txt", 15)</f>
        <v>15</v>
      </c>
      <c r="CW63" s="75">
        <f>HYPERLINK(".\links\cluster-b\Ixsc-cement-202265-50SimCLTL15.txt", 2)</f>
        <v>2</v>
      </c>
      <c r="CX63" s="75">
        <f>HYPERLINK(".\links\cluster-b\Ixsc-cement-202270-50SimCLU14.txt", 14)</f>
        <v>14</v>
      </c>
      <c r="CY63" s="75">
        <f>HYPERLINK(".\links\cluster-b\Ixsc-cement-202270-50SimCLTL14.txt", 2)</f>
        <v>2</v>
      </c>
      <c r="CZ63" s="75">
        <v>37</v>
      </c>
      <c r="DA63" s="75">
        <v>1</v>
      </c>
      <c r="DB63" s="75">
        <v>37</v>
      </c>
      <c r="DC63" s="75">
        <v>1</v>
      </c>
      <c r="DD63" s="75">
        <v>35</v>
      </c>
      <c r="DE63" s="75">
        <v>1</v>
      </c>
      <c r="DF63" s="75">
        <v>34</v>
      </c>
      <c r="DG63" s="75">
        <v>1</v>
      </c>
      <c r="DH63" s="75">
        <v>34</v>
      </c>
      <c r="DI63" s="75">
        <v>1</v>
      </c>
      <c r="DJ63" s="75" t="s">
        <v>224</v>
      </c>
      <c r="DK63" s="75" t="str">
        <f>HYPERLINK(".\links\AAM-CEMENT-2018\EEC02131.1-AAM-CEMENT-2018.txt","Extracted CDS")</f>
        <v>Extracted CDS</v>
      </c>
      <c r="DL63" s="75" t="str">
        <f>HYPERLINK("http://www.ncbi.nlm.nih.gov/sutils/blink.cgi?pid=Aam-532","9E-19")</f>
        <v>9E-19</v>
      </c>
      <c r="DM63" s="75" t="str">
        <f>HYPERLINK("http://www.ncbi.nlm.nih.gov/protein/Aam-532","Aam-532")</f>
        <v>Aam-532</v>
      </c>
      <c r="DN63" s="75">
        <v>81.599999999999994</v>
      </c>
      <c r="DO63" s="75">
        <v>285</v>
      </c>
      <c r="DP63" s="75">
        <v>555</v>
      </c>
      <c r="DQ63" s="75">
        <v>24</v>
      </c>
      <c r="DR63" s="75">
        <v>42</v>
      </c>
      <c r="DS63" s="75">
        <v>51</v>
      </c>
      <c r="DT63" s="75">
        <v>216</v>
      </c>
      <c r="DU63" s="75">
        <v>20</v>
      </c>
      <c r="DV63" s="75">
        <v>136</v>
      </c>
      <c r="DW63" s="75">
        <v>75</v>
      </c>
      <c r="DX63" s="75">
        <v>1</v>
      </c>
      <c r="DY63" s="75" t="s">
        <v>2775</v>
      </c>
      <c r="DZ63" s="75" t="str">
        <f>HYPERLINK(".\links\CDD\EEC02131.1-CDD.txt","PRK09280 F0F1 ATP synthase subunit beta")</f>
        <v>PRK09280 F0F1 ATP synthase subunit beta</v>
      </c>
      <c r="EA63" s="75">
        <v>0</v>
      </c>
      <c r="EB63" s="75">
        <v>101.9</v>
      </c>
      <c r="EC63" s="75" t="s">
        <v>3143</v>
      </c>
      <c r="ED63" s="75" t="s">
        <v>3144</v>
      </c>
      <c r="EE63" s="75" t="str">
        <f>HYPERLINK(".\links\KOG\EEC02131.1-KOG.txt","CDD:223133 COG0055, AtpD, F0F1-type ATP synthase, beta subunit")</f>
        <v>CDD:223133 COG0055, AtpD, F0F1-type ATP synthase, beta subunit</v>
      </c>
      <c r="EF63" s="75">
        <v>0</v>
      </c>
      <c r="EG63" s="75">
        <v>101.3</v>
      </c>
      <c r="EH63" s="75" t="s">
        <v>3145</v>
      </c>
      <c r="EI63" s="75" t="s">
        <v>2779</v>
      </c>
      <c r="EJ63" s="75" t="str">
        <f>HYPERLINK(".\links\PFAM\EEC02131.1-PFAM.txt","ATP-synt_ab ATP synthase alpha/beta family nucleotide-binding domain")</f>
        <v>ATP-synt_ab ATP synthase alpha/beta family nucleotide-binding domain</v>
      </c>
      <c r="EK63" s="79">
        <v>6.0000000000000003E-93</v>
      </c>
      <c r="EL63" s="75">
        <v>105.2</v>
      </c>
      <c r="EM63" s="75" t="s">
        <v>3146</v>
      </c>
      <c r="EN63" s="75" t="s">
        <v>2772</v>
      </c>
      <c r="EO63" s="75" t="str">
        <f>HYPERLINK(".\links\SMART\EEC02131.1-SMART.txt","CDD:214640 smart00382, AAA, ATPases associated with a variety of cellular activities")</f>
        <v>CDD:214640 smart00382, AAA, ATPases associated with a variety of cellular activities</v>
      </c>
      <c r="EP63" s="79">
        <v>6.0000000000000002E-6</v>
      </c>
      <c r="EQ63" s="75">
        <v>41.9</v>
      </c>
      <c r="ER63" s="75" t="s">
        <v>3147</v>
      </c>
      <c r="ES63" s="75" t="s">
        <v>2772</v>
      </c>
      <c r="ET63" s="75" t="str">
        <f>HYPERLINK(".\links\TSF\EEC02131.1-TSF.txt","30-75 30-75, Prolyl 4-hydroxylase alpha subunit||H|E")</f>
        <v>30-75 30-75, Prolyl 4-hydroxylase alpha subunit||H|E</v>
      </c>
      <c r="EU63" s="75">
        <v>5.2999999999999999E-2</v>
      </c>
      <c r="EV63" s="75">
        <v>16.5</v>
      </c>
      <c r="EW63" s="75" t="s">
        <v>3160</v>
      </c>
      <c r="EX63" s="75" t="s">
        <v>3161</v>
      </c>
      <c r="EY63" s="75" t="s">
        <v>2772</v>
      </c>
      <c r="EZ63" s="75" t="s">
        <v>2808</v>
      </c>
      <c r="FA63" s="75" t="s">
        <v>3162</v>
      </c>
    </row>
    <row r="64" spans="1:157" x14ac:dyDescent="0.2">
      <c r="A64" s="75" t="str">
        <f>HYPERLINK(".\links\PEP\EEC15718.1-PEP.txt","EEC15718.1")</f>
        <v>EEC15718.1</v>
      </c>
      <c r="B64" s="75" t="s">
        <v>2768</v>
      </c>
      <c r="C64" s="75">
        <v>70</v>
      </c>
      <c r="D64" s="75" t="s">
        <v>2871</v>
      </c>
      <c r="E64" s="76" t="s">
        <v>3163</v>
      </c>
      <c r="F64" s="75" t="s">
        <v>2771</v>
      </c>
      <c r="G64" s="75" t="str">
        <f>HYPERLINK(".\links\Sigp\EEC15718.1-SigP.txt","SIG")</f>
        <v>SIG</v>
      </c>
      <c r="H64" s="75" t="s">
        <v>3164</v>
      </c>
      <c r="I64" s="75">
        <v>6.9710000000000001</v>
      </c>
      <c r="J64" s="75">
        <v>9.64</v>
      </c>
      <c r="K64" s="75">
        <v>4.6950000000000003</v>
      </c>
      <c r="L64" s="75">
        <v>9.82</v>
      </c>
      <c r="M64" s="75" t="str">
        <f>HYPERLINK(".\links\netoglyc\EEC15718.1-netoglyc.txt","0")</f>
        <v>0</v>
      </c>
      <c r="N64" s="75" t="s">
        <v>3165</v>
      </c>
      <c r="O64" s="75">
        <v>70</v>
      </c>
      <c r="P64" s="75" t="str">
        <f>HYPERLINK(".\links\tmhmm\EEC15718.1-tmhmm.txt","1")</f>
        <v>1</v>
      </c>
      <c r="Q64" s="75">
        <v>31.4</v>
      </c>
      <c r="R64" s="75">
        <v>58.6</v>
      </c>
      <c r="S64" s="75">
        <v>10</v>
      </c>
      <c r="T64" s="75" t="s">
        <v>2772</v>
      </c>
      <c r="U64" s="75">
        <v>41</v>
      </c>
      <c r="V64" s="75" t="s">
        <v>2772</v>
      </c>
      <c r="W64" s="75">
        <v>4.2</v>
      </c>
      <c r="X64" s="75">
        <v>37.5</v>
      </c>
      <c r="Y64" s="75" t="s">
        <v>3166</v>
      </c>
      <c r="Z64" s="75">
        <v>25</v>
      </c>
      <c r="AA64" s="77">
        <v>38.571428571428598</v>
      </c>
      <c r="AB64" s="75">
        <v>0.96</v>
      </c>
      <c r="AC64" s="75" t="s">
        <v>3167</v>
      </c>
      <c r="AD64" s="75">
        <v>2</v>
      </c>
      <c r="AE64" s="75" t="s">
        <v>2772</v>
      </c>
      <c r="AF64" s="75" t="s">
        <v>2772</v>
      </c>
      <c r="AG64" s="75" t="s">
        <v>2772</v>
      </c>
      <c r="AH64" s="75" t="s">
        <v>2772</v>
      </c>
      <c r="AI64" s="75" t="s">
        <v>2772</v>
      </c>
      <c r="AJ64" s="75" t="s">
        <v>2772</v>
      </c>
      <c r="AK64" s="75" t="s">
        <v>2772</v>
      </c>
      <c r="AL64" s="75" t="s">
        <v>2772</v>
      </c>
      <c r="AM64" s="75" t="s">
        <v>2772</v>
      </c>
      <c r="AN64" s="75" t="s">
        <v>2772</v>
      </c>
      <c r="AO64" s="78" t="str">
        <f>HYPERLINK(".\links\AAM-CEMENT-2018\EEC15718.1-AAM-CEMENT-2018.txt","Extracted CDS")</f>
        <v>Extracted CDS</v>
      </c>
      <c r="AP64" s="75" t="str">
        <f>HYPERLINK("http://www.ncbi.nlm.nih.gov/sutils/blink.cgi?pid=Aam-592","0.59")</f>
        <v>0.59</v>
      </c>
      <c r="AQ64" s="75" t="str">
        <f>HYPERLINK("http://www.ncbi.nlm.nih.gov/protein/Aam-592","Aam-592")</f>
        <v>Aam-592</v>
      </c>
      <c r="AR64" s="75">
        <v>21.2</v>
      </c>
      <c r="AS64" s="75">
        <v>11</v>
      </c>
      <c r="AT64" s="75">
        <v>747</v>
      </c>
      <c r="AU64" s="75">
        <v>81</v>
      </c>
      <c r="AV64" s="75">
        <v>81</v>
      </c>
      <c r="AW64" s="75">
        <v>1</v>
      </c>
      <c r="AX64" s="75">
        <v>2</v>
      </c>
      <c r="AY64" s="75">
        <v>0</v>
      </c>
      <c r="AZ64" s="75">
        <v>346</v>
      </c>
      <c r="BA64" s="75">
        <v>14</v>
      </c>
      <c r="BB64" s="75">
        <v>1</v>
      </c>
      <c r="BC64" s="75" t="s">
        <v>2775</v>
      </c>
      <c r="BD64" s="78" t="s">
        <v>2772</v>
      </c>
      <c r="BE64" s="75" t="s">
        <v>2772</v>
      </c>
      <c r="BF64" s="75" t="s">
        <v>2772</v>
      </c>
      <c r="BG64" s="75" t="s">
        <v>2772</v>
      </c>
      <c r="BH64" s="75" t="s">
        <v>2772</v>
      </c>
      <c r="BI64" s="75" t="s">
        <v>2772</v>
      </c>
      <c r="BJ64" s="75" t="s">
        <v>2772</v>
      </c>
      <c r="BK64" s="75" t="s">
        <v>2772</v>
      </c>
      <c r="BL64" s="75" t="s">
        <v>2772</v>
      </c>
      <c r="BM64" s="75" t="s">
        <v>2772</v>
      </c>
      <c r="BN64" s="78" t="s">
        <v>2772</v>
      </c>
      <c r="BO64" s="75" t="s">
        <v>2772</v>
      </c>
      <c r="BP64" s="75" t="s">
        <v>2772</v>
      </c>
      <c r="BQ64" s="75" t="s">
        <v>2772</v>
      </c>
      <c r="BR64" s="75" t="s">
        <v>2772</v>
      </c>
      <c r="BS64" s="78" t="str">
        <f>HYPERLINK(".\links\SMART\EEC15718.1-SMART.txt","CDD:214857 smart00853, MutL_C, MutL C terminal dimerisation domain")</f>
        <v>CDD:214857 smart00853, MutL_C, MutL C terminal dimerisation domain</v>
      </c>
      <c r="BT64" s="75">
        <v>72</v>
      </c>
      <c r="BU64" s="75">
        <v>4.3</v>
      </c>
      <c r="BV64" s="75" t="s">
        <v>3168</v>
      </c>
      <c r="BW64" s="75" t="s">
        <v>2772</v>
      </c>
      <c r="BX64" s="78" t="s">
        <v>2772</v>
      </c>
      <c r="BY64" s="75" t="s">
        <v>2772</v>
      </c>
      <c r="BZ64" s="75" t="s">
        <v>2772</v>
      </c>
      <c r="CA64" s="75" t="s">
        <v>2772</v>
      </c>
      <c r="CB64" s="75" t="s">
        <v>2772</v>
      </c>
      <c r="CC64" s="75" t="s">
        <v>2772</v>
      </c>
      <c r="CD64" s="75" t="s">
        <v>2772</v>
      </c>
      <c r="CE64" s="75" t="s">
        <v>2772</v>
      </c>
      <c r="CF64" s="75">
        <f>HYPERLINK(".\links\cluster-b\Ixsc-cement-202225-50SimCLU12.txt", 12)</f>
        <v>12</v>
      </c>
      <c r="CG64" s="75">
        <f>HYPERLINK(".\links\cluster-b\Ixsc-cement-202225-50SimCLTL12.txt", 3)</f>
        <v>3</v>
      </c>
      <c r="CH64" s="75">
        <f>HYPERLINK(".\links\cluster-b\Ixsc-cement-202230-50SimCLU11.txt", 11)</f>
        <v>11</v>
      </c>
      <c r="CI64" s="75">
        <f>HYPERLINK(".\links\cluster-b\Ixsc-cement-202230-50SimCLTL11.txt", 3)</f>
        <v>3</v>
      </c>
      <c r="CJ64" s="75">
        <f>HYPERLINK(".\links\cluster-b\Ixsc-cement-202235-50SimCLU10.txt", 10)</f>
        <v>10</v>
      </c>
      <c r="CK64" s="75">
        <f>HYPERLINK(".\links\cluster-b\Ixsc-cement-202235-50SimCLTL10.txt", 3)</f>
        <v>3</v>
      </c>
      <c r="CL64" s="75">
        <f>HYPERLINK(".\links\cluster-b\Ixsc-cement-202240-50SimCLU11.txt", 11)</f>
        <v>11</v>
      </c>
      <c r="CM64" s="75">
        <f>HYPERLINK(".\links\cluster-b\Ixsc-cement-202240-50SimCLTL11.txt", 3)</f>
        <v>3</v>
      </c>
      <c r="CN64" s="75">
        <f>HYPERLINK(".\links\cluster-b\Ixsc-cement-202245-50SimCLU11.txt", 11)</f>
        <v>11</v>
      </c>
      <c r="CO64" s="75">
        <f>HYPERLINK(".\links\cluster-b\Ixsc-cement-202245-50SimCLTL11.txt", 3)</f>
        <v>3</v>
      </c>
      <c r="CP64" s="75">
        <f>HYPERLINK(".\links\cluster-b\Ixsc-cement-202250-50SimCLU10.txt", 10)</f>
        <v>10</v>
      </c>
      <c r="CQ64" s="75">
        <f>HYPERLINK(".\links\cluster-b\Ixsc-cement-202250-50SimCLTL10.txt", 3)</f>
        <v>3</v>
      </c>
      <c r="CR64" s="75">
        <f>HYPERLINK(".\links\cluster-b\Ixsc-cement-202255-50SimCLU9.txt", 9)</f>
        <v>9</v>
      </c>
      <c r="CS64" s="75">
        <f>HYPERLINK(".\links\cluster-b\Ixsc-cement-202255-50SimCLTL9.txt", 3)</f>
        <v>3</v>
      </c>
      <c r="CT64" s="75">
        <f>HYPERLINK(".\links\cluster-b\Ixsc-cement-202260-50SimCLU8.txt", 8)</f>
        <v>8</v>
      </c>
      <c r="CU64" s="75">
        <f>HYPERLINK(".\links\cluster-b\Ixsc-cement-202260-50SimCLTL8.txt", 3)</f>
        <v>3</v>
      </c>
      <c r="CV64" s="75">
        <f>HYPERLINK(".\links\cluster-b\Ixsc-cement-202265-50SimCLU8.txt", 8)</f>
        <v>8</v>
      </c>
      <c r="CW64" s="75">
        <f>HYPERLINK(".\links\cluster-b\Ixsc-cement-202265-50SimCLTL8.txt", 3)</f>
        <v>3</v>
      </c>
      <c r="CX64" s="75">
        <f>HYPERLINK(".\links\cluster-b\Ixsc-cement-202270-50SimCLU7.txt", 7)</f>
        <v>7</v>
      </c>
      <c r="CY64" s="75">
        <f>HYPERLINK(".\links\cluster-b\Ixsc-cement-202270-50SimCLTL7.txt", 3)</f>
        <v>3</v>
      </c>
      <c r="CZ64" s="75">
        <f>HYPERLINK(".\links\cluster-b\Ixsc-cement-202275-50SimCLU7.txt", 7)</f>
        <v>7</v>
      </c>
      <c r="DA64" s="75">
        <f>HYPERLINK(".\links\cluster-b\Ixsc-cement-202275-50SimCLTL7.txt", 3)</f>
        <v>3</v>
      </c>
      <c r="DB64" s="75">
        <f>HYPERLINK(".\links\cluster-b\Ixsc-cement-202280-50SimCLU7.txt", 7)</f>
        <v>7</v>
      </c>
      <c r="DC64" s="75">
        <f>HYPERLINK(".\links\cluster-b\Ixsc-cement-202280-50SimCLTL7.txt", 3)</f>
        <v>3</v>
      </c>
      <c r="DD64" s="75">
        <f>HYPERLINK(".\links\cluster-b\Ixsc-cement-202285-50SimCLU5.txt", 5)</f>
        <v>5</v>
      </c>
      <c r="DE64" s="75">
        <f>HYPERLINK(".\links\cluster-b\Ixsc-cement-202285-50SimCLTL5.txt", 3)</f>
        <v>3</v>
      </c>
      <c r="DF64" s="75">
        <f>HYPERLINK(".\links\cluster-b\Ixsc-cement-202290-50SimCLU5.txt", 5)</f>
        <v>5</v>
      </c>
      <c r="DG64" s="75">
        <f>HYPERLINK(".\links\cluster-b\Ixsc-cement-202290-50SimCLTL5.txt", 3)</f>
        <v>3</v>
      </c>
      <c r="DH64" s="75">
        <f>HYPERLINK(".\links\cluster-b\Ixsc-cement-202295-50SimCLU5.txt", 5)</f>
        <v>5</v>
      </c>
      <c r="DI64" s="75">
        <f>HYPERLINK(".\links\cluster-b\Ixsc-cement-202295-50SimCLTL5.txt", 3)</f>
        <v>3</v>
      </c>
      <c r="DJ64" s="75" t="s">
        <v>155</v>
      </c>
      <c r="DK64" s="75" t="str">
        <f>HYPERLINK(".\links\AAM-CEMENT-2018\EEC15718.1-AAM-CEMENT-2018.txt","Extracted CDS")</f>
        <v>Extracted CDS</v>
      </c>
      <c r="DL64" s="75" t="str">
        <f>HYPERLINK("http://www.ncbi.nlm.nih.gov/sutils/blink.cgi?pid=Aam-592","0.59")</f>
        <v>0.59</v>
      </c>
      <c r="DM64" s="75" t="str">
        <f>HYPERLINK("http://www.ncbi.nlm.nih.gov/protein/Aam-592","Aam-592")</f>
        <v>Aam-592</v>
      </c>
      <c r="DN64" s="75">
        <v>21.2</v>
      </c>
      <c r="DO64" s="75">
        <v>11</v>
      </c>
      <c r="DP64" s="75">
        <v>747</v>
      </c>
      <c r="DQ64" s="75">
        <v>81</v>
      </c>
      <c r="DR64" s="75">
        <v>81</v>
      </c>
      <c r="DS64" s="75">
        <v>1</v>
      </c>
      <c r="DT64" s="75">
        <v>2</v>
      </c>
      <c r="DU64" s="75">
        <v>0</v>
      </c>
      <c r="DV64" s="75">
        <v>346</v>
      </c>
      <c r="DW64" s="75">
        <v>14</v>
      </c>
      <c r="DX64" s="75">
        <v>1</v>
      </c>
      <c r="DY64" s="75" t="s">
        <v>2775</v>
      </c>
      <c r="DZ64" s="75" t="s">
        <v>2772</v>
      </c>
      <c r="EA64" s="75" t="s">
        <v>2772</v>
      </c>
      <c r="EB64" s="75" t="s">
        <v>2772</v>
      </c>
      <c r="EC64" s="75" t="s">
        <v>2772</v>
      </c>
      <c r="ED64" s="75" t="s">
        <v>2772</v>
      </c>
      <c r="EE64" s="75" t="s">
        <v>2772</v>
      </c>
      <c r="EF64" s="75" t="s">
        <v>2772</v>
      </c>
      <c r="EG64" s="75" t="s">
        <v>2772</v>
      </c>
      <c r="EH64" s="75" t="s">
        <v>2772</v>
      </c>
      <c r="EI64" s="75" t="s">
        <v>2772</v>
      </c>
      <c r="EJ64" s="75" t="s">
        <v>2772</v>
      </c>
      <c r="EK64" s="75" t="s">
        <v>2772</v>
      </c>
      <c r="EL64" s="75" t="s">
        <v>2772</v>
      </c>
      <c r="EM64" s="75" t="s">
        <v>2772</v>
      </c>
      <c r="EN64" s="75" t="s">
        <v>2772</v>
      </c>
      <c r="EO64" s="75" t="str">
        <f>HYPERLINK(".\links\SMART\EEC15718.1-SMART.txt","CDD:214857 smart00853, MutL_C, MutL C terminal dimerisation domain")</f>
        <v>CDD:214857 smart00853, MutL_C, MutL C terminal dimerisation domain</v>
      </c>
      <c r="EP64" s="75">
        <v>72</v>
      </c>
      <c r="EQ64" s="75">
        <v>4.3</v>
      </c>
      <c r="ER64" s="75" t="s">
        <v>3168</v>
      </c>
      <c r="ES64" s="75" t="s">
        <v>2772</v>
      </c>
      <c r="ET64" s="75" t="s">
        <v>2772</v>
      </c>
      <c r="EU64" s="75" t="s">
        <v>2772</v>
      </c>
      <c r="EV64" s="75" t="s">
        <v>2772</v>
      </c>
      <c r="EW64" s="75" t="s">
        <v>2772</v>
      </c>
      <c r="EX64" s="75" t="s">
        <v>2772</v>
      </c>
      <c r="EY64" s="75" t="s">
        <v>2772</v>
      </c>
      <c r="EZ64" s="75" t="s">
        <v>2772</v>
      </c>
      <c r="FA64" s="75" t="s">
        <v>2772</v>
      </c>
    </row>
    <row r="65" spans="1:157" x14ac:dyDescent="0.2">
      <c r="A65" s="75" t="str">
        <f>HYPERLINK(".\links\PEP\EEC15723.1-PEP.txt","EEC15723.1")</f>
        <v>EEC15723.1</v>
      </c>
      <c r="B65" s="75" t="s">
        <v>2768</v>
      </c>
      <c r="C65" s="75">
        <v>71</v>
      </c>
      <c r="D65" s="75" t="s">
        <v>3169</v>
      </c>
      <c r="E65" s="76" t="s">
        <v>3163</v>
      </c>
      <c r="F65" s="75" t="s">
        <v>2771</v>
      </c>
      <c r="G65" s="75" t="str">
        <f>HYPERLINK(".\links\Sigp\EEC15723.1-SigP.txt","SIG")</f>
        <v>SIG</v>
      </c>
      <c r="H65" s="75" t="s">
        <v>3164</v>
      </c>
      <c r="I65" s="75">
        <v>7.165</v>
      </c>
      <c r="J65" s="75">
        <v>9.59</v>
      </c>
      <c r="K65" s="75">
        <v>4.8579999999999997</v>
      </c>
      <c r="L65" s="75">
        <v>9.75</v>
      </c>
      <c r="M65" s="75" t="str">
        <f>HYPERLINK(".\links\netoglyc\EEC15723.1-netoglyc.txt","0")</f>
        <v>0</v>
      </c>
      <c r="N65" s="75" t="s">
        <v>3170</v>
      </c>
      <c r="O65" s="75">
        <v>71</v>
      </c>
      <c r="P65" s="75" t="str">
        <f>HYPERLINK(".\links\tmhmm\EEC15723.1-tmhmm.txt","1")</f>
        <v>1</v>
      </c>
      <c r="Q65" s="75">
        <v>31</v>
      </c>
      <c r="R65" s="75">
        <v>59.2</v>
      </c>
      <c r="S65" s="75">
        <v>9.9</v>
      </c>
      <c r="T65" s="75" t="s">
        <v>2772</v>
      </c>
      <c r="U65" s="75">
        <v>42</v>
      </c>
      <c r="V65" s="75" t="s">
        <v>2772</v>
      </c>
      <c r="W65" s="75">
        <v>4.0999999999999996</v>
      </c>
      <c r="X65" s="75">
        <v>36.5</v>
      </c>
      <c r="Y65" s="75" t="s">
        <v>3166</v>
      </c>
      <c r="Z65" s="75">
        <v>28.4</v>
      </c>
      <c r="AA65" s="77">
        <v>38.028169014084497</v>
      </c>
      <c r="AB65" s="75">
        <v>0.99</v>
      </c>
      <c r="AC65" s="75" t="s">
        <v>3171</v>
      </c>
      <c r="AD65" s="75">
        <v>2</v>
      </c>
      <c r="AE65" s="75" t="s">
        <v>2772</v>
      </c>
      <c r="AF65" s="75" t="s">
        <v>2772</v>
      </c>
      <c r="AG65" s="75" t="s">
        <v>2772</v>
      </c>
      <c r="AH65" s="75" t="s">
        <v>2772</v>
      </c>
      <c r="AI65" s="75" t="s">
        <v>2772</v>
      </c>
      <c r="AJ65" s="75" t="s">
        <v>2772</v>
      </c>
      <c r="AK65" s="75" t="s">
        <v>2772</v>
      </c>
      <c r="AL65" s="75" t="s">
        <v>2772</v>
      </c>
      <c r="AM65" s="75" t="s">
        <v>2772</v>
      </c>
      <c r="AN65" s="75" t="s">
        <v>2772</v>
      </c>
      <c r="AO65" s="78" t="str">
        <f>HYPERLINK(".\links\AAM-CEMENT-2018\EEC15723.1-AAM-CEMENT-2018.txt","Extracted CDS")</f>
        <v>Extracted CDS</v>
      </c>
      <c r="AP65" s="75" t="str">
        <f>HYPERLINK("http://www.ncbi.nlm.nih.gov/sutils/blink.cgi?pid=Aam-592","0.58")</f>
        <v>0.58</v>
      </c>
      <c r="AQ65" s="75" t="str">
        <f>HYPERLINK("http://www.ncbi.nlm.nih.gov/protein/Aam-592","Aam-592")</f>
        <v>Aam-592</v>
      </c>
      <c r="AR65" s="75">
        <v>21.2</v>
      </c>
      <c r="AS65" s="75">
        <v>11</v>
      </c>
      <c r="AT65" s="75">
        <v>747</v>
      </c>
      <c r="AU65" s="75">
        <v>81</v>
      </c>
      <c r="AV65" s="75">
        <v>81</v>
      </c>
      <c r="AW65" s="75">
        <v>1</v>
      </c>
      <c r="AX65" s="75">
        <v>2</v>
      </c>
      <c r="AY65" s="75">
        <v>0</v>
      </c>
      <c r="AZ65" s="75">
        <v>346</v>
      </c>
      <c r="BA65" s="75">
        <v>14</v>
      </c>
      <c r="BB65" s="75">
        <v>1</v>
      </c>
      <c r="BC65" s="75" t="s">
        <v>2775</v>
      </c>
      <c r="BD65" s="78" t="s">
        <v>2772</v>
      </c>
      <c r="BE65" s="75" t="s">
        <v>2772</v>
      </c>
      <c r="BF65" s="75" t="s">
        <v>2772</v>
      </c>
      <c r="BG65" s="75" t="s">
        <v>2772</v>
      </c>
      <c r="BH65" s="75" t="s">
        <v>2772</v>
      </c>
      <c r="BI65" s="75" t="s">
        <v>2772</v>
      </c>
      <c r="BJ65" s="75" t="s">
        <v>2772</v>
      </c>
      <c r="BK65" s="75" t="s">
        <v>2772</v>
      </c>
      <c r="BL65" s="75" t="s">
        <v>2772</v>
      </c>
      <c r="BM65" s="75" t="s">
        <v>2772</v>
      </c>
      <c r="BN65" s="78" t="s">
        <v>2772</v>
      </c>
      <c r="BO65" s="75" t="s">
        <v>2772</v>
      </c>
      <c r="BP65" s="75" t="s">
        <v>2772</v>
      </c>
      <c r="BQ65" s="75" t="s">
        <v>2772</v>
      </c>
      <c r="BR65" s="75" t="s">
        <v>2772</v>
      </c>
      <c r="BS65" s="78" t="str">
        <f>HYPERLINK(".\links\SMART\EEC15723.1-SMART.txt","CDD:214857 smart00853, MutL_C, MutL C terminal dimerisation domain")</f>
        <v>CDD:214857 smart00853, MutL_C, MutL C terminal dimerisation domain</v>
      </c>
      <c r="BT65" s="75">
        <v>73</v>
      </c>
      <c r="BU65" s="75">
        <v>4.3</v>
      </c>
      <c r="BV65" s="75" t="s">
        <v>3168</v>
      </c>
      <c r="BW65" s="75" t="s">
        <v>2772</v>
      </c>
      <c r="BX65" s="78" t="s">
        <v>2772</v>
      </c>
      <c r="BY65" s="75" t="s">
        <v>2772</v>
      </c>
      <c r="BZ65" s="75" t="s">
        <v>2772</v>
      </c>
      <c r="CA65" s="75" t="s">
        <v>2772</v>
      </c>
      <c r="CB65" s="75" t="s">
        <v>2772</v>
      </c>
      <c r="CC65" s="75" t="s">
        <v>2772</v>
      </c>
      <c r="CD65" s="75" t="s">
        <v>2772</v>
      </c>
      <c r="CE65" s="75" t="s">
        <v>2772</v>
      </c>
      <c r="CF65" s="75">
        <f>HYPERLINK(".\links\cluster-b\Ixsc-cement-202225-50SimCLU12.txt", 12)</f>
        <v>12</v>
      </c>
      <c r="CG65" s="75">
        <f>HYPERLINK(".\links\cluster-b\Ixsc-cement-202225-50SimCLTL12.txt", 3)</f>
        <v>3</v>
      </c>
      <c r="CH65" s="75">
        <f>HYPERLINK(".\links\cluster-b\Ixsc-cement-202230-50SimCLU11.txt", 11)</f>
        <v>11</v>
      </c>
      <c r="CI65" s="75">
        <f>HYPERLINK(".\links\cluster-b\Ixsc-cement-202230-50SimCLTL11.txt", 3)</f>
        <v>3</v>
      </c>
      <c r="CJ65" s="75">
        <f>HYPERLINK(".\links\cluster-b\Ixsc-cement-202235-50SimCLU10.txt", 10)</f>
        <v>10</v>
      </c>
      <c r="CK65" s="75">
        <f>HYPERLINK(".\links\cluster-b\Ixsc-cement-202235-50SimCLTL10.txt", 3)</f>
        <v>3</v>
      </c>
      <c r="CL65" s="75">
        <f>HYPERLINK(".\links\cluster-b\Ixsc-cement-202240-50SimCLU11.txt", 11)</f>
        <v>11</v>
      </c>
      <c r="CM65" s="75">
        <f>HYPERLINK(".\links\cluster-b\Ixsc-cement-202240-50SimCLTL11.txt", 3)</f>
        <v>3</v>
      </c>
      <c r="CN65" s="75">
        <f>HYPERLINK(".\links\cluster-b\Ixsc-cement-202245-50SimCLU11.txt", 11)</f>
        <v>11</v>
      </c>
      <c r="CO65" s="75">
        <f>HYPERLINK(".\links\cluster-b\Ixsc-cement-202245-50SimCLTL11.txt", 3)</f>
        <v>3</v>
      </c>
      <c r="CP65" s="75">
        <f>HYPERLINK(".\links\cluster-b\Ixsc-cement-202250-50SimCLU10.txt", 10)</f>
        <v>10</v>
      </c>
      <c r="CQ65" s="75">
        <f>HYPERLINK(".\links\cluster-b\Ixsc-cement-202250-50SimCLTL10.txt", 3)</f>
        <v>3</v>
      </c>
      <c r="CR65" s="75">
        <f>HYPERLINK(".\links\cluster-b\Ixsc-cement-202255-50SimCLU9.txt", 9)</f>
        <v>9</v>
      </c>
      <c r="CS65" s="75">
        <f>HYPERLINK(".\links\cluster-b\Ixsc-cement-202255-50SimCLTL9.txt", 3)</f>
        <v>3</v>
      </c>
      <c r="CT65" s="75">
        <f>HYPERLINK(".\links\cluster-b\Ixsc-cement-202260-50SimCLU8.txt", 8)</f>
        <v>8</v>
      </c>
      <c r="CU65" s="75">
        <f>HYPERLINK(".\links\cluster-b\Ixsc-cement-202260-50SimCLTL8.txt", 3)</f>
        <v>3</v>
      </c>
      <c r="CV65" s="75">
        <f>HYPERLINK(".\links\cluster-b\Ixsc-cement-202265-50SimCLU8.txt", 8)</f>
        <v>8</v>
      </c>
      <c r="CW65" s="75">
        <f>HYPERLINK(".\links\cluster-b\Ixsc-cement-202265-50SimCLTL8.txt", 3)</f>
        <v>3</v>
      </c>
      <c r="CX65" s="75">
        <f>HYPERLINK(".\links\cluster-b\Ixsc-cement-202270-50SimCLU7.txt", 7)</f>
        <v>7</v>
      </c>
      <c r="CY65" s="75">
        <f>HYPERLINK(".\links\cluster-b\Ixsc-cement-202270-50SimCLTL7.txt", 3)</f>
        <v>3</v>
      </c>
      <c r="CZ65" s="75">
        <f>HYPERLINK(".\links\cluster-b\Ixsc-cement-202275-50SimCLU7.txt", 7)</f>
        <v>7</v>
      </c>
      <c r="DA65" s="75">
        <f>HYPERLINK(".\links\cluster-b\Ixsc-cement-202275-50SimCLTL7.txt", 3)</f>
        <v>3</v>
      </c>
      <c r="DB65" s="75">
        <f>HYPERLINK(".\links\cluster-b\Ixsc-cement-202280-50SimCLU7.txt", 7)</f>
        <v>7</v>
      </c>
      <c r="DC65" s="75">
        <f>HYPERLINK(".\links\cluster-b\Ixsc-cement-202280-50SimCLTL7.txt", 3)</f>
        <v>3</v>
      </c>
      <c r="DD65" s="75">
        <f>HYPERLINK(".\links\cluster-b\Ixsc-cement-202285-50SimCLU5.txt", 5)</f>
        <v>5</v>
      </c>
      <c r="DE65" s="75">
        <f>HYPERLINK(".\links\cluster-b\Ixsc-cement-202285-50SimCLTL5.txt", 3)</f>
        <v>3</v>
      </c>
      <c r="DF65" s="75">
        <f>HYPERLINK(".\links\cluster-b\Ixsc-cement-202290-50SimCLU5.txt", 5)</f>
        <v>5</v>
      </c>
      <c r="DG65" s="75">
        <f>HYPERLINK(".\links\cluster-b\Ixsc-cement-202290-50SimCLTL5.txt", 3)</f>
        <v>3</v>
      </c>
      <c r="DH65" s="75">
        <f>HYPERLINK(".\links\cluster-b\Ixsc-cement-202295-50SimCLU5.txt", 5)</f>
        <v>5</v>
      </c>
      <c r="DI65" s="75">
        <f>HYPERLINK(".\links\cluster-b\Ixsc-cement-202295-50SimCLTL5.txt", 3)</f>
        <v>3</v>
      </c>
      <c r="DJ65" s="75" t="s">
        <v>157</v>
      </c>
      <c r="DK65" s="75" t="str">
        <f>HYPERLINK(".\links\AAM-CEMENT-2018\EEC15723.1-AAM-CEMENT-2018.txt","Extracted CDS")</f>
        <v>Extracted CDS</v>
      </c>
      <c r="DL65" s="75" t="str">
        <f>HYPERLINK("http://www.ncbi.nlm.nih.gov/sutils/blink.cgi?pid=Aam-592","0.58")</f>
        <v>0.58</v>
      </c>
      <c r="DM65" s="75" t="str">
        <f>HYPERLINK("http://www.ncbi.nlm.nih.gov/protein/Aam-592","Aam-592")</f>
        <v>Aam-592</v>
      </c>
      <c r="DN65" s="75">
        <v>21.2</v>
      </c>
      <c r="DO65" s="75">
        <v>11</v>
      </c>
      <c r="DP65" s="75">
        <v>747</v>
      </c>
      <c r="DQ65" s="75">
        <v>81</v>
      </c>
      <c r="DR65" s="75">
        <v>81</v>
      </c>
      <c r="DS65" s="75">
        <v>1</v>
      </c>
      <c r="DT65" s="75">
        <v>2</v>
      </c>
      <c r="DU65" s="75">
        <v>0</v>
      </c>
      <c r="DV65" s="75">
        <v>346</v>
      </c>
      <c r="DW65" s="75">
        <v>14</v>
      </c>
      <c r="DX65" s="75">
        <v>1</v>
      </c>
      <c r="DY65" s="75" t="s">
        <v>2775</v>
      </c>
      <c r="DZ65" s="75" t="s">
        <v>2772</v>
      </c>
      <c r="EA65" s="75" t="s">
        <v>2772</v>
      </c>
      <c r="EB65" s="75" t="s">
        <v>2772</v>
      </c>
      <c r="EC65" s="75" t="s">
        <v>2772</v>
      </c>
      <c r="ED65" s="75" t="s">
        <v>2772</v>
      </c>
      <c r="EE65" s="75" t="s">
        <v>2772</v>
      </c>
      <c r="EF65" s="75" t="s">
        <v>2772</v>
      </c>
      <c r="EG65" s="75" t="s">
        <v>2772</v>
      </c>
      <c r="EH65" s="75" t="s">
        <v>2772</v>
      </c>
      <c r="EI65" s="75" t="s">
        <v>2772</v>
      </c>
      <c r="EJ65" s="75" t="s">
        <v>2772</v>
      </c>
      <c r="EK65" s="75" t="s">
        <v>2772</v>
      </c>
      <c r="EL65" s="75" t="s">
        <v>2772</v>
      </c>
      <c r="EM65" s="75" t="s">
        <v>2772</v>
      </c>
      <c r="EN65" s="75" t="s">
        <v>2772</v>
      </c>
      <c r="EO65" s="75" t="str">
        <f>HYPERLINK(".\links\SMART\EEC15723.1-SMART.txt","CDD:214857 smart00853, MutL_C, MutL C terminal dimerisation domain")</f>
        <v>CDD:214857 smart00853, MutL_C, MutL C terminal dimerisation domain</v>
      </c>
      <c r="EP65" s="75">
        <v>73</v>
      </c>
      <c r="EQ65" s="75">
        <v>4.3</v>
      </c>
      <c r="ER65" s="75" t="s">
        <v>3168</v>
      </c>
      <c r="ES65" s="75" t="s">
        <v>2772</v>
      </c>
      <c r="ET65" s="75" t="s">
        <v>2772</v>
      </c>
      <c r="EU65" s="75" t="s">
        <v>2772</v>
      </c>
      <c r="EV65" s="75" t="s">
        <v>2772</v>
      </c>
      <c r="EW65" s="75" t="s">
        <v>2772</v>
      </c>
      <c r="EX65" s="75" t="s">
        <v>2772</v>
      </c>
      <c r="EY65" s="75" t="s">
        <v>2772</v>
      </c>
      <c r="EZ65" s="75" t="s">
        <v>2772</v>
      </c>
      <c r="FA65" s="75" t="s">
        <v>2772</v>
      </c>
    </row>
    <row r="66" spans="1:157" x14ac:dyDescent="0.2">
      <c r="A66" s="75" t="str">
        <f>HYPERLINK(".\links\PEP\EEC15720.1-PEP.txt","EEC15720.1")</f>
        <v>EEC15720.1</v>
      </c>
      <c r="B66" s="75" t="s">
        <v>2768</v>
      </c>
      <c r="C66" s="75">
        <v>72</v>
      </c>
      <c r="D66" s="75" t="s">
        <v>3172</v>
      </c>
      <c r="E66" s="76" t="s">
        <v>3163</v>
      </c>
      <c r="F66" s="75" t="s">
        <v>2771</v>
      </c>
      <c r="G66" s="75" t="str">
        <f>HYPERLINK(".\links\Sigp\EEC15720.1-SigP.txt","SIG")</f>
        <v>SIG</v>
      </c>
      <c r="H66" s="75" t="s">
        <v>3164</v>
      </c>
      <c r="I66" s="75">
        <v>7.2519999999999998</v>
      </c>
      <c r="J66" s="75">
        <v>9.5500000000000007</v>
      </c>
      <c r="K66" s="75">
        <v>4.931</v>
      </c>
      <c r="L66" s="75">
        <v>9.6999999999999993</v>
      </c>
      <c r="M66" s="75" t="str">
        <f>HYPERLINK(".\links\netoglyc\EEC15720.1-netoglyc.txt","0")</f>
        <v>0</v>
      </c>
      <c r="N66" s="75" t="s">
        <v>3173</v>
      </c>
      <c r="O66" s="75">
        <v>72</v>
      </c>
      <c r="P66" s="75" t="str">
        <f>HYPERLINK(".\links\tmhmm\EEC15720.1-tmhmm.txt","1")</f>
        <v>1</v>
      </c>
      <c r="Q66" s="75">
        <v>30.6</v>
      </c>
      <c r="R66" s="75">
        <v>59.7</v>
      </c>
      <c r="S66" s="75">
        <v>9.6999999999999993</v>
      </c>
      <c r="T66" s="75" t="s">
        <v>2772</v>
      </c>
      <c r="U66" s="75">
        <v>43</v>
      </c>
      <c r="V66" s="75" t="s">
        <v>2772</v>
      </c>
      <c r="W66" s="75">
        <v>5.3</v>
      </c>
      <c r="X66" s="75">
        <v>37.299999999999997</v>
      </c>
      <c r="Y66" s="75" t="s">
        <v>3166</v>
      </c>
      <c r="Z66" s="75">
        <v>28</v>
      </c>
      <c r="AA66" s="77">
        <v>38.8888888888889</v>
      </c>
      <c r="AB66" s="75">
        <v>0.99</v>
      </c>
      <c r="AC66" s="75" t="s">
        <v>3174</v>
      </c>
      <c r="AD66" s="75">
        <v>2</v>
      </c>
      <c r="AE66" s="75" t="s">
        <v>2772</v>
      </c>
      <c r="AF66" s="75" t="s">
        <v>2772</v>
      </c>
      <c r="AG66" s="75" t="s">
        <v>2772</v>
      </c>
      <c r="AH66" s="75" t="s">
        <v>2772</v>
      </c>
      <c r="AI66" s="75" t="s">
        <v>2772</v>
      </c>
      <c r="AJ66" s="75" t="s">
        <v>2772</v>
      </c>
      <c r="AK66" s="75" t="s">
        <v>2772</v>
      </c>
      <c r="AL66" s="75" t="s">
        <v>2772</v>
      </c>
      <c r="AM66" s="75" t="s">
        <v>2772</v>
      </c>
      <c r="AN66" s="75" t="s">
        <v>2772</v>
      </c>
      <c r="AO66" s="78" t="str">
        <f>HYPERLINK(".\links\AAM-CEMENT-2018\EEC15720.1-AAM-CEMENT-2018.txt","Extracted CDS")</f>
        <v>Extracted CDS</v>
      </c>
      <c r="AP66" s="75" t="str">
        <f>HYPERLINK("http://www.ncbi.nlm.nih.gov/sutils/blink.cgi?pid=Aam-592","0.51")</f>
        <v>0.51</v>
      </c>
      <c r="AQ66" s="75" t="str">
        <f>HYPERLINK("http://www.ncbi.nlm.nih.gov/protein/Aam-592","Aam-592")</f>
        <v>Aam-592</v>
      </c>
      <c r="AR66" s="75">
        <v>21.2</v>
      </c>
      <c r="AS66" s="75">
        <v>11</v>
      </c>
      <c r="AT66" s="75">
        <v>747</v>
      </c>
      <c r="AU66" s="75">
        <v>81</v>
      </c>
      <c r="AV66" s="75">
        <v>81</v>
      </c>
      <c r="AW66" s="75">
        <v>1</v>
      </c>
      <c r="AX66" s="75">
        <v>2</v>
      </c>
      <c r="AY66" s="75">
        <v>0</v>
      </c>
      <c r="AZ66" s="75">
        <v>346</v>
      </c>
      <c r="BA66" s="75">
        <v>14</v>
      </c>
      <c r="BB66" s="75">
        <v>1</v>
      </c>
      <c r="BC66" s="75" t="s">
        <v>2775</v>
      </c>
      <c r="BD66" s="78" t="s">
        <v>2772</v>
      </c>
      <c r="BE66" s="75" t="s">
        <v>2772</v>
      </c>
      <c r="BF66" s="75" t="s">
        <v>2772</v>
      </c>
      <c r="BG66" s="75" t="s">
        <v>2772</v>
      </c>
      <c r="BH66" s="75" t="s">
        <v>2772</v>
      </c>
      <c r="BI66" s="75" t="s">
        <v>2772</v>
      </c>
      <c r="BJ66" s="75" t="s">
        <v>2772</v>
      </c>
      <c r="BK66" s="75" t="s">
        <v>2772</v>
      </c>
      <c r="BL66" s="75" t="s">
        <v>2772</v>
      </c>
      <c r="BM66" s="75" t="s">
        <v>2772</v>
      </c>
      <c r="BN66" s="78" t="str">
        <f>HYPERLINK(".\links\PFAM\EEC15720.1-PFAM.txt","tRNA_synt_2f Glycyl-tRNA synthetase beta subunit")</f>
        <v>tRNA_synt_2f Glycyl-tRNA synthetase beta subunit</v>
      </c>
      <c r="BO66" s="75">
        <v>85</v>
      </c>
      <c r="BP66" s="75">
        <v>1.9</v>
      </c>
      <c r="BQ66" s="75" t="s">
        <v>3175</v>
      </c>
      <c r="BR66" s="75" t="s">
        <v>2772</v>
      </c>
      <c r="BS66" s="78" t="str">
        <f>HYPERLINK(".\links\SMART\EEC15720.1-SMART.txt","CDD:214857 smart00853, MutL_C, MutL C terminal dimerisation domain")</f>
        <v>CDD:214857 smart00853, MutL_C, MutL C terminal dimerisation domain</v>
      </c>
      <c r="BT66" s="75">
        <v>93</v>
      </c>
      <c r="BU66" s="75">
        <v>4.3</v>
      </c>
      <c r="BV66" s="75" t="s">
        <v>3168</v>
      </c>
      <c r="BW66" s="75" t="s">
        <v>2772</v>
      </c>
      <c r="BX66" s="78" t="str">
        <f>HYPERLINK(".\links\TSF\EEC15720.1-TSF.txt","JAB83646")</f>
        <v>JAB83646</v>
      </c>
      <c r="BY66" s="79">
        <v>2.0000000000000001E-22</v>
      </c>
      <c r="BZ66" s="75">
        <v>60.3</v>
      </c>
      <c r="CA66" s="75" t="s">
        <v>3176</v>
      </c>
      <c r="CB66" s="75" t="s">
        <v>2863</v>
      </c>
      <c r="CC66" s="75" t="s">
        <v>3177</v>
      </c>
      <c r="CD66" s="75" t="s">
        <v>2785</v>
      </c>
      <c r="CE66" s="75" t="s">
        <v>3178</v>
      </c>
      <c r="CF66" s="75">
        <f>HYPERLINK(".\links\cluster-b\Ixsc-cement-202225-50SimCLU12.txt", 12)</f>
        <v>12</v>
      </c>
      <c r="CG66" s="75">
        <f>HYPERLINK(".\links\cluster-b\Ixsc-cement-202225-50SimCLTL12.txt", 3)</f>
        <v>3</v>
      </c>
      <c r="CH66" s="75">
        <f>HYPERLINK(".\links\cluster-b\Ixsc-cement-202230-50SimCLU11.txt", 11)</f>
        <v>11</v>
      </c>
      <c r="CI66" s="75">
        <f>HYPERLINK(".\links\cluster-b\Ixsc-cement-202230-50SimCLTL11.txt", 3)</f>
        <v>3</v>
      </c>
      <c r="CJ66" s="75">
        <f>HYPERLINK(".\links\cluster-b\Ixsc-cement-202235-50SimCLU10.txt", 10)</f>
        <v>10</v>
      </c>
      <c r="CK66" s="75">
        <f>HYPERLINK(".\links\cluster-b\Ixsc-cement-202235-50SimCLTL10.txt", 3)</f>
        <v>3</v>
      </c>
      <c r="CL66" s="75">
        <f>HYPERLINK(".\links\cluster-b\Ixsc-cement-202240-50SimCLU11.txt", 11)</f>
        <v>11</v>
      </c>
      <c r="CM66" s="75">
        <f>HYPERLINK(".\links\cluster-b\Ixsc-cement-202240-50SimCLTL11.txt", 3)</f>
        <v>3</v>
      </c>
      <c r="CN66" s="75">
        <f>HYPERLINK(".\links\cluster-b\Ixsc-cement-202245-50SimCLU11.txt", 11)</f>
        <v>11</v>
      </c>
      <c r="CO66" s="75">
        <f>HYPERLINK(".\links\cluster-b\Ixsc-cement-202245-50SimCLTL11.txt", 3)</f>
        <v>3</v>
      </c>
      <c r="CP66" s="75">
        <f>HYPERLINK(".\links\cluster-b\Ixsc-cement-202250-50SimCLU10.txt", 10)</f>
        <v>10</v>
      </c>
      <c r="CQ66" s="75">
        <f>HYPERLINK(".\links\cluster-b\Ixsc-cement-202250-50SimCLTL10.txt", 3)</f>
        <v>3</v>
      </c>
      <c r="CR66" s="75">
        <f>HYPERLINK(".\links\cluster-b\Ixsc-cement-202255-50SimCLU9.txt", 9)</f>
        <v>9</v>
      </c>
      <c r="CS66" s="75">
        <f>HYPERLINK(".\links\cluster-b\Ixsc-cement-202255-50SimCLTL9.txt", 3)</f>
        <v>3</v>
      </c>
      <c r="CT66" s="75">
        <f>HYPERLINK(".\links\cluster-b\Ixsc-cement-202260-50SimCLU8.txt", 8)</f>
        <v>8</v>
      </c>
      <c r="CU66" s="75">
        <f>HYPERLINK(".\links\cluster-b\Ixsc-cement-202260-50SimCLTL8.txt", 3)</f>
        <v>3</v>
      </c>
      <c r="CV66" s="75">
        <f>HYPERLINK(".\links\cluster-b\Ixsc-cement-202265-50SimCLU8.txt", 8)</f>
        <v>8</v>
      </c>
      <c r="CW66" s="75">
        <f>HYPERLINK(".\links\cluster-b\Ixsc-cement-202265-50SimCLTL8.txt", 3)</f>
        <v>3</v>
      </c>
      <c r="CX66" s="75">
        <f>HYPERLINK(".\links\cluster-b\Ixsc-cement-202270-50SimCLU7.txt", 7)</f>
        <v>7</v>
      </c>
      <c r="CY66" s="75">
        <f>HYPERLINK(".\links\cluster-b\Ixsc-cement-202270-50SimCLTL7.txt", 3)</f>
        <v>3</v>
      </c>
      <c r="CZ66" s="75">
        <f>HYPERLINK(".\links\cluster-b\Ixsc-cement-202275-50SimCLU7.txt", 7)</f>
        <v>7</v>
      </c>
      <c r="DA66" s="75">
        <f>HYPERLINK(".\links\cluster-b\Ixsc-cement-202275-50SimCLTL7.txt", 3)</f>
        <v>3</v>
      </c>
      <c r="DB66" s="75">
        <f>HYPERLINK(".\links\cluster-b\Ixsc-cement-202280-50SimCLU7.txt", 7)</f>
        <v>7</v>
      </c>
      <c r="DC66" s="75">
        <f>HYPERLINK(".\links\cluster-b\Ixsc-cement-202280-50SimCLTL7.txt", 3)</f>
        <v>3</v>
      </c>
      <c r="DD66" s="75">
        <f>HYPERLINK(".\links\cluster-b\Ixsc-cement-202285-50SimCLU5.txt", 5)</f>
        <v>5</v>
      </c>
      <c r="DE66" s="75">
        <f>HYPERLINK(".\links\cluster-b\Ixsc-cement-202285-50SimCLTL5.txt", 3)</f>
        <v>3</v>
      </c>
      <c r="DF66" s="75">
        <f>HYPERLINK(".\links\cluster-b\Ixsc-cement-202290-50SimCLU5.txt", 5)</f>
        <v>5</v>
      </c>
      <c r="DG66" s="75">
        <f>HYPERLINK(".\links\cluster-b\Ixsc-cement-202290-50SimCLTL5.txt", 3)</f>
        <v>3</v>
      </c>
      <c r="DH66" s="75">
        <f>HYPERLINK(".\links\cluster-b\Ixsc-cement-202295-50SimCLU5.txt", 5)</f>
        <v>5</v>
      </c>
      <c r="DI66" s="75">
        <f>HYPERLINK(".\links\cluster-b\Ixsc-cement-202295-50SimCLTL5.txt", 3)</f>
        <v>3</v>
      </c>
      <c r="DJ66" s="75" t="s">
        <v>156</v>
      </c>
      <c r="DK66" s="75" t="str">
        <f>HYPERLINK(".\links\AAM-CEMENT-2018\EEC15720.1-AAM-CEMENT-2018.txt","Extracted CDS")</f>
        <v>Extracted CDS</v>
      </c>
      <c r="DL66" s="75" t="str">
        <f>HYPERLINK("http://www.ncbi.nlm.nih.gov/sutils/blink.cgi?pid=Aam-592","0.51")</f>
        <v>0.51</v>
      </c>
      <c r="DM66" s="75" t="str">
        <f>HYPERLINK("http://www.ncbi.nlm.nih.gov/protein/Aam-592","Aam-592")</f>
        <v>Aam-592</v>
      </c>
      <c r="DN66" s="75">
        <v>21.2</v>
      </c>
      <c r="DO66" s="75">
        <v>11</v>
      </c>
      <c r="DP66" s="75">
        <v>747</v>
      </c>
      <c r="DQ66" s="75">
        <v>81</v>
      </c>
      <c r="DR66" s="75">
        <v>81</v>
      </c>
      <c r="DS66" s="75">
        <v>1</v>
      </c>
      <c r="DT66" s="75">
        <v>2</v>
      </c>
      <c r="DU66" s="75">
        <v>0</v>
      </c>
      <c r="DV66" s="75">
        <v>346</v>
      </c>
      <c r="DW66" s="75">
        <v>14</v>
      </c>
      <c r="DX66" s="75">
        <v>1</v>
      </c>
      <c r="DY66" s="75" t="s">
        <v>2775</v>
      </c>
      <c r="DZ66" s="75" t="s">
        <v>2772</v>
      </c>
      <c r="EA66" s="75" t="s">
        <v>2772</v>
      </c>
      <c r="EB66" s="75" t="s">
        <v>2772</v>
      </c>
      <c r="EC66" s="75" t="s">
        <v>2772</v>
      </c>
      <c r="ED66" s="75" t="s">
        <v>2772</v>
      </c>
      <c r="EE66" s="75" t="s">
        <v>2772</v>
      </c>
      <c r="EF66" s="75" t="s">
        <v>2772</v>
      </c>
      <c r="EG66" s="75" t="s">
        <v>2772</v>
      </c>
      <c r="EH66" s="75" t="s">
        <v>2772</v>
      </c>
      <c r="EI66" s="75" t="s">
        <v>2772</v>
      </c>
      <c r="EJ66" s="75" t="str">
        <f>HYPERLINK(".\links\PFAM\EEC15720.1-PFAM.txt","tRNA_synt_2f Glycyl-tRNA synthetase beta subunit")</f>
        <v>tRNA_synt_2f Glycyl-tRNA synthetase beta subunit</v>
      </c>
      <c r="EK66" s="75">
        <v>85</v>
      </c>
      <c r="EL66" s="75">
        <v>1.9</v>
      </c>
      <c r="EM66" s="75" t="s">
        <v>3175</v>
      </c>
      <c r="EN66" s="75" t="s">
        <v>2772</v>
      </c>
      <c r="EO66" s="75" t="str">
        <f>HYPERLINK(".\links\SMART\EEC15720.1-SMART.txt","CDD:214857 smart00853, MutL_C, MutL C terminal dimerisation domain")</f>
        <v>CDD:214857 smart00853, MutL_C, MutL C terminal dimerisation domain</v>
      </c>
      <c r="EP66" s="75">
        <v>93</v>
      </c>
      <c r="EQ66" s="75">
        <v>4.3</v>
      </c>
      <c r="ER66" s="75" t="s">
        <v>3168</v>
      </c>
      <c r="ES66" s="75" t="s">
        <v>2772</v>
      </c>
      <c r="ET66" s="75" t="str">
        <f>HYPERLINK(".\links\TSF\EEC15720.1-TSF.txt","JAB83646")</f>
        <v>JAB83646</v>
      </c>
      <c r="EU66" s="79">
        <v>2.0000000000000001E-22</v>
      </c>
      <c r="EV66" s="75">
        <v>60.3</v>
      </c>
      <c r="EW66" s="75" t="s">
        <v>3176</v>
      </c>
      <c r="EX66" s="75" t="s">
        <v>2863</v>
      </c>
      <c r="EY66" s="75" t="s">
        <v>3177</v>
      </c>
      <c r="EZ66" s="75" t="s">
        <v>2785</v>
      </c>
      <c r="FA66" s="75" t="s">
        <v>3178</v>
      </c>
    </row>
    <row r="67" spans="1:157" x14ac:dyDescent="0.2">
      <c r="A67" s="75" t="str">
        <f>HYPERLINK(".\links\PEP\AAY66550.1-PEP.txt","AAY66550.1")</f>
        <v>AAY66550.1</v>
      </c>
      <c r="B67" s="75" t="s">
        <v>2768</v>
      </c>
      <c r="C67" s="75">
        <v>151</v>
      </c>
      <c r="D67" s="75" t="s">
        <v>3179</v>
      </c>
      <c r="E67" s="76" t="s">
        <v>3163</v>
      </c>
      <c r="F67" s="75" t="s">
        <v>2771</v>
      </c>
      <c r="G67" s="75" t="str">
        <f>HYPERLINK(".\links\Sigp\AAY66550.1-SigP.txt","SIG")</f>
        <v>SIG</v>
      </c>
      <c r="H67" s="75" t="s">
        <v>2799</v>
      </c>
      <c r="I67" s="75">
        <v>16.145</v>
      </c>
      <c r="J67" s="75">
        <v>8.08</v>
      </c>
      <c r="K67" s="75">
        <v>14.62</v>
      </c>
      <c r="L67" s="75">
        <v>7.11</v>
      </c>
      <c r="M67" s="75" t="str">
        <f>HYPERLINK(".\links\netoglyc\AAY66550.1-netoglyc.txt","2")</f>
        <v>2</v>
      </c>
      <c r="N67" s="75" t="s">
        <v>3180</v>
      </c>
      <c r="O67" s="75">
        <v>151</v>
      </c>
      <c r="P67" s="75">
        <v>0</v>
      </c>
      <c r="Q67" s="75" t="s">
        <v>2772</v>
      </c>
      <c r="R67" s="75" t="s">
        <v>2772</v>
      </c>
      <c r="S67" s="75" t="s">
        <v>2772</v>
      </c>
      <c r="T67" s="75" t="s">
        <v>2772</v>
      </c>
      <c r="U67" s="75" t="s">
        <v>2772</v>
      </c>
      <c r="V67" s="75" t="s">
        <v>2772</v>
      </c>
      <c r="W67" s="75">
        <v>11</v>
      </c>
      <c r="X67" s="75">
        <v>14.8</v>
      </c>
      <c r="Y67" s="75">
        <v>6.5</v>
      </c>
      <c r="Z67" s="75" t="s">
        <v>2774</v>
      </c>
      <c r="AA67" s="77">
        <v>21.854304635761601</v>
      </c>
      <c r="AB67" s="75">
        <v>0.4</v>
      </c>
      <c r="AD67" s="75">
        <v>0</v>
      </c>
      <c r="AE67" s="75" t="s">
        <v>2772</v>
      </c>
      <c r="AF67" s="75" t="s">
        <v>2772</v>
      </c>
      <c r="AG67" s="75" t="s">
        <v>2772</v>
      </c>
      <c r="AH67" s="75">
        <v>3</v>
      </c>
      <c r="AI67" s="75" t="s">
        <v>2772</v>
      </c>
      <c r="AJ67" s="75">
        <v>3</v>
      </c>
      <c r="AK67" s="75" t="s">
        <v>2772</v>
      </c>
      <c r="AL67" s="75" t="s">
        <v>2772</v>
      </c>
      <c r="AM67" s="75" t="s">
        <v>2772</v>
      </c>
      <c r="AN67" s="75" t="s">
        <v>2772</v>
      </c>
      <c r="AO67" s="78" t="str">
        <f>HYPERLINK(".\links\AAM-CEMENT-2018\AAY66550.1-AAM-CEMENT-2018.txt","Extracted CDS")</f>
        <v>Extracted CDS</v>
      </c>
      <c r="AP67" s="75" t="str">
        <f>HYPERLINK("http://www.ncbi.nlm.nih.gov/sutils/blink.cgi?pid=Aam-16245","1.0")</f>
        <v>1.0</v>
      </c>
      <c r="AQ67" s="75" t="str">
        <f>HYPERLINK("http://www.ncbi.nlm.nih.gov/protein/Aam-16245","Aam-16245")</f>
        <v>Aam-16245</v>
      </c>
      <c r="AR67" s="75">
        <v>21.6</v>
      </c>
      <c r="AS67" s="75">
        <v>24</v>
      </c>
      <c r="AT67" s="75">
        <v>104</v>
      </c>
      <c r="AU67" s="75">
        <v>50</v>
      </c>
      <c r="AV67" s="75">
        <v>62</v>
      </c>
      <c r="AW67" s="75">
        <v>23</v>
      </c>
      <c r="AX67" s="75">
        <v>12</v>
      </c>
      <c r="AY67" s="75">
        <v>1</v>
      </c>
      <c r="AZ67" s="75">
        <v>81</v>
      </c>
      <c r="BA67" s="75">
        <v>123</v>
      </c>
      <c r="BB67" s="75">
        <v>1</v>
      </c>
      <c r="BC67" s="75" t="s">
        <v>2775</v>
      </c>
      <c r="BD67" s="78" t="str">
        <f>HYPERLINK(".\links\CDD\AAY66550.1-CDD.txt","KISc_KHC_KIF5 Kinesin motor domain kinesin heavy chain")</f>
        <v>KISc_KHC_KIF5 Kinesin motor domain kinesin heavy chain</v>
      </c>
      <c r="BE67" s="75">
        <v>0.24</v>
      </c>
      <c r="BF67" s="75">
        <v>28</v>
      </c>
      <c r="BG67" s="75" t="s">
        <v>3181</v>
      </c>
      <c r="BH67" s="75" t="s">
        <v>3182</v>
      </c>
      <c r="BI67" s="75" t="str">
        <f>HYPERLINK(".\links\KOG\AAY66550.1-KOG.txt","CDD:224127 COG1206, Gid, NA")</f>
        <v>CDD:224127 COG1206, Gid, NA</v>
      </c>
      <c r="BJ67" s="75">
        <v>0.41</v>
      </c>
      <c r="BK67" s="75">
        <v>12.1</v>
      </c>
      <c r="BL67" s="75" t="s">
        <v>3183</v>
      </c>
      <c r="BM67" s="75" t="s">
        <v>2779</v>
      </c>
      <c r="BN67" s="78" t="str">
        <f>HYPERLINK(".\links\PFAM\AAY66550.1-PFAM.txt","NHS NHS-like")</f>
        <v>NHS NHS-like</v>
      </c>
      <c r="BO67" s="75">
        <v>0.27</v>
      </c>
      <c r="BP67" s="75">
        <v>11.7</v>
      </c>
      <c r="BQ67" s="75" t="s">
        <v>3184</v>
      </c>
      <c r="BR67" s="75" t="s">
        <v>2772</v>
      </c>
      <c r="BS67" s="78" t="str">
        <f>HYPERLINK(".\links\SMART\AAY66550.1-SMART.txt","CDD:214526 smart00129, KISc, Kinesin motor, catalytic domain")</f>
        <v>CDD:214526 smart00129, KISc, Kinesin motor, catalytic domain</v>
      </c>
      <c r="BT67" s="75">
        <v>1.2</v>
      </c>
      <c r="BU67" s="75">
        <v>15.8</v>
      </c>
      <c r="BV67" s="75" t="s">
        <v>2861</v>
      </c>
      <c r="BW67" s="75" t="s">
        <v>2772</v>
      </c>
      <c r="BX67" s="78" t="str">
        <f>HYPERLINK(".\links\TSF\AAY66550.1-TSF.txt","35-161 35-161, GRP|Chitin binding|S|")</f>
        <v>35-161 35-161, GRP|Chitin binding|S|</v>
      </c>
      <c r="BY67" s="79">
        <v>5.0000000000000002E-63</v>
      </c>
      <c r="BZ67" s="75">
        <v>70.099999999999994</v>
      </c>
      <c r="CA67" s="75" t="s">
        <v>3185</v>
      </c>
      <c r="CB67" s="75" t="s">
        <v>2863</v>
      </c>
      <c r="CC67" s="75" t="s">
        <v>2864</v>
      </c>
      <c r="CD67" s="75" t="s">
        <v>2785</v>
      </c>
      <c r="CE67" s="75" t="s">
        <v>3186</v>
      </c>
      <c r="CF67" s="75">
        <f>HYPERLINK(".\links\cluster-b\Ixsc-cement-202225-50SimCLU1.txt", 1)</f>
        <v>1</v>
      </c>
      <c r="CG67" s="75">
        <f>HYPERLINK(".\links\cluster-b\Ixsc-cement-202225-50SimCLTL1.txt", 20)</f>
        <v>20</v>
      </c>
      <c r="CH67" s="75">
        <f>HYPERLINK(".\links\cluster-b\Ixsc-cement-202230-50SimCLU12.txt", 12)</f>
        <v>12</v>
      </c>
      <c r="CI67" s="75">
        <f>HYPERLINK(".\links\cluster-b\Ixsc-cement-202230-50SimCLTL12.txt", 2)</f>
        <v>2</v>
      </c>
      <c r="CJ67" s="75">
        <f>HYPERLINK(".\links\cluster-b\Ixsc-cement-202235-50SimCLU11.txt", 11)</f>
        <v>11</v>
      </c>
      <c r="CK67" s="75">
        <f>HYPERLINK(".\links\cluster-b\Ixsc-cement-202235-50SimCLTL11.txt", 2)</f>
        <v>2</v>
      </c>
      <c r="CL67" s="75">
        <f>HYPERLINK(".\links\cluster-b\Ixsc-cement-202240-50SimCLU12.txt", 12)</f>
        <v>12</v>
      </c>
      <c r="CM67" s="75">
        <f>HYPERLINK(".\links\cluster-b\Ixsc-cement-202240-50SimCLTL12.txt", 2)</f>
        <v>2</v>
      </c>
      <c r="CN67" s="75">
        <f>HYPERLINK(".\links\cluster-b\Ixsc-cement-202245-50SimCLU12.txt", 12)</f>
        <v>12</v>
      </c>
      <c r="CO67" s="75">
        <f>HYPERLINK(".\links\cluster-b\Ixsc-cement-202245-50SimCLTL12.txt", 2)</f>
        <v>2</v>
      </c>
      <c r="CP67" s="75">
        <f>HYPERLINK(".\links\cluster-b\Ixsc-cement-202250-50SimCLU11.txt", 11)</f>
        <v>11</v>
      </c>
      <c r="CQ67" s="75">
        <f>HYPERLINK(".\links\cluster-b\Ixsc-cement-202250-50SimCLTL11.txt", 2)</f>
        <v>2</v>
      </c>
      <c r="CR67" s="75">
        <f>HYPERLINK(".\links\cluster-b\Ixsc-cement-202255-50SimCLU10.txt", 10)</f>
        <v>10</v>
      </c>
      <c r="CS67" s="75">
        <f>HYPERLINK(".\links\cluster-b\Ixsc-cement-202255-50SimCLTL10.txt", 2)</f>
        <v>2</v>
      </c>
      <c r="CT67" s="75">
        <f>HYPERLINK(".\links\cluster-b\Ixsc-cement-202260-50SimCLU10.txt", 10)</f>
        <v>10</v>
      </c>
      <c r="CU67" s="75">
        <f>HYPERLINK(".\links\cluster-b\Ixsc-cement-202260-50SimCLTL10.txt", 2)</f>
        <v>2</v>
      </c>
      <c r="CV67" s="75">
        <f>HYPERLINK(".\links\cluster-b\Ixsc-cement-202265-50SimCLU9.txt", 9)</f>
        <v>9</v>
      </c>
      <c r="CW67" s="75">
        <f>HYPERLINK(".\links\cluster-b\Ixsc-cement-202265-50SimCLTL9.txt", 2)</f>
        <v>2</v>
      </c>
      <c r="CX67" s="75">
        <f>HYPERLINK(".\links\cluster-b\Ixsc-cement-202270-50SimCLU9.txt", 9)</f>
        <v>9</v>
      </c>
      <c r="CY67" s="75">
        <f>HYPERLINK(".\links\cluster-b\Ixsc-cement-202270-50SimCLTL9.txt", 2)</f>
        <v>2</v>
      </c>
      <c r="CZ67" s="75">
        <f>HYPERLINK(".\links\cluster-b\Ixsc-cement-202275-50SimCLU9.txt", 9)</f>
        <v>9</v>
      </c>
      <c r="DA67" s="75">
        <f>HYPERLINK(".\links\cluster-b\Ixsc-cement-202275-50SimCLTL9.txt", 2)</f>
        <v>2</v>
      </c>
      <c r="DB67" s="75">
        <f>HYPERLINK(".\links\cluster-b\Ixsc-cement-202280-50SimCLU8.txt", 8)</f>
        <v>8</v>
      </c>
      <c r="DC67" s="75">
        <f>HYPERLINK(".\links\cluster-b\Ixsc-cement-202280-50SimCLTL8.txt", 2)</f>
        <v>2</v>
      </c>
      <c r="DD67" s="75">
        <f>HYPERLINK(".\links\cluster-b\Ixsc-cement-202285-50SimCLU6.txt", 6)</f>
        <v>6</v>
      </c>
      <c r="DE67" s="75">
        <f>HYPERLINK(".\links\cluster-b\Ixsc-cement-202285-50SimCLTL6.txt", 2)</f>
        <v>2</v>
      </c>
      <c r="DF67" s="75">
        <f>HYPERLINK(".\links\cluster-b\Ixsc-cement-202290-50SimCLU6.txt", 6)</f>
        <v>6</v>
      </c>
      <c r="DG67" s="75">
        <f>HYPERLINK(".\links\cluster-b\Ixsc-cement-202290-50SimCLTL6.txt", 2)</f>
        <v>2</v>
      </c>
      <c r="DH67" s="75">
        <f>HYPERLINK(".\links\cluster-b\Ixsc-cement-202295-50SimCLU6.txt", 6)</f>
        <v>6</v>
      </c>
      <c r="DI67" s="75">
        <f>HYPERLINK(".\links\cluster-b\Ixsc-cement-202295-50SimCLTL6.txt", 2)</f>
        <v>2</v>
      </c>
      <c r="DJ67" s="75" t="s">
        <v>120</v>
      </c>
      <c r="DK67" s="75" t="str">
        <f>HYPERLINK(".\links\AAM-CEMENT-2018\AAY66550.1-AAM-CEMENT-2018.txt","Extracted CDS")</f>
        <v>Extracted CDS</v>
      </c>
      <c r="DL67" s="75" t="str">
        <f>HYPERLINK("http://www.ncbi.nlm.nih.gov/sutils/blink.cgi?pid=Aam-16245","1.0")</f>
        <v>1.0</v>
      </c>
      <c r="DM67" s="75" t="str">
        <f>HYPERLINK("http://www.ncbi.nlm.nih.gov/protein/Aam-16245","Aam-16245")</f>
        <v>Aam-16245</v>
      </c>
      <c r="DN67" s="75">
        <v>21.6</v>
      </c>
      <c r="DO67" s="75">
        <v>24</v>
      </c>
      <c r="DP67" s="75">
        <v>104</v>
      </c>
      <c r="DQ67" s="75">
        <v>50</v>
      </c>
      <c r="DR67" s="75">
        <v>62</v>
      </c>
      <c r="DS67" s="75">
        <v>23</v>
      </c>
      <c r="DT67" s="75">
        <v>12</v>
      </c>
      <c r="DU67" s="75">
        <v>1</v>
      </c>
      <c r="DV67" s="75">
        <v>81</v>
      </c>
      <c r="DW67" s="75">
        <v>123</v>
      </c>
      <c r="DX67" s="75">
        <v>1</v>
      </c>
      <c r="DY67" s="75" t="s">
        <v>2775</v>
      </c>
      <c r="DZ67" s="75" t="str">
        <f>HYPERLINK(".\links\CDD\AAY66550.1-CDD.txt","KISc_KHC_KIF5 Kinesin motor domain kinesin heavy chain")</f>
        <v>KISc_KHC_KIF5 Kinesin motor domain kinesin heavy chain</v>
      </c>
      <c r="EA67" s="75">
        <v>0.24</v>
      </c>
      <c r="EB67" s="75">
        <v>28</v>
      </c>
      <c r="EC67" s="75" t="s">
        <v>3181</v>
      </c>
      <c r="ED67" s="75" t="s">
        <v>3182</v>
      </c>
      <c r="EE67" s="75" t="str">
        <f>HYPERLINK(".\links\KOG\AAY66550.1-KOG.txt","CDD:224127 COG1206, Gid, NA")</f>
        <v>CDD:224127 COG1206, Gid, NA</v>
      </c>
      <c r="EF67" s="75">
        <v>0.41</v>
      </c>
      <c r="EG67" s="75">
        <v>12.1</v>
      </c>
      <c r="EH67" s="75" t="s">
        <v>3183</v>
      </c>
      <c r="EI67" s="75" t="s">
        <v>2779</v>
      </c>
      <c r="EJ67" s="75" t="str">
        <f>HYPERLINK(".\links\PFAM\AAY66550.1-PFAM.txt","NHS NHS-like")</f>
        <v>NHS NHS-like</v>
      </c>
      <c r="EK67" s="75">
        <v>0.27</v>
      </c>
      <c r="EL67" s="75">
        <v>11.7</v>
      </c>
      <c r="EM67" s="75" t="s">
        <v>3184</v>
      </c>
      <c r="EN67" s="75" t="s">
        <v>2772</v>
      </c>
      <c r="EO67" s="75" t="str">
        <f>HYPERLINK(".\links\SMART\AAY66550.1-SMART.txt","CDD:214526 smart00129, KISc, Kinesin motor, catalytic domain")</f>
        <v>CDD:214526 smart00129, KISc, Kinesin motor, catalytic domain</v>
      </c>
      <c r="EP67" s="75">
        <v>1.2</v>
      </c>
      <c r="EQ67" s="75">
        <v>15.8</v>
      </c>
      <c r="ER67" s="75" t="s">
        <v>2861</v>
      </c>
      <c r="ES67" s="75" t="s">
        <v>2772</v>
      </c>
      <c r="ET67" s="75" t="str">
        <f>HYPERLINK(".\links\TSF\AAY66550.1-TSF.txt","35-161 35-161, GRP|Chitin binding|S|")</f>
        <v>35-161 35-161, GRP|Chitin binding|S|</v>
      </c>
      <c r="EU67" s="79">
        <v>5.0000000000000002E-63</v>
      </c>
      <c r="EV67" s="75">
        <v>70.099999999999994</v>
      </c>
      <c r="EW67" s="75" t="s">
        <v>3185</v>
      </c>
      <c r="EX67" s="75" t="s">
        <v>2863</v>
      </c>
      <c r="EY67" s="75" t="s">
        <v>2864</v>
      </c>
      <c r="EZ67" s="75" t="s">
        <v>2785</v>
      </c>
      <c r="FA67" s="75" t="s">
        <v>3186</v>
      </c>
    </row>
    <row r="68" spans="1:157" x14ac:dyDescent="0.2">
      <c r="A68" s="75" t="str">
        <f>HYPERLINK(".\links\PEP\EEC00903.1-PEP.txt","EEC00903.1")</f>
        <v>EEC00903.1</v>
      </c>
      <c r="B68" s="75" t="s">
        <v>2768</v>
      </c>
      <c r="C68" s="75">
        <v>151</v>
      </c>
      <c r="D68" s="75" t="s">
        <v>3172</v>
      </c>
      <c r="E68" s="76" t="s">
        <v>3163</v>
      </c>
      <c r="F68" s="75" t="s">
        <v>2771</v>
      </c>
      <c r="G68" s="75" t="str">
        <f>HYPERLINK(".\links\Sigp\EEC00903.1-SigP.txt","SIG")</f>
        <v>SIG</v>
      </c>
      <c r="H68" s="75" t="s">
        <v>2799</v>
      </c>
      <c r="I68" s="75">
        <v>16.161999999999999</v>
      </c>
      <c r="J68" s="75">
        <v>8.08</v>
      </c>
      <c r="K68" s="75">
        <v>14.62</v>
      </c>
      <c r="L68" s="75">
        <v>7.11</v>
      </c>
      <c r="M68" s="75" t="str">
        <f>HYPERLINK(".\links\netoglyc\EEC00903.1-netoglyc.txt","2")</f>
        <v>2</v>
      </c>
      <c r="N68" s="75" t="s">
        <v>3187</v>
      </c>
      <c r="O68" s="75">
        <v>151</v>
      </c>
      <c r="P68" s="75">
        <v>0</v>
      </c>
      <c r="Q68" s="75" t="s">
        <v>2772</v>
      </c>
      <c r="R68" s="75" t="s">
        <v>2772</v>
      </c>
      <c r="S68" s="75" t="s">
        <v>2772</v>
      </c>
      <c r="T68" s="75" t="s">
        <v>2772</v>
      </c>
      <c r="U68" s="75" t="s">
        <v>2772</v>
      </c>
      <c r="V68" s="75" t="s">
        <v>2772</v>
      </c>
      <c r="W68" s="75">
        <v>11</v>
      </c>
      <c r="X68" s="75">
        <v>14.8</v>
      </c>
      <c r="Y68" s="75">
        <v>6.5</v>
      </c>
      <c r="Z68" s="75" t="s">
        <v>2774</v>
      </c>
      <c r="AA68" s="77">
        <v>21.854304635761601</v>
      </c>
      <c r="AB68" s="75">
        <v>0.39</v>
      </c>
      <c r="AD68" s="75">
        <v>0</v>
      </c>
      <c r="AE68" s="75" t="s">
        <v>2772</v>
      </c>
      <c r="AF68" s="75" t="s">
        <v>2772</v>
      </c>
      <c r="AG68" s="75" t="s">
        <v>2772</v>
      </c>
      <c r="AH68" s="75">
        <v>3</v>
      </c>
      <c r="AI68" s="75" t="s">
        <v>2772</v>
      </c>
      <c r="AJ68" s="75">
        <v>3</v>
      </c>
      <c r="AK68" s="75" t="s">
        <v>2772</v>
      </c>
      <c r="AL68" s="75" t="s">
        <v>2772</v>
      </c>
      <c r="AM68" s="75" t="s">
        <v>2772</v>
      </c>
      <c r="AN68" s="75" t="s">
        <v>2772</v>
      </c>
      <c r="AO68" s="78" t="str">
        <f>HYPERLINK(".\links\AAM-CEMENT-2018\EEC00903.1-AAM-CEMENT-2018.txt","Extracted CDS")</f>
        <v>Extracted CDS</v>
      </c>
      <c r="AP68" s="75" t="str">
        <f>HYPERLINK("http://www.ncbi.nlm.nih.gov/sutils/blink.cgi?pid=Aam-16245","1.0")</f>
        <v>1.0</v>
      </c>
      <c r="AQ68" s="75" t="str">
        <f>HYPERLINK("http://www.ncbi.nlm.nih.gov/protein/Aam-16245","Aam-16245")</f>
        <v>Aam-16245</v>
      </c>
      <c r="AR68" s="75">
        <v>21.6</v>
      </c>
      <c r="AS68" s="75">
        <v>24</v>
      </c>
      <c r="AT68" s="75">
        <v>104</v>
      </c>
      <c r="AU68" s="75">
        <v>50</v>
      </c>
      <c r="AV68" s="75">
        <v>62</v>
      </c>
      <c r="AW68" s="75">
        <v>23</v>
      </c>
      <c r="AX68" s="75">
        <v>12</v>
      </c>
      <c r="AY68" s="75">
        <v>1</v>
      </c>
      <c r="AZ68" s="75">
        <v>81</v>
      </c>
      <c r="BA68" s="75">
        <v>123</v>
      </c>
      <c r="BB68" s="75">
        <v>1</v>
      </c>
      <c r="BC68" s="75" t="s">
        <v>2775</v>
      </c>
      <c r="BD68" s="78" t="str">
        <f>HYPERLINK(".\links\CDD\EEC00903.1-CDD.txt","KISc_KHC_KIF5 Kinesin motor domain kinesin heavy chain")</f>
        <v>KISc_KHC_KIF5 Kinesin motor domain kinesin heavy chain</v>
      </c>
      <c r="BE68" s="75">
        <v>0.24</v>
      </c>
      <c r="BF68" s="75">
        <v>28</v>
      </c>
      <c r="BG68" s="75" t="s">
        <v>3181</v>
      </c>
      <c r="BH68" s="75" t="s">
        <v>3188</v>
      </c>
      <c r="BI68" s="75" t="str">
        <f>HYPERLINK(".\links\KOG\EEC00903.1-KOG.txt","CDD:224127 COG1206, Gid, NA")</f>
        <v>CDD:224127 COG1206, Gid, NA</v>
      </c>
      <c r="BJ68" s="75">
        <v>0.41</v>
      </c>
      <c r="BK68" s="75">
        <v>12.1</v>
      </c>
      <c r="BL68" s="75" t="s">
        <v>3183</v>
      </c>
      <c r="BM68" s="75" t="s">
        <v>2779</v>
      </c>
      <c r="BN68" s="78" t="str">
        <f>HYPERLINK(".\links\PFAM\EEC00903.1-PFAM.txt","NHS NHS-like")</f>
        <v>NHS NHS-like</v>
      </c>
      <c r="BO68" s="75">
        <v>0.3</v>
      </c>
      <c r="BP68" s="75">
        <v>11.7</v>
      </c>
      <c r="BQ68" s="75" t="s">
        <v>3184</v>
      </c>
      <c r="BR68" s="75" t="s">
        <v>2772</v>
      </c>
      <c r="BS68" s="78" t="str">
        <f>HYPERLINK(".\links\SMART\EEC00903.1-SMART.txt","CDD:214526 smart00129, KISc, Kinesin motor, catalytic domain")</f>
        <v>CDD:214526 smart00129, KISc, Kinesin motor, catalytic domain</v>
      </c>
      <c r="BT68" s="75">
        <v>1.2</v>
      </c>
      <c r="BU68" s="75">
        <v>15.8</v>
      </c>
      <c r="BV68" s="75" t="s">
        <v>2861</v>
      </c>
      <c r="BW68" s="75" t="s">
        <v>2772</v>
      </c>
      <c r="BX68" s="78" t="str">
        <f>HYPERLINK(".\links\TSF\EEC00903.1-TSF.txt","35-161 35-161, GRP|Chitin binding|S|")</f>
        <v>35-161 35-161, GRP|Chitin binding|S|</v>
      </c>
      <c r="BY68" s="79">
        <v>5.0000000000000002E-62</v>
      </c>
      <c r="BZ68" s="75">
        <v>69</v>
      </c>
      <c r="CA68" s="75" t="s">
        <v>3185</v>
      </c>
      <c r="CB68" s="75" t="s">
        <v>2863</v>
      </c>
      <c r="CC68" s="75" t="s">
        <v>2864</v>
      </c>
      <c r="CD68" s="75" t="s">
        <v>2785</v>
      </c>
      <c r="CE68" s="75" t="s">
        <v>3186</v>
      </c>
      <c r="CF68" s="75">
        <f>HYPERLINK(".\links\cluster-b\Ixsc-cement-202225-50SimCLU1.txt", 1)</f>
        <v>1</v>
      </c>
      <c r="CG68" s="75">
        <f>HYPERLINK(".\links\cluster-b\Ixsc-cement-202225-50SimCLTL1.txt", 20)</f>
        <v>20</v>
      </c>
      <c r="CH68" s="75">
        <f>HYPERLINK(".\links\cluster-b\Ixsc-cement-202230-50SimCLU12.txt", 12)</f>
        <v>12</v>
      </c>
      <c r="CI68" s="75">
        <f>HYPERLINK(".\links\cluster-b\Ixsc-cement-202230-50SimCLTL12.txt", 2)</f>
        <v>2</v>
      </c>
      <c r="CJ68" s="75">
        <f>HYPERLINK(".\links\cluster-b\Ixsc-cement-202235-50SimCLU11.txt", 11)</f>
        <v>11</v>
      </c>
      <c r="CK68" s="75">
        <f>HYPERLINK(".\links\cluster-b\Ixsc-cement-202235-50SimCLTL11.txt", 2)</f>
        <v>2</v>
      </c>
      <c r="CL68" s="75">
        <f>HYPERLINK(".\links\cluster-b\Ixsc-cement-202240-50SimCLU12.txt", 12)</f>
        <v>12</v>
      </c>
      <c r="CM68" s="75">
        <f>HYPERLINK(".\links\cluster-b\Ixsc-cement-202240-50SimCLTL12.txt", 2)</f>
        <v>2</v>
      </c>
      <c r="CN68" s="75">
        <f>HYPERLINK(".\links\cluster-b\Ixsc-cement-202245-50SimCLU12.txt", 12)</f>
        <v>12</v>
      </c>
      <c r="CO68" s="75">
        <f>HYPERLINK(".\links\cluster-b\Ixsc-cement-202245-50SimCLTL12.txt", 2)</f>
        <v>2</v>
      </c>
      <c r="CP68" s="75">
        <f>HYPERLINK(".\links\cluster-b\Ixsc-cement-202250-50SimCLU11.txt", 11)</f>
        <v>11</v>
      </c>
      <c r="CQ68" s="75">
        <f>HYPERLINK(".\links\cluster-b\Ixsc-cement-202250-50SimCLTL11.txt", 2)</f>
        <v>2</v>
      </c>
      <c r="CR68" s="75">
        <f>HYPERLINK(".\links\cluster-b\Ixsc-cement-202255-50SimCLU10.txt", 10)</f>
        <v>10</v>
      </c>
      <c r="CS68" s="75">
        <f>HYPERLINK(".\links\cluster-b\Ixsc-cement-202255-50SimCLTL10.txt", 2)</f>
        <v>2</v>
      </c>
      <c r="CT68" s="75">
        <f>HYPERLINK(".\links\cluster-b\Ixsc-cement-202260-50SimCLU10.txt", 10)</f>
        <v>10</v>
      </c>
      <c r="CU68" s="75">
        <f>HYPERLINK(".\links\cluster-b\Ixsc-cement-202260-50SimCLTL10.txt", 2)</f>
        <v>2</v>
      </c>
      <c r="CV68" s="75">
        <f>HYPERLINK(".\links\cluster-b\Ixsc-cement-202265-50SimCLU9.txt", 9)</f>
        <v>9</v>
      </c>
      <c r="CW68" s="75">
        <f>HYPERLINK(".\links\cluster-b\Ixsc-cement-202265-50SimCLTL9.txt", 2)</f>
        <v>2</v>
      </c>
      <c r="CX68" s="75">
        <f>HYPERLINK(".\links\cluster-b\Ixsc-cement-202270-50SimCLU9.txt", 9)</f>
        <v>9</v>
      </c>
      <c r="CY68" s="75">
        <f>HYPERLINK(".\links\cluster-b\Ixsc-cement-202270-50SimCLTL9.txt", 2)</f>
        <v>2</v>
      </c>
      <c r="CZ68" s="75">
        <f>HYPERLINK(".\links\cluster-b\Ixsc-cement-202275-50SimCLU9.txt", 9)</f>
        <v>9</v>
      </c>
      <c r="DA68" s="75">
        <f>HYPERLINK(".\links\cluster-b\Ixsc-cement-202275-50SimCLTL9.txt", 2)</f>
        <v>2</v>
      </c>
      <c r="DB68" s="75">
        <f>HYPERLINK(".\links\cluster-b\Ixsc-cement-202280-50SimCLU8.txt", 8)</f>
        <v>8</v>
      </c>
      <c r="DC68" s="75">
        <f>HYPERLINK(".\links\cluster-b\Ixsc-cement-202280-50SimCLTL8.txt", 2)</f>
        <v>2</v>
      </c>
      <c r="DD68" s="75">
        <f>HYPERLINK(".\links\cluster-b\Ixsc-cement-202285-50SimCLU6.txt", 6)</f>
        <v>6</v>
      </c>
      <c r="DE68" s="75">
        <f>HYPERLINK(".\links\cluster-b\Ixsc-cement-202285-50SimCLTL6.txt", 2)</f>
        <v>2</v>
      </c>
      <c r="DF68" s="75">
        <f>HYPERLINK(".\links\cluster-b\Ixsc-cement-202290-50SimCLU6.txt", 6)</f>
        <v>6</v>
      </c>
      <c r="DG68" s="75">
        <f>HYPERLINK(".\links\cluster-b\Ixsc-cement-202290-50SimCLTL6.txt", 2)</f>
        <v>2</v>
      </c>
      <c r="DH68" s="75">
        <f>HYPERLINK(".\links\cluster-b\Ixsc-cement-202295-50SimCLU6.txt", 6)</f>
        <v>6</v>
      </c>
      <c r="DI68" s="75">
        <f>HYPERLINK(".\links\cluster-b\Ixsc-cement-202295-50SimCLTL6.txt", 2)</f>
        <v>2</v>
      </c>
      <c r="DJ68" s="75" t="s">
        <v>122</v>
      </c>
      <c r="DK68" s="75" t="str">
        <f>HYPERLINK(".\links\AAM-CEMENT-2018\EEC00903.1-AAM-CEMENT-2018.txt","Extracted CDS")</f>
        <v>Extracted CDS</v>
      </c>
      <c r="DL68" s="75" t="str">
        <f>HYPERLINK("http://www.ncbi.nlm.nih.gov/sutils/blink.cgi?pid=Aam-16245","1.0")</f>
        <v>1.0</v>
      </c>
      <c r="DM68" s="75" t="str">
        <f>HYPERLINK("http://www.ncbi.nlm.nih.gov/protein/Aam-16245","Aam-16245")</f>
        <v>Aam-16245</v>
      </c>
      <c r="DN68" s="75">
        <v>21.6</v>
      </c>
      <c r="DO68" s="75">
        <v>24</v>
      </c>
      <c r="DP68" s="75">
        <v>104</v>
      </c>
      <c r="DQ68" s="75">
        <v>50</v>
      </c>
      <c r="DR68" s="75">
        <v>62</v>
      </c>
      <c r="DS68" s="75">
        <v>23</v>
      </c>
      <c r="DT68" s="75">
        <v>12</v>
      </c>
      <c r="DU68" s="75">
        <v>1</v>
      </c>
      <c r="DV68" s="75">
        <v>81</v>
      </c>
      <c r="DW68" s="75">
        <v>123</v>
      </c>
      <c r="DX68" s="75">
        <v>1</v>
      </c>
      <c r="DY68" s="75" t="s">
        <v>2775</v>
      </c>
      <c r="DZ68" s="75" t="str">
        <f>HYPERLINK(".\links\CDD\EEC00903.1-CDD.txt","KISc_KHC_KIF5 Kinesin motor domain kinesin heavy chain")</f>
        <v>KISc_KHC_KIF5 Kinesin motor domain kinesin heavy chain</v>
      </c>
      <c r="EA68" s="75">
        <v>0.24</v>
      </c>
      <c r="EB68" s="75">
        <v>28</v>
      </c>
      <c r="EC68" s="75" t="s">
        <v>3181</v>
      </c>
      <c r="ED68" s="75" t="s">
        <v>3188</v>
      </c>
      <c r="EE68" s="75" t="str">
        <f>HYPERLINK(".\links\KOG\EEC00903.1-KOG.txt","CDD:224127 COG1206, Gid, NA")</f>
        <v>CDD:224127 COG1206, Gid, NA</v>
      </c>
      <c r="EF68" s="75">
        <v>0.41</v>
      </c>
      <c r="EG68" s="75">
        <v>12.1</v>
      </c>
      <c r="EH68" s="75" t="s">
        <v>3183</v>
      </c>
      <c r="EI68" s="75" t="s">
        <v>2779</v>
      </c>
      <c r="EJ68" s="75" t="str">
        <f>HYPERLINK(".\links\PFAM\EEC00903.1-PFAM.txt","NHS NHS-like")</f>
        <v>NHS NHS-like</v>
      </c>
      <c r="EK68" s="75">
        <v>0.3</v>
      </c>
      <c r="EL68" s="75">
        <v>11.7</v>
      </c>
      <c r="EM68" s="75" t="s">
        <v>3184</v>
      </c>
      <c r="EN68" s="75" t="s">
        <v>2772</v>
      </c>
      <c r="EO68" s="75" t="str">
        <f>HYPERLINK(".\links\SMART\EEC00903.1-SMART.txt","CDD:214526 smart00129, KISc, Kinesin motor, catalytic domain")</f>
        <v>CDD:214526 smart00129, KISc, Kinesin motor, catalytic domain</v>
      </c>
      <c r="EP68" s="75">
        <v>1.2</v>
      </c>
      <c r="EQ68" s="75">
        <v>15.8</v>
      </c>
      <c r="ER68" s="75" t="s">
        <v>2861</v>
      </c>
      <c r="ES68" s="75" t="s">
        <v>2772</v>
      </c>
      <c r="ET68" s="75" t="str">
        <f>HYPERLINK(".\links\TSF\EEC00903.1-TSF.txt","35-161 35-161, GRP|Chitin binding|S|")</f>
        <v>35-161 35-161, GRP|Chitin binding|S|</v>
      </c>
      <c r="EU68" s="79">
        <v>5.0000000000000002E-62</v>
      </c>
      <c r="EV68" s="75">
        <v>69</v>
      </c>
      <c r="EW68" s="75" t="s">
        <v>3185</v>
      </c>
      <c r="EX68" s="75" t="s">
        <v>2863</v>
      </c>
      <c r="EY68" s="75" t="s">
        <v>2864</v>
      </c>
      <c r="EZ68" s="75" t="s">
        <v>2785</v>
      </c>
      <c r="FA68" s="75" t="s">
        <v>3186</v>
      </c>
    </row>
    <row r="69" spans="1:157" x14ac:dyDescent="0.2">
      <c r="A69" s="75" t="str">
        <f>HYPERLINK(".\links\PEP\EEC14464.1-PEP.txt","EEC14464.1")</f>
        <v>EEC14464.1</v>
      </c>
      <c r="B69" s="75" t="s">
        <v>2768</v>
      </c>
      <c r="C69" s="75">
        <v>115</v>
      </c>
      <c r="D69" s="75" t="s">
        <v>3189</v>
      </c>
      <c r="E69" s="76" t="s">
        <v>3163</v>
      </c>
      <c r="F69" s="75" t="s">
        <v>2771</v>
      </c>
      <c r="G69" s="75" t="str">
        <f>HYPERLINK(".\links\Sigp\EEC14464.1-SigP.txt","CYT")</f>
        <v>CYT</v>
      </c>
      <c r="H69" s="75" t="s">
        <v>2772</v>
      </c>
      <c r="I69" s="75">
        <v>12.137</v>
      </c>
      <c r="J69" s="75">
        <v>9.39</v>
      </c>
      <c r="K69" s="75" t="s">
        <v>2772</v>
      </c>
      <c r="L69" s="75" t="s">
        <v>2772</v>
      </c>
      <c r="M69" s="75" t="str">
        <f>HYPERLINK(".\links\netoglyc\EEC14464.1-netoglyc.txt","0")</f>
        <v>0</v>
      </c>
      <c r="N69" s="75" t="s">
        <v>2971</v>
      </c>
      <c r="O69" s="75">
        <v>115</v>
      </c>
      <c r="P69" s="75">
        <v>0</v>
      </c>
      <c r="Q69" s="75" t="s">
        <v>2772</v>
      </c>
      <c r="R69" s="75" t="s">
        <v>2772</v>
      </c>
      <c r="S69" s="75" t="s">
        <v>2772</v>
      </c>
      <c r="T69" s="75" t="s">
        <v>2772</v>
      </c>
      <c r="U69" s="75" t="s">
        <v>2772</v>
      </c>
      <c r="V69" s="75" t="s">
        <v>2772</v>
      </c>
      <c r="W69" s="75">
        <v>5.9</v>
      </c>
      <c r="X69" s="75">
        <v>25.4</v>
      </c>
      <c r="Y69" s="75">
        <v>0.8</v>
      </c>
      <c r="Z69" s="75" t="s">
        <v>2774</v>
      </c>
      <c r="AA69" s="77">
        <v>26.956521739130402</v>
      </c>
      <c r="AB69" s="75">
        <v>0.74</v>
      </c>
      <c r="AC69" s="75" t="s">
        <v>3190</v>
      </c>
      <c r="AD69" s="75">
        <v>0</v>
      </c>
      <c r="AE69" s="75" t="s">
        <v>2772</v>
      </c>
      <c r="AF69" s="75" t="s">
        <v>2772</v>
      </c>
      <c r="AG69" s="75" t="s">
        <v>2772</v>
      </c>
      <c r="AH69" s="75" t="s">
        <v>2772</v>
      </c>
      <c r="AI69" s="75" t="s">
        <v>2772</v>
      </c>
      <c r="AJ69" s="75" t="s">
        <v>2772</v>
      </c>
      <c r="AK69" s="75" t="s">
        <v>2772</v>
      </c>
      <c r="AL69" s="75" t="s">
        <v>2772</v>
      </c>
      <c r="AM69" s="75" t="s">
        <v>2772</v>
      </c>
      <c r="AN69" s="75" t="s">
        <v>2772</v>
      </c>
      <c r="AO69" s="78" t="str">
        <f>HYPERLINK(".\links\AAM-CEMENT-2018\EEC14464.1-AAM-CEMENT-2018.txt","Extracted CDS")</f>
        <v>Extracted CDS</v>
      </c>
      <c r="AP69" s="75" t="str">
        <f>HYPERLINK("http://www.ncbi.nlm.nih.gov/sutils/blink.cgi?pid=Aam-194352","12")</f>
        <v>12</v>
      </c>
      <c r="AQ69" s="75" t="str">
        <f>HYPERLINK("http://www.ncbi.nlm.nih.gov/protein/Aam-194352","Aam-194352")</f>
        <v>Aam-194352</v>
      </c>
      <c r="AR69" s="75">
        <v>18.100000000000001</v>
      </c>
      <c r="AS69" s="75">
        <v>20</v>
      </c>
      <c r="AT69" s="75">
        <v>148</v>
      </c>
      <c r="AU69" s="75">
        <v>45</v>
      </c>
      <c r="AV69" s="75">
        <v>50</v>
      </c>
      <c r="AW69" s="75">
        <v>14</v>
      </c>
      <c r="AX69" s="75">
        <v>11</v>
      </c>
      <c r="AY69" s="75">
        <v>0</v>
      </c>
      <c r="AZ69" s="75">
        <v>23</v>
      </c>
      <c r="BA69" s="75">
        <v>73</v>
      </c>
      <c r="BB69" s="75">
        <v>1</v>
      </c>
      <c r="BC69" s="75" t="s">
        <v>2775</v>
      </c>
      <c r="BD69" s="78" t="str">
        <f>HYPERLINK(".\links\CDD\EEC14464.1-CDD.txt","DUF3300 Protein of unknown function")</f>
        <v>DUF3300 Protein of unknown function</v>
      </c>
      <c r="BE69" s="75">
        <v>1.2999999999999999E-2</v>
      </c>
      <c r="BF69" s="75">
        <v>24.5</v>
      </c>
      <c r="BG69" s="75" t="s">
        <v>3191</v>
      </c>
      <c r="BH69" s="75" t="s">
        <v>3192</v>
      </c>
      <c r="BI69" s="75" t="str">
        <f>HYPERLINK(".\links\KOG\EEC14464.1-KOG.txt","CDD:226417 COG3901, NosR, Regulator of nitric oxide reductase transcription")</f>
        <v>CDD:226417 COG3901, NosR, Regulator of nitric oxide reductase transcription</v>
      </c>
      <c r="BJ69" s="75">
        <v>0.56000000000000005</v>
      </c>
      <c r="BK69" s="75">
        <v>9.5</v>
      </c>
      <c r="BL69" s="75" t="s">
        <v>3193</v>
      </c>
      <c r="BM69" s="75" t="s">
        <v>2779</v>
      </c>
      <c r="BN69" s="78" t="str">
        <f>HYPERLINK(".\links\PFAM\EEC14464.1-PFAM.txt","DUF3300 Protein of unknown function")</f>
        <v>DUF3300 Protein of unknown function</v>
      </c>
      <c r="BO69" s="75">
        <v>3.0000000000000001E-3</v>
      </c>
      <c r="BP69" s="75">
        <v>24.5</v>
      </c>
      <c r="BQ69" s="75" t="s">
        <v>3191</v>
      </c>
      <c r="BR69" s="75" t="s">
        <v>2772</v>
      </c>
      <c r="BS69" s="78" t="str">
        <f>HYPERLINK(".\links\SMART\EEC14464.1-SMART.txt","CDD:197563 smart00187, INB, Integrin beta subunits")</f>
        <v>CDD:197563 smart00187, INB, Integrin beta subunits</v>
      </c>
      <c r="BT69" s="75">
        <v>0.5</v>
      </c>
      <c r="BU69" s="75">
        <v>5.4</v>
      </c>
      <c r="BV69" s="75" t="s">
        <v>3194</v>
      </c>
      <c r="BW69" s="75" t="s">
        <v>2772</v>
      </c>
      <c r="BX69" s="78" t="str">
        <f>HYPERLINK(".\links\TSF\EEC14464.1-TSF.txt","65-134 65-134, GRP|Large GYY|S|")</f>
        <v>65-134 65-134, GRP|Large GYY|S|</v>
      </c>
      <c r="BY69" s="79">
        <v>6.9999999999999995E-29</v>
      </c>
      <c r="BZ69" s="75">
        <v>82.4</v>
      </c>
      <c r="CA69" s="75" t="s">
        <v>3195</v>
      </c>
      <c r="CB69" s="75" t="s">
        <v>2863</v>
      </c>
      <c r="CC69" s="75" t="s">
        <v>3196</v>
      </c>
      <c r="CD69" s="75" t="s">
        <v>2785</v>
      </c>
      <c r="CE69" s="75" t="s">
        <v>3197</v>
      </c>
      <c r="CF69" s="75">
        <f>HYPERLINK(".\links\cluster-b\Ixsc-cement-202225-50SimCLU1.txt", 1)</f>
        <v>1</v>
      </c>
      <c r="CG69" s="75">
        <f>HYPERLINK(".\links\cluster-b\Ixsc-cement-202225-50SimCLTL1.txt", 20)</f>
        <v>20</v>
      </c>
      <c r="CH69" s="75">
        <v>67</v>
      </c>
      <c r="CI69" s="75">
        <v>1</v>
      </c>
      <c r="CJ69" s="75">
        <v>68</v>
      </c>
      <c r="CK69" s="75">
        <v>1</v>
      </c>
      <c r="CL69" s="75">
        <v>72</v>
      </c>
      <c r="CM69" s="75">
        <v>1</v>
      </c>
      <c r="CN69" s="75">
        <v>76</v>
      </c>
      <c r="CO69" s="75">
        <v>1</v>
      </c>
      <c r="CP69" s="75">
        <v>78</v>
      </c>
      <c r="CQ69" s="75">
        <v>1</v>
      </c>
      <c r="CR69" s="75">
        <v>79</v>
      </c>
      <c r="CS69" s="75">
        <v>1</v>
      </c>
      <c r="CT69" s="75">
        <v>83</v>
      </c>
      <c r="CU69" s="75">
        <v>1</v>
      </c>
      <c r="CV69" s="75">
        <v>86</v>
      </c>
      <c r="CW69" s="75">
        <v>1</v>
      </c>
      <c r="CX69" s="75">
        <v>90</v>
      </c>
      <c r="CY69" s="75">
        <v>1</v>
      </c>
      <c r="CZ69" s="75">
        <v>92</v>
      </c>
      <c r="DA69" s="75">
        <v>1</v>
      </c>
      <c r="DB69" s="75">
        <v>98</v>
      </c>
      <c r="DC69" s="75">
        <v>1</v>
      </c>
      <c r="DD69" s="75">
        <v>101</v>
      </c>
      <c r="DE69" s="75">
        <v>1</v>
      </c>
      <c r="DF69" s="75">
        <v>103</v>
      </c>
      <c r="DG69" s="75">
        <v>1</v>
      </c>
      <c r="DH69" s="75">
        <v>104</v>
      </c>
      <c r="DI69" s="75">
        <v>1</v>
      </c>
      <c r="DJ69" s="75" t="s">
        <v>121</v>
      </c>
      <c r="DK69" s="75" t="str">
        <f>HYPERLINK(".\links\AAM-CEMENT-2018\EEC14464.1-AAM-CEMENT-2018.txt","Extracted CDS")</f>
        <v>Extracted CDS</v>
      </c>
      <c r="DL69" s="75" t="str">
        <f>HYPERLINK("http://www.ncbi.nlm.nih.gov/sutils/blink.cgi?pid=Aam-194352","12")</f>
        <v>12</v>
      </c>
      <c r="DM69" s="75" t="str">
        <f>HYPERLINK("http://www.ncbi.nlm.nih.gov/protein/Aam-194352","Aam-194352")</f>
        <v>Aam-194352</v>
      </c>
      <c r="DN69" s="75">
        <v>18.100000000000001</v>
      </c>
      <c r="DO69" s="75">
        <v>20</v>
      </c>
      <c r="DP69" s="75">
        <v>148</v>
      </c>
      <c r="DQ69" s="75">
        <v>45</v>
      </c>
      <c r="DR69" s="75">
        <v>50</v>
      </c>
      <c r="DS69" s="75">
        <v>14</v>
      </c>
      <c r="DT69" s="75">
        <v>11</v>
      </c>
      <c r="DU69" s="75">
        <v>0</v>
      </c>
      <c r="DV69" s="75">
        <v>23</v>
      </c>
      <c r="DW69" s="75">
        <v>73</v>
      </c>
      <c r="DX69" s="75">
        <v>1</v>
      </c>
      <c r="DY69" s="75" t="s">
        <v>2775</v>
      </c>
      <c r="DZ69" s="75" t="str">
        <f>HYPERLINK(".\links\CDD\EEC14464.1-CDD.txt","DUF3300 Protein of unknown function")</f>
        <v>DUF3300 Protein of unknown function</v>
      </c>
      <c r="EA69" s="75">
        <v>1.2999999999999999E-2</v>
      </c>
      <c r="EB69" s="75">
        <v>24.5</v>
      </c>
      <c r="EC69" s="75" t="s">
        <v>3191</v>
      </c>
      <c r="ED69" s="75" t="s">
        <v>3192</v>
      </c>
      <c r="EE69" s="75" t="str">
        <f>HYPERLINK(".\links\KOG\EEC14464.1-KOG.txt","CDD:226417 COG3901, NosR, Regulator of nitric oxide reductase transcription")</f>
        <v>CDD:226417 COG3901, NosR, Regulator of nitric oxide reductase transcription</v>
      </c>
      <c r="EF69" s="75">
        <v>0.56000000000000005</v>
      </c>
      <c r="EG69" s="75">
        <v>9.5</v>
      </c>
      <c r="EH69" s="75" t="s">
        <v>3193</v>
      </c>
      <c r="EI69" s="75" t="s">
        <v>2779</v>
      </c>
      <c r="EJ69" s="75" t="str">
        <f>HYPERLINK(".\links\PFAM\EEC14464.1-PFAM.txt","DUF3300 Protein of unknown function")</f>
        <v>DUF3300 Protein of unknown function</v>
      </c>
      <c r="EK69" s="75">
        <v>3.0000000000000001E-3</v>
      </c>
      <c r="EL69" s="75">
        <v>24.5</v>
      </c>
      <c r="EM69" s="75" t="s">
        <v>3191</v>
      </c>
      <c r="EN69" s="75" t="s">
        <v>2772</v>
      </c>
      <c r="EO69" s="75" t="str">
        <f>HYPERLINK(".\links\SMART\EEC14464.1-SMART.txt","CDD:197563 smart00187, INB, Integrin beta subunits")</f>
        <v>CDD:197563 smart00187, INB, Integrin beta subunits</v>
      </c>
      <c r="EP69" s="75">
        <v>0.5</v>
      </c>
      <c r="EQ69" s="75">
        <v>5.4</v>
      </c>
      <c r="ER69" s="75" t="s">
        <v>3194</v>
      </c>
      <c r="ES69" s="75" t="s">
        <v>2772</v>
      </c>
      <c r="ET69" s="75" t="str">
        <f>HYPERLINK(".\links\TSF\EEC14464.1-TSF.txt","65-134 65-134, GRP|Large GYY|S|")</f>
        <v>65-134 65-134, GRP|Large GYY|S|</v>
      </c>
      <c r="EU69" s="79">
        <v>6.9999999999999995E-29</v>
      </c>
      <c r="EV69" s="75">
        <v>82.4</v>
      </c>
      <c r="EW69" s="75" t="s">
        <v>3195</v>
      </c>
      <c r="EX69" s="75" t="s">
        <v>2863</v>
      </c>
      <c r="EY69" s="75" t="s">
        <v>3196</v>
      </c>
      <c r="EZ69" s="75" t="s">
        <v>2785</v>
      </c>
      <c r="FA69" s="75" t="s">
        <v>3197</v>
      </c>
    </row>
    <row r="70" spans="1:157" x14ac:dyDescent="0.2">
      <c r="A70" s="75" t="str">
        <f>HYPERLINK(".\links\PEP\EEC14470.1-PEP.txt","EEC14470.1")</f>
        <v>EEC14470.1</v>
      </c>
      <c r="B70" s="75" t="s">
        <v>2768</v>
      </c>
      <c r="C70" s="75">
        <v>218</v>
      </c>
      <c r="D70" s="75" t="s">
        <v>3172</v>
      </c>
      <c r="E70" s="76" t="s">
        <v>3163</v>
      </c>
      <c r="F70" s="75" t="s">
        <v>2771</v>
      </c>
      <c r="G70" s="75" t="str">
        <f>HYPERLINK(".\links\Sigp\EEC14470.1-SigP.txt","SIG")</f>
        <v>SIG</v>
      </c>
      <c r="H70" s="75" t="s">
        <v>3198</v>
      </c>
      <c r="I70" s="75">
        <v>21.481000000000002</v>
      </c>
      <c r="J70" s="75">
        <v>9.43</v>
      </c>
      <c r="K70" s="75">
        <v>19.404</v>
      </c>
      <c r="L70" s="75">
        <v>9.43</v>
      </c>
      <c r="M70" s="75" t="str">
        <f>HYPERLINK(".\links\netoglyc\EEC14470.1-netoglyc.txt","0")</f>
        <v>0</v>
      </c>
      <c r="N70" s="75" t="s">
        <v>3199</v>
      </c>
      <c r="O70" s="75">
        <v>218</v>
      </c>
      <c r="P70" s="75">
        <v>0</v>
      </c>
      <c r="Q70" s="75" t="s">
        <v>2772</v>
      </c>
      <c r="R70" s="75" t="s">
        <v>2772</v>
      </c>
      <c r="S70" s="75" t="s">
        <v>2772</v>
      </c>
      <c r="T70" s="75" t="s">
        <v>2772</v>
      </c>
      <c r="U70" s="75" t="s">
        <v>2772</v>
      </c>
      <c r="V70" s="75" t="s">
        <v>2772</v>
      </c>
      <c r="W70" s="75">
        <v>5.8</v>
      </c>
      <c r="X70" s="75">
        <v>31.4</v>
      </c>
      <c r="Y70" s="75">
        <v>2.2000000000000002</v>
      </c>
      <c r="Z70" s="75">
        <v>5.4</v>
      </c>
      <c r="AA70" s="77">
        <v>34.403669724770602</v>
      </c>
      <c r="AB70" s="75">
        <v>0.65</v>
      </c>
      <c r="AC70" s="75" t="s">
        <v>3200</v>
      </c>
      <c r="AD70" s="75">
        <v>1</v>
      </c>
      <c r="AE70" s="75" t="s">
        <v>2772</v>
      </c>
      <c r="AF70" s="75" t="s">
        <v>2772</v>
      </c>
      <c r="AG70" s="75" t="s">
        <v>2772</v>
      </c>
      <c r="AH70" s="75">
        <v>1</v>
      </c>
      <c r="AI70" s="75">
        <v>3</v>
      </c>
      <c r="AJ70" s="75">
        <v>3</v>
      </c>
      <c r="AK70" s="75" t="s">
        <v>2772</v>
      </c>
      <c r="AL70" s="75" t="s">
        <v>2772</v>
      </c>
      <c r="AM70" s="75" t="s">
        <v>2772</v>
      </c>
      <c r="AN70" s="75" t="s">
        <v>2772</v>
      </c>
      <c r="AO70" s="78" t="str">
        <f>HYPERLINK(".\links\AAM-CEMENT-2018\EEC14470.1-AAM-CEMENT-2018.txt","Extracted CDS")</f>
        <v>Extracted CDS</v>
      </c>
      <c r="AP70" s="75" t="str">
        <f>HYPERLINK("http://www.ncbi.nlm.nih.gov/sutils/blink.cgi?pid=Aam-25369","1.3")</f>
        <v>1.3</v>
      </c>
      <c r="AQ70" s="75" t="str">
        <f>HYPERLINK("http://www.ncbi.nlm.nih.gov/protein/Aam-25369","Aam-25369")</f>
        <v>Aam-25369</v>
      </c>
      <c r="AR70" s="75">
        <v>22.3</v>
      </c>
      <c r="AS70" s="75">
        <v>133</v>
      </c>
      <c r="AT70" s="75">
        <v>187</v>
      </c>
      <c r="AU70" s="75">
        <v>33</v>
      </c>
      <c r="AV70" s="75">
        <v>43</v>
      </c>
      <c r="AW70" s="75">
        <v>71</v>
      </c>
      <c r="AX70" s="75">
        <v>88</v>
      </c>
      <c r="AY70" s="75">
        <v>11</v>
      </c>
      <c r="AZ70" s="75">
        <v>1</v>
      </c>
      <c r="BA70" s="75">
        <v>10</v>
      </c>
      <c r="BB70" s="75">
        <v>1</v>
      </c>
      <c r="BC70" s="75" t="s">
        <v>2775</v>
      </c>
      <c r="BD70" s="78" t="str">
        <f>HYPERLINK(".\links\CDD\EEC14470.1-CDD.txt","Phage_tail_3 Phage tail tube protein TTP")</f>
        <v>Phage_tail_3 Phage tail tube protein TTP</v>
      </c>
      <c r="BE70" s="75">
        <v>13</v>
      </c>
      <c r="BF70" s="75">
        <v>14.5</v>
      </c>
      <c r="BG70" s="75" t="s">
        <v>3201</v>
      </c>
      <c r="BH70" s="75" t="s">
        <v>3202</v>
      </c>
      <c r="BI70" s="75" t="str">
        <f>HYPERLINK(".\links\KOG\EEC14470.1-KOG.txt","CDD:225686 COG3144, FliK, Flagellar hook-length control protein")</f>
        <v>CDD:225686 COG3144, FliK, Flagellar hook-length control protein</v>
      </c>
      <c r="BJ70" s="75">
        <v>3.3</v>
      </c>
      <c r="BK70" s="75">
        <v>14.4</v>
      </c>
      <c r="BL70" s="75" t="s">
        <v>3203</v>
      </c>
      <c r="BM70" s="75" t="s">
        <v>2779</v>
      </c>
      <c r="BN70" s="78" t="str">
        <f>HYPERLINK(".\links\PFAM\EEC14470.1-PFAM.txt","Phage_tail_3 Phage tail tube protein TTP")</f>
        <v>Phage_tail_3 Phage tail tube protein TTP</v>
      </c>
      <c r="BO70" s="75">
        <v>3.1</v>
      </c>
      <c r="BP70" s="75">
        <v>14.5</v>
      </c>
      <c r="BQ70" s="75" t="s">
        <v>3201</v>
      </c>
      <c r="BR70" s="75" t="s">
        <v>2772</v>
      </c>
      <c r="BS70" s="78" t="str">
        <f>HYPERLINK(".\links\SMART\EEC14470.1-SMART.txt","CDD:214506 smart00078, IlGF, Insulin / insulin-like growth factor / relaxin family")</f>
        <v>CDD:214506 smart00078, IlGF, Insulin / insulin-like growth factor / relaxin family</v>
      </c>
      <c r="BT70" s="75">
        <v>9.6999999999999993</v>
      </c>
      <c r="BU70" s="75">
        <v>13.6</v>
      </c>
      <c r="BV70" s="75" t="s">
        <v>3204</v>
      </c>
      <c r="BW70" s="75" t="s">
        <v>2772</v>
      </c>
      <c r="BX70" s="78" t="str">
        <f>HYPERLINK(".\links\TSF\EEC14470.1-TSF.txt","55-691 55-691, GRP|Large GYY|S|")</f>
        <v>55-691 55-691, GRP|Large GYY|S|</v>
      </c>
      <c r="BY70" s="79">
        <v>5.0000000000000002E-14</v>
      </c>
      <c r="BZ70" s="75">
        <v>38.799999999999997</v>
      </c>
      <c r="CA70" s="75" t="s">
        <v>3205</v>
      </c>
      <c r="CB70" s="75" t="s">
        <v>2863</v>
      </c>
      <c r="CC70" s="75" t="s">
        <v>3196</v>
      </c>
      <c r="CD70" s="75" t="s">
        <v>2785</v>
      </c>
      <c r="CE70" s="75" t="s">
        <v>3206</v>
      </c>
      <c r="CF70" s="75">
        <v>58</v>
      </c>
      <c r="CG70" s="75">
        <v>1</v>
      </c>
      <c r="CH70" s="75">
        <v>68</v>
      </c>
      <c r="CI70" s="75">
        <v>1</v>
      </c>
      <c r="CJ70" s="75">
        <v>69</v>
      </c>
      <c r="CK70" s="75">
        <v>1</v>
      </c>
      <c r="CL70" s="75">
        <v>73</v>
      </c>
      <c r="CM70" s="75">
        <v>1</v>
      </c>
      <c r="CN70" s="75">
        <v>77</v>
      </c>
      <c r="CO70" s="75">
        <v>1</v>
      </c>
      <c r="CP70" s="75">
        <v>79</v>
      </c>
      <c r="CQ70" s="75">
        <v>1</v>
      </c>
      <c r="CR70" s="75">
        <v>80</v>
      </c>
      <c r="CS70" s="75">
        <v>1</v>
      </c>
      <c r="CT70" s="75">
        <v>84</v>
      </c>
      <c r="CU70" s="75">
        <v>1</v>
      </c>
      <c r="CV70" s="75">
        <v>87</v>
      </c>
      <c r="CW70" s="75">
        <v>1</v>
      </c>
      <c r="CX70" s="75">
        <v>91</v>
      </c>
      <c r="CY70" s="75">
        <v>1</v>
      </c>
      <c r="CZ70" s="75">
        <v>93</v>
      </c>
      <c r="DA70" s="75">
        <v>1</v>
      </c>
      <c r="DB70" s="75">
        <v>99</v>
      </c>
      <c r="DC70" s="75">
        <v>1</v>
      </c>
      <c r="DD70" s="75">
        <v>102</v>
      </c>
      <c r="DE70" s="75">
        <v>1</v>
      </c>
      <c r="DF70" s="75">
        <v>104</v>
      </c>
      <c r="DG70" s="75">
        <v>1</v>
      </c>
      <c r="DH70" s="75">
        <v>105</v>
      </c>
      <c r="DI70" s="75">
        <v>1</v>
      </c>
      <c r="DJ70" s="75" t="s">
        <v>154</v>
      </c>
      <c r="DK70" s="75" t="str">
        <f>HYPERLINK(".\links\AAM-CEMENT-2018\EEC14470.1-AAM-CEMENT-2018.txt","Extracted CDS")</f>
        <v>Extracted CDS</v>
      </c>
      <c r="DL70" s="75" t="str">
        <f>HYPERLINK("http://www.ncbi.nlm.nih.gov/sutils/blink.cgi?pid=Aam-25369","1.3")</f>
        <v>1.3</v>
      </c>
      <c r="DM70" s="75" t="str">
        <f>HYPERLINK("http://www.ncbi.nlm.nih.gov/protein/Aam-25369","Aam-25369")</f>
        <v>Aam-25369</v>
      </c>
      <c r="DN70" s="75">
        <v>22.3</v>
      </c>
      <c r="DO70" s="75">
        <v>133</v>
      </c>
      <c r="DP70" s="75">
        <v>187</v>
      </c>
      <c r="DQ70" s="75">
        <v>33</v>
      </c>
      <c r="DR70" s="75">
        <v>43</v>
      </c>
      <c r="DS70" s="75">
        <v>71</v>
      </c>
      <c r="DT70" s="75">
        <v>88</v>
      </c>
      <c r="DU70" s="75">
        <v>11</v>
      </c>
      <c r="DV70" s="75">
        <v>1</v>
      </c>
      <c r="DW70" s="75">
        <v>10</v>
      </c>
      <c r="DX70" s="75">
        <v>1</v>
      </c>
      <c r="DY70" s="75" t="s">
        <v>2775</v>
      </c>
      <c r="DZ70" s="75" t="str">
        <f>HYPERLINK(".\links\CDD\EEC14470.1-CDD.txt","Phage_tail_3 Phage tail tube protein TTP")</f>
        <v>Phage_tail_3 Phage tail tube protein TTP</v>
      </c>
      <c r="EA70" s="75">
        <v>13</v>
      </c>
      <c r="EB70" s="75">
        <v>14.5</v>
      </c>
      <c r="EC70" s="75" t="s">
        <v>3201</v>
      </c>
      <c r="ED70" s="75" t="s">
        <v>3202</v>
      </c>
      <c r="EE70" s="75" t="str">
        <f>HYPERLINK(".\links\KOG\EEC14470.1-KOG.txt","CDD:225686 COG3144, FliK, Flagellar hook-length control protein")</f>
        <v>CDD:225686 COG3144, FliK, Flagellar hook-length control protein</v>
      </c>
      <c r="EF70" s="75">
        <v>3.3</v>
      </c>
      <c r="EG70" s="75">
        <v>14.4</v>
      </c>
      <c r="EH70" s="75" t="s">
        <v>3203</v>
      </c>
      <c r="EI70" s="75" t="s">
        <v>2779</v>
      </c>
      <c r="EJ70" s="75" t="str">
        <f>HYPERLINK(".\links\PFAM\EEC14470.1-PFAM.txt","Phage_tail_3 Phage tail tube protein TTP")</f>
        <v>Phage_tail_3 Phage tail tube protein TTP</v>
      </c>
      <c r="EK70" s="75">
        <v>3.1</v>
      </c>
      <c r="EL70" s="75">
        <v>14.5</v>
      </c>
      <c r="EM70" s="75" t="s">
        <v>3201</v>
      </c>
      <c r="EN70" s="75" t="s">
        <v>2772</v>
      </c>
      <c r="EO70" s="75" t="str">
        <f>HYPERLINK(".\links\SMART\EEC14470.1-SMART.txt","CDD:214506 smart00078, IlGF, Insulin / insulin-like growth factor / relaxin family")</f>
        <v>CDD:214506 smart00078, IlGF, Insulin / insulin-like growth factor / relaxin family</v>
      </c>
      <c r="EP70" s="75">
        <v>9.6999999999999993</v>
      </c>
      <c r="EQ70" s="75">
        <v>13.6</v>
      </c>
      <c r="ER70" s="75" t="s">
        <v>3204</v>
      </c>
      <c r="ES70" s="75" t="s">
        <v>2772</v>
      </c>
      <c r="ET70" s="75" t="str">
        <f>HYPERLINK(".\links\TSF\EEC14470.1-TSF.txt","55-691 55-691, GRP|Large GYY|S|")</f>
        <v>55-691 55-691, GRP|Large GYY|S|</v>
      </c>
      <c r="EU70" s="79">
        <v>5.0000000000000002E-14</v>
      </c>
      <c r="EV70" s="75">
        <v>38.799999999999997</v>
      </c>
      <c r="EW70" s="75" t="s">
        <v>3205</v>
      </c>
      <c r="EX70" s="75" t="s">
        <v>2863</v>
      </c>
      <c r="EY70" s="75" t="s">
        <v>3196</v>
      </c>
      <c r="EZ70" s="75" t="s">
        <v>2785</v>
      </c>
      <c r="FA70" s="75" t="s">
        <v>3206</v>
      </c>
    </row>
    <row r="71" spans="1:157" x14ac:dyDescent="0.2">
      <c r="A71" s="75" t="str">
        <f>HYPERLINK(".\links\PEP\AAY66821.1-PEP.txt","AAY66821.1")</f>
        <v>AAY66821.1</v>
      </c>
      <c r="B71" s="75" t="s">
        <v>2768</v>
      </c>
      <c r="C71" s="75">
        <v>96</v>
      </c>
      <c r="D71" s="75" t="s">
        <v>3207</v>
      </c>
      <c r="E71" s="76" t="s">
        <v>3163</v>
      </c>
      <c r="F71" s="75" t="s">
        <v>2771</v>
      </c>
      <c r="G71" s="75" t="str">
        <f>HYPERLINK(".\links\Sigp\AAY66821.1-SigP.txt","SIG")</f>
        <v>SIG</v>
      </c>
      <c r="H71" s="75" t="s">
        <v>3208</v>
      </c>
      <c r="I71" s="75">
        <v>9.9149999999999991</v>
      </c>
      <c r="J71" s="75">
        <v>7.95</v>
      </c>
      <c r="K71" s="75">
        <v>7.8680000000000003</v>
      </c>
      <c r="L71" s="75">
        <v>6.97</v>
      </c>
      <c r="M71" s="75" t="str">
        <f>HYPERLINK(".\links\netoglyc\AAY66821.1-netoglyc.txt","0")</f>
        <v>0</v>
      </c>
      <c r="N71" s="75" t="s">
        <v>3209</v>
      </c>
      <c r="O71" s="75">
        <v>96</v>
      </c>
      <c r="P71" s="75">
        <v>0</v>
      </c>
      <c r="Q71" s="75" t="s">
        <v>2772</v>
      </c>
      <c r="R71" s="75" t="s">
        <v>2772</v>
      </c>
      <c r="S71" s="75" t="s">
        <v>2772</v>
      </c>
      <c r="T71" s="75" t="s">
        <v>2772</v>
      </c>
      <c r="U71" s="75" t="s">
        <v>2772</v>
      </c>
      <c r="V71" s="75" t="s">
        <v>2772</v>
      </c>
      <c r="W71" s="75">
        <v>4</v>
      </c>
      <c r="X71" s="75">
        <v>21.2</v>
      </c>
      <c r="Y71" s="75">
        <v>6.1</v>
      </c>
      <c r="Z71" s="75" t="s">
        <v>2774</v>
      </c>
      <c r="AA71" s="77">
        <v>28.125</v>
      </c>
      <c r="AB71" s="75">
        <v>0.52</v>
      </c>
      <c r="AD71" s="75">
        <v>1</v>
      </c>
      <c r="AE71" s="75" t="s">
        <v>2772</v>
      </c>
      <c r="AF71" s="75" t="s">
        <v>2772</v>
      </c>
      <c r="AG71" s="75" t="s">
        <v>2772</v>
      </c>
      <c r="AH71" s="75">
        <v>1</v>
      </c>
      <c r="AI71" s="75" t="s">
        <v>2772</v>
      </c>
      <c r="AJ71" s="75">
        <v>2</v>
      </c>
      <c r="AK71" s="75" t="s">
        <v>2772</v>
      </c>
      <c r="AL71" s="75" t="s">
        <v>2772</v>
      </c>
      <c r="AM71" s="75" t="s">
        <v>2772</v>
      </c>
      <c r="AN71" s="75" t="s">
        <v>2772</v>
      </c>
      <c r="AO71" s="78" t="str">
        <f>HYPERLINK(".\links\AAM-CEMENT-2018\AAY66821.1-AAM-CEMENT-2018.txt","Extracted CDS")</f>
        <v>Extracted CDS</v>
      </c>
      <c r="AP71" s="75" t="str">
        <f>HYPERLINK("http://www.ncbi.nlm.nih.gov/sutils/blink.cgi?pid=Aam-10038","0.060")</f>
        <v>0.060</v>
      </c>
      <c r="AQ71" s="75" t="str">
        <f>HYPERLINK("http://www.ncbi.nlm.nih.gov/protein/Aam-10038","Aam-10038")</f>
        <v>Aam-10038</v>
      </c>
      <c r="AR71" s="75">
        <v>24.6</v>
      </c>
      <c r="AS71" s="75">
        <v>79</v>
      </c>
      <c r="AT71" s="75">
        <v>249</v>
      </c>
      <c r="AU71" s="75">
        <v>31</v>
      </c>
      <c r="AV71" s="75">
        <v>40</v>
      </c>
      <c r="AW71" s="75">
        <v>32</v>
      </c>
      <c r="AX71" s="75">
        <v>54</v>
      </c>
      <c r="AY71" s="75">
        <v>3</v>
      </c>
      <c r="AZ71" s="75">
        <v>1</v>
      </c>
      <c r="BA71" s="75">
        <v>4</v>
      </c>
      <c r="BB71" s="75">
        <v>1</v>
      </c>
      <c r="BC71" s="75" t="s">
        <v>2775</v>
      </c>
      <c r="BD71" s="78" t="str">
        <f>HYPERLINK(".\links\CDD\AAY66821.1-CDD.txt","G0-G1_switch_2 G0/G1 switch protein 2")</f>
        <v>G0-G1_switch_2 G0/G1 switch protein 2</v>
      </c>
      <c r="BE71" s="75">
        <v>9.3000000000000007</v>
      </c>
      <c r="BF71" s="75">
        <v>16.2</v>
      </c>
      <c r="BG71" s="75" t="s">
        <v>3210</v>
      </c>
      <c r="BH71" s="75" t="s">
        <v>3211</v>
      </c>
      <c r="BI71" s="75" t="str">
        <f>HYPERLINK(".\links\KOG\AAY66821.1-KOG.txt","CDD:225969 COG3435, COG3435, Gentisate 1,2-dioxygenase")</f>
        <v>CDD:225969 COG3435, COG3435, Gentisate 1,2-dioxygenase</v>
      </c>
      <c r="BJ71" s="75">
        <v>3.5</v>
      </c>
      <c r="BK71" s="75">
        <v>9.6999999999999993</v>
      </c>
      <c r="BL71" s="75" t="s">
        <v>3212</v>
      </c>
      <c r="BM71" s="75" t="s">
        <v>2779</v>
      </c>
      <c r="BN71" s="78" t="str">
        <f>HYPERLINK(".\links\PFAM\AAY66821.1-PFAM.txt","G0-G1_switch_2 G0/G1 switch protein 2")</f>
        <v>G0-G1_switch_2 G0/G1 switch protein 2</v>
      </c>
      <c r="BO71" s="75">
        <v>2.2000000000000002</v>
      </c>
      <c r="BP71" s="75">
        <v>16.2</v>
      </c>
      <c r="BQ71" s="75" t="s">
        <v>3210</v>
      </c>
      <c r="BR71" s="75" t="s">
        <v>2772</v>
      </c>
      <c r="BS71" s="78" t="str">
        <f>HYPERLINK(".\links\SMART\AAY66821.1-SMART.txt","CDD:214857 smart00853, MutL_C, MutL C terminal dimerisation domain")</f>
        <v>CDD:214857 smart00853, MutL_C, MutL C terminal dimerisation domain</v>
      </c>
      <c r="BT71" s="75">
        <v>2.6</v>
      </c>
      <c r="BU71" s="75">
        <v>14.3</v>
      </c>
      <c r="BV71" s="75" t="s">
        <v>3168</v>
      </c>
      <c r="BW71" s="75" t="s">
        <v>2772</v>
      </c>
      <c r="BX71" s="78" t="str">
        <f>HYPERLINK(".\links\TSF\AAY66821.1-TSF.txt","55-228 55-228, GRP|Large GYY|S|")</f>
        <v>55-228 55-228, GRP|Large GYY|S|</v>
      </c>
      <c r="BY71" s="79">
        <v>1.0000000000000001E-15</v>
      </c>
      <c r="BZ71" s="75">
        <v>57.7</v>
      </c>
      <c r="CA71" s="75" t="s">
        <v>3213</v>
      </c>
      <c r="CB71" s="75" t="s">
        <v>2863</v>
      </c>
      <c r="CC71" s="75" t="s">
        <v>3196</v>
      </c>
      <c r="CD71" s="75" t="s">
        <v>2785</v>
      </c>
      <c r="CE71" s="75" t="s">
        <v>3214</v>
      </c>
      <c r="CF71" s="75">
        <f>HYPERLINK(".\links\cluster-b\Ixsc-cement-202225-50SimCLU1.txt", 1)</f>
        <v>1</v>
      </c>
      <c r="CG71" s="75">
        <f>HYPERLINK(".\links\cluster-b\Ixsc-cement-202225-50SimCLTL1.txt", 20)</f>
        <v>20</v>
      </c>
      <c r="CH71" s="75">
        <v>23</v>
      </c>
      <c r="CI71" s="75">
        <v>1</v>
      </c>
      <c r="CJ71" s="75">
        <v>22</v>
      </c>
      <c r="CK71" s="75">
        <v>1</v>
      </c>
      <c r="CL71" s="75">
        <v>24</v>
      </c>
      <c r="CM71" s="75">
        <v>1</v>
      </c>
      <c r="CN71" s="75">
        <v>22</v>
      </c>
      <c r="CO71" s="75">
        <v>1</v>
      </c>
      <c r="CP71" s="75">
        <v>22</v>
      </c>
      <c r="CQ71" s="75">
        <v>1</v>
      </c>
      <c r="CR71" s="75">
        <v>23</v>
      </c>
      <c r="CS71" s="75">
        <v>1</v>
      </c>
      <c r="CT71" s="75">
        <v>25</v>
      </c>
      <c r="CU71" s="75">
        <v>1</v>
      </c>
      <c r="CV71" s="75">
        <v>25</v>
      </c>
      <c r="CW71" s="75">
        <v>1</v>
      </c>
      <c r="CX71" s="75">
        <v>25</v>
      </c>
      <c r="CY71" s="75">
        <v>1</v>
      </c>
      <c r="CZ71" s="75">
        <v>25</v>
      </c>
      <c r="DA71" s="75">
        <v>1</v>
      </c>
      <c r="DB71" s="75">
        <v>24</v>
      </c>
      <c r="DC71" s="75">
        <v>1</v>
      </c>
      <c r="DD71" s="75">
        <v>22</v>
      </c>
      <c r="DE71" s="75">
        <v>1</v>
      </c>
      <c r="DF71" s="75">
        <v>21</v>
      </c>
      <c r="DG71" s="75">
        <v>1</v>
      </c>
      <c r="DH71" s="75">
        <v>20</v>
      </c>
      <c r="DI71" s="75">
        <v>1</v>
      </c>
      <c r="DJ71" s="75" t="s">
        <v>153</v>
      </c>
      <c r="DK71" s="75" t="str">
        <f>HYPERLINK(".\links\AAM-CEMENT-2018\AAY66821.1-AAM-CEMENT-2018.txt","Extracted CDS")</f>
        <v>Extracted CDS</v>
      </c>
      <c r="DL71" s="75" t="str">
        <f>HYPERLINK("http://www.ncbi.nlm.nih.gov/sutils/blink.cgi?pid=Aam-10038","0.060")</f>
        <v>0.060</v>
      </c>
      <c r="DM71" s="75" t="str">
        <f>HYPERLINK("http://www.ncbi.nlm.nih.gov/protein/Aam-10038","Aam-10038")</f>
        <v>Aam-10038</v>
      </c>
      <c r="DN71" s="75">
        <v>24.6</v>
      </c>
      <c r="DO71" s="75">
        <v>79</v>
      </c>
      <c r="DP71" s="75">
        <v>249</v>
      </c>
      <c r="DQ71" s="75">
        <v>31</v>
      </c>
      <c r="DR71" s="75">
        <v>40</v>
      </c>
      <c r="DS71" s="75">
        <v>32</v>
      </c>
      <c r="DT71" s="75">
        <v>54</v>
      </c>
      <c r="DU71" s="75">
        <v>3</v>
      </c>
      <c r="DV71" s="75">
        <v>1</v>
      </c>
      <c r="DW71" s="75">
        <v>4</v>
      </c>
      <c r="DX71" s="75">
        <v>1</v>
      </c>
      <c r="DY71" s="75" t="s">
        <v>2775</v>
      </c>
      <c r="DZ71" s="75" t="str">
        <f>HYPERLINK(".\links\CDD\AAY66821.1-CDD.txt","G0-G1_switch_2 G0/G1 switch protein 2")</f>
        <v>G0-G1_switch_2 G0/G1 switch protein 2</v>
      </c>
      <c r="EA71" s="75">
        <v>9.3000000000000007</v>
      </c>
      <c r="EB71" s="75">
        <v>16.2</v>
      </c>
      <c r="EC71" s="75" t="s">
        <v>3210</v>
      </c>
      <c r="ED71" s="75" t="s">
        <v>3211</v>
      </c>
      <c r="EE71" s="75" t="str">
        <f>HYPERLINK(".\links\KOG\AAY66821.1-KOG.txt","CDD:225969 COG3435, COG3435, Gentisate 1,2-dioxygenase")</f>
        <v>CDD:225969 COG3435, COG3435, Gentisate 1,2-dioxygenase</v>
      </c>
      <c r="EF71" s="75">
        <v>3.5</v>
      </c>
      <c r="EG71" s="75">
        <v>9.6999999999999993</v>
      </c>
      <c r="EH71" s="75" t="s">
        <v>3212</v>
      </c>
      <c r="EI71" s="75" t="s">
        <v>2779</v>
      </c>
      <c r="EJ71" s="75" t="str">
        <f>HYPERLINK(".\links\PFAM\AAY66821.1-PFAM.txt","G0-G1_switch_2 G0/G1 switch protein 2")</f>
        <v>G0-G1_switch_2 G0/G1 switch protein 2</v>
      </c>
      <c r="EK71" s="75">
        <v>2.2000000000000002</v>
      </c>
      <c r="EL71" s="75">
        <v>16.2</v>
      </c>
      <c r="EM71" s="75" t="s">
        <v>3210</v>
      </c>
      <c r="EN71" s="75" t="s">
        <v>2772</v>
      </c>
      <c r="EO71" s="75" t="str">
        <f>HYPERLINK(".\links\SMART\AAY66821.1-SMART.txt","CDD:214857 smart00853, MutL_C, MutL C terminal dimerisation domain")</f>
        <v>CDD:214857 smart00853, MutL_C, MutL C terminal dimerisation domain</v>
      </c>
      <c r="EP71" s="75">
        <v>2.6</v>
      </c>
      <c r="EQ71" s="75">
        <v>14.3</v>
      </c>
      <c r="ER71" s="75" t="s">
        <v>3168</v>
      </c>
      <c r="ES71" s="75" t="s">
        <v>2772</v>
      </c>
      <c r="ET71" s="75" t="str">
        <f>HYPERLINK(".\links\TSF\AAY66821.1-TSF.txt","55-228 55-228, GRP|Large GYY|S|")</f>
        <v>55-228 55-228, GRP|Large GYY|S|</v>
      </c>
      <c r="EU71" s="79">
        <v>1.0000000000000001E-15</v>
      </c>
      <c r="EV71" s="75">
        <v>57.7</v>
      </c>
      <c r="EW71" s="75" t="s">
        <v>3213</v>
      </c>
      <c r="EX71" s="75" t="s">
        <v>2863</v>
      </c>
      <c r="EY71" s="75" t="s">
        <v>3196</v>
      </c>
      <c r="EZ71" s="75" t="s">
        <v>2785</v>
      </c>
      <c r="FA71" s="75" t="s">
        <v>3214</v>
      </c>
    </row>
    <row r="72" spans="1:157" x14ac:dyDescent="0.2">
      <c r="A72" s="75" t="str">
        <f>HYPERLINK(".\links\PEP\EEC03688.1-PEP.txt","EEC03688.1")</f>
        <v>EEC03688.1</v>
      </c>
      <c r="B72" s="75" t="s">
        <v>2768</v>
      </c>
      <c r="C72" s="75">
        <v>648</v>
      </c>
      <c r="D72" s="75" t="s">
        <v>3215</v>
      </c>
      <c r="E72" s="76" t="s">
        <v>93</v>
      </c>
      <c r="F72" s="75" t="s">
        <v>2771</v>
      </c>
      <c r="G72" s="75" t="str">
        <f>HYPERLINK(".\links\Sigp\EEC03688.1-SigP.txt","CYT")</f>
        <v>CYT</v>
      </c>
      <c r="H72" s="75" t="s">
        <v>2772</v>
      </c>
      <c r="I72" s="75">
        <v>71.179000000000002</v>
      </c>
      <c r="J72" s="75">
        <v>5.38</v>
      </c>
      <c r="K72" s="75" t="s">
        <v>2772</v>
      </c>
      <c r="L72" s="75" t="s">
        <v>2772</v>
      </c>
      <c r="M72" s="75" t="str">
        <f>HYPERLINK(".\links\netoglyc\EEC03688.1-netoglyc.txt","1")</f>
        <v>1</v>
      </c>
      <c r="N72" s="75" t="s">
        <v>3216</v>
      </c>
      <c r="O72" s="75">
        <v>648</v>
      </c>
      <c r="P72" s="75">
        <v>0</v>
      </c>
      <c r="Q72" s="75" t="s">
        <v>2772</v>
      </c>
      <c r="R72" s="75" t="s">
        <v>2772</v>
      </c>
      <c r="S72" s="75" t="s">
        <v>2772</v>
      </c>
      <c r="T72" s="75" t="s">
        <v>2772</v>
      </c>
      <c r="U72" s="75" t="s">
        <v>2772</v>
      </c>
      <c r="V72" s="75" t="s">
        <v>3217</v>
      </c>
      <c r="W72" s="75">
        <v>12.4</v>
      </c>
      <c r="X72" s="75">
        <v>8</v>
      </c>
      <c r="Y72" s="75">
        <v>3.8</v>
      </c>
      <c r="Z72" s="75" t="s">
        <v>2774</v>
      </c>
      <c r="AA72" s="77">
        <v>12.037037037037001</v>
      </c>
      <c r="AB72" s="75">
        <v>0.23</v>
      </c>
      <c r="AD72" s="75">
        <v>3</v>
      </c>
      <c r="AE72" s="75" t="s">
        <v>2772</v>
      </c>
      <c r="AF72" s="75" t="s">
        <v>2772</v>
      </c>
      <c r="AG72" s="75" t="s">
        <v>2772</v>
      </c>
      <c r="AH72" s="75">
        <v>2</v>
      </c>
      <c r="AI72" s="75">
        <v>2</v>
      </c>
      <c r="AJ72" s="75">
        <v>5</v>
      </c>
      <c r="AK72" s="75" t="s">
        <v>2772</v>
      </c>
      <c r="AL72" s="75" t="s">
        <v>2772</v>
      </c>
      <c r="AM72" s="75" t="s">
        <v>2772</v>
      </c>
      <c r="AN72" s="75" t="s">
        <v>2772</v>
      </c>
      <c r="AO72" s="78" t="str">
        <f>HYPERLINK(".\links\AAM-CEMENT-2018\EEC03688.1-AAM-CEMENT-2018.txt","Extracted CDS")</f>
        <v>Extracted CDS</v>
      </c>
      <c r="AP72" s="75" t="str">
        <f>HYPERLINK("http://www.ncbi.nlm.nih.gov/sutils/blink.cgi?pid=Aam-180193","0.0")</f>
        <v>0.0</v>
      </c>
      <c r="AQ72" s="75" t="str">
        <f>HYPERLINK("http://www.ncbi.nlm.nih.gov/protein/Aam-180193","Aam-180193")</f>
        <v>Aam-180193</v>
      </c>
      <c r="AR72" s="75">
        <v>1226</v>
      </c>
      <c r="AS72" s="75">
        <v>616</v>
      </c>
      <c r="AT72" s="75">
        <v>665</v>
      </c>
      <c r="AU72" s="75">
        <v>96</v>
      </c>
      <c r="AV72" s="75">
        <v>99</v>
      </c>
      <c r="AW72" s="75">
        <v>93</v>
      </c>
      <c r="AX72" s="75">
        <v>23</v>
      </c>
      <c r="AY72" s="75">
        <v>0</v>
      </c>
      <c r="AZ72" s="75">
        <v>20</v>
      </c>
      <c r="BA72" s="75">
        <v>1</v>
      </c>
      <c r="BB72" s="75">
        <v>1</v>
      </c>
      <c r="BC72" s="75" t="s">
        <v>2775</v>
      </c>
      <c r="BD72" s="78" t="str">
        <f>HYPERLINK(".\links\CDD\EEC03688.1-CDD.txt","PTZ00009 heat shock 70 kDa protein")</f>
        <v>PTZ00009 heat shock 70 kDa protein</v>
      </c>
      <c r="BE72" s="75">
        <v>0</v>
      </c>
      <c r="BF72" s="75">
        <v>94.5</v>
      </c>
      <c r="BG72" s="75" t="s">
        <v>3218</v>
      </c>
      <c r="BH72" s="75" t="s">
        <v>3219</v>
      </c>
      <c r="BI72" s="75" t="str">
        <f>HYPERLINK(".\links\KOG\EEC03688.1-KOG.txt","CDD:223520 COG0443, DnaK, Molecular chaperone")</f>
        <v>CDD:223520 COG0443, DnaK, Molecular chaperone</v>
      </c>
      <c r="BJ72" s="75">
        <v>0</v>
      </c>
      <c r="BK72" s="75">
        <v>105.5</v>
      </c>
      <c r="BL72" s="75" t="s">
        <v>3220</v>
      </c>
      <c r="BM72" s="75" t="s">
        <v>2779</v>
      </c>
      <c r="BN72" s="78" t="str">
        <f>HYPERLINK(".\links\PFAM\EEC03688.1-PFAM.txt","HSP70 Hsp70 protein")</f>
        <v>HSP70 Hsp70 protein</v>
      </c>
      <c r="BO72" s="75">
        <v>0</v>
      </c>
      <c r="BP72" s="75">
        <v>102.2</v>
      </c>
      <c r="BQ72" s="75" t="s">
        <v>3221</v>
      </c>
      <c r="BR72" s="75" t="s">
        <v>2772</v>
      </c>
      <c r="BS72" s="78" t="str">
        <f>HYPERLINK(".\links\SMART\EEC03688.1-SMART.txt","CDD:214661 smart00435, TOPEUc, DNA Topoisomerase I")</f>
        <v>CDD:214661 smart00435, TOPEUc, DNA Topoisomerase I</v>
      </c>
      <c r="BT72" s="75">
        <v>6.0000000000000001E-3</v>
      </c>
      <c r="BU72" s="75">
        <v>22.5</v>
      </c>
      <c r="BV72" s="75" t="s">
        <v>3027</v>
      </c>
      <c r="BW72" s="75" t="s">
        <v>2772</v>
      </c>
      <c r="BX72" s="78" t="str">
        <f>HYPERLINK(".\links\TSF\EEC03688.1-TSF.txt","30-200 30-200, HSP-70||H|")</f>
        <v>30-200 30-200, HSP-70||H|</v>
      </c>
      <c r="BY72" s="75">
        <v>0</v>
      </c>
      <c r="BZ72" s="75">
        <v>92.7</v>
      </c>
      <c r="CA72" s="75" t="s">
        <v>3222</v>
      </c>
      <c r="CB72" s="75" t="s">
        <v>3223</v>
      </c>
      <c r="CC72" s="75" t="s">
        <v>2772</v>
      </c>
      <c r="CD72" s="75" t="s">
        <v>2808</v>
      </c>
      <c r="CE72" s="75" t="s">
        <v>3224</v>
      </c>
      <c r="CF72" s="75">
        <f>HYPERLINK(".\links\cluster-b\Ixsc-cement-202225-50SimCLU4.txt", 4)</f>
        <v>4</v>
      </c>
      <c r="CG72" s="75">
        <f>HYPERLINK(".\links\cluster-b\Ixsc-cement-202225-50SimCLTL4.txt", 6)</f>
        <v>6</v>
      </c>
      <c r="CH72" s="75">
        <f>HYPERLINK(".\links\cluster-b\Ixsc-cement-202230-50SimCLU3.txt", 3)</f>
        <v>3</v>
      </c>
      <c r="CI72" s="75">
        <f>HYPERLINK(".\links\cluster-b\Ixsc-cement-202230-50SimCLTL3.txt", 6)</f>
        <v>6</v>
      </c>
      <c r="CJ72" s="75">
        <f>HYPERLINK(".\links\cluster-b\Ixsc-cement-202235-50SimCLU3.txt", 3)</f>
        <v>3</v>
      </c>
      <c r="CK72" s="75">
        <f>HYPERLINK(".\links\cluster-b\Ixsc-cement-202235-50SimCLTL3.txt", 6)</f>
        <v>6</v>
      </c>
      <c r="CL72" s="75">
        <f>HYPERLINK(".\links\cluster-b\Ixsc-cement-202240-50SimCLU2.txt", 2)</f>
        <v>2</v>
      </c>
      <c r="CM72" s="75">
        <f>HYPERLINK(".\links\cluster-b\Ixsc-cement-202240-50SimCLTL2.txt", 6)</f>
        <v>6</v>
      </c>
      <c r="CN72" s="75">
        <f>HYPERLINK(".\links\cluster-b\Ixsc-cement-202245-50SimCLU2.txt", 2)</f>
        <v>2</v>
      </c>
      <c r="CO72" s="75">
        <f>HYPERLINK(".\links\cluster-b\Ixsc-cement-202245-50SimCLTL2.txt", 6)</f>
        <v>6</v>
      </c>
      <c r="CP72" s="75">
        <f>HYPERLINK(".\links\cluster-b\Ixsc-cement-202250-50SimCLU2.txt", 2)</f>
        <v>2</v>
      </c>
      <c r="CQ72" s="75">
        <f>HYPERLINK(".\links\cluster-b\Ixsc-cement-202250-50SimCLTL2.txt", 6)</f>
        <v>6</v>
      </c>
      <c r="CR72" s="75">
        <f>HYPERLINK(".\links\cluster-b\Ixsc-cement-202255-50SimCLU2.txt", 2)</f>
        <v>2</v>
      </c>
      <c r="CS72" s="75">
        <f>HYPERLINK(".\links\cluster-b\Ixsc-cement-202255-50SimCLTL2.txt", 6)</f>
        <v>6</v>
      </c>
      <c r="CT72" s="75">
        <f>HYPERLINK(".\links\cluster-b\Ixsc-cement-202260-50SimCLU1.txt", 1)</f>
        <v>1</v>
      </c>
      <c r="CU72" s="75">
        <f>HYPERLINK(".\links\cluster-b\Ixsc-cement-202260-50SimCLTL1.txt", 6)</f>
        <v>6</v>
      </c>
      <c r="CV72" s="75">
        <f>HYPERLINK(".\links\cluster-b\Ixsc-cement-202265-50SimCLU1.txt", 1)</f>
        <v>1</v>
      </c>
      <c r="CW72" s="75">
        <f>HYPERLINK(".\links\cluster-b\Ixsc-cement-202265-50SimCLTL1.txt", 6)</f>
        <v>6</v>
      </c>
      <c r="CX72" s="75">
        <f>HYPERLINK(".\links\cluster-b\Ixsc-cement-202270-50SimCLU1.txt", 1)</f>
        <v>1</v>
      </c>
      <c r="CY72" s="75">
        <f>HYPERLINK(".\links\cluster-b\Ixsc-cement-202270-50SimCLTL1.txt", 6)</f>
        <v>6</v>
      </c>
      <c r="CZ72" s="75">
        <f>HYPERLINK(".\links\cluster-b\Ixsc-cement-202275-50SimCLU2.txt", 2)</f>
        <v>2</v>
      </c>
      <c r="DA72" s="75">
        <f>HYPERLINK(".\links\cluster-b\Ixsc-cement-202275-50SimCLTL2.txt", 5)</f>
        <v>5</v>
      </c>
      <c r="DB72" s="75">
        <f>HYPERLINK(".\links\cluster-b\Ixsc-cement-202280-50SimCLU6.txt", 6)</f>
        <v>6</v>
      </c>
      <c r="DC72" s="75">
        <f>HYPERLINK(".\links\cluster-b\Ixsc-cement-202280-50SimCLTL6.txt", 3)</f>
        <v>3</v>
      </c>
      <c r="DD72" s="75">
        <v>43</v>
      </c>
      <c r="DE72" s="75">
        <v>1</v>
      </c>
      <c r="DF72" s="75">
        <v>42</v>
      </c>
      <c r="DG72" s="75">
        <v>1</v>
      </c>
      <c r="DH72" s="75">
        <v>43</v>
      </c>
      <c r="DI72" s="75">
        <v>1</v>
      </c>
      <c r="DJ72" s="75" t="s">
        <v>221</v>
      </c>
      <c r="DK72" s="75" t="str">
        <f>HYPERLINK(".\links\AAM-CEMENT-2018\EEC03688.1-AAM-CEMENT-2018.txt","Extracted CDS")</f>
        <v>Extracted CDS</v>
      </c>
      <c r="DL72" s="75" t="str">
        <f>HYPERLINK("http://www.ncbi.nlm.nih.gov/sutils/blink.cgi?pid=Aam-180193","0.0")</f>
        <v>0.0</v>
      </c>
      <c r="DM72" s="75" t="str">
        <f>HYPERLINK("http://www.ncbi.nlm.nih.gov/protein/Aam-180193","Aam-180193")</f>
        <v>Aam-180193</v>
      </c>
      <c r="DN72" s="75">
        <v>1226</v>
      </c>
      <c r="DO72" s="75">
        <v>616</v>
      </c>
      <c r="DP72" s="75">
        <v>665</v>
      </c>
      <c r="DQ72" s="75">
        <v>96</v>
      </c>
      <c r="DR72" s="75">
        <v>99</v>
      </c>
      <c r="DS72" s="75">
        <v>93</v>
      </c>
      <c r="DT72" s="75">
        <v>23</v>
      </c>
      <c r="DU72" s="75">
        <v>0</v>
      </c>
      <c r="DV72" s="75">
        <v>20</v>
      </c>
      <c r="DW72" s="75">
        <v>1</v>
      </c>
      <c r="DX72" s="75">
        <v>1</v>
      </c>
      <c r="DY72" s="75" t="s">
        <v>2775</v>
      </c>
      <c r="DZ72" s="75" t="str">
        <f>HYPERLINK(".\links\CDD\EEC03688.1-CDD.txt","PTZ00009 heat shock 70 kDa protein")</f>
        <v>PTZ00009 heat shock 70 kDa protein</v>
      </c>
      <c r="EA72" s="75">
        <v>0</v>
      </c>
      <c r="EB72" s="75">
        <v>94.5</v>
      </c>
      <c r="EC72" s="75" t="s">
        <v>3218</v>
      </c>
      <c r="ED72" s="75" t="s">
        <v>3219</v>
      </c>
      <c r="EE72" s="75" t="str">
        <f>HYPERLINK(".\links\KOG\EEC03688.1-KOG.txt","CDD:223520 COG0443, DnaK, Molecular chaperone")</f>
        <v>CDD:223520 COG0443, DnaK, Molecular chaperone</v>
      </c>
      <c r="EF72" s="75">
        <v>0</v>
      </c>
      <c r="EG72" s="75">
        <v>105.5</v>
      </c>
      <c r="EH72" s="75" t="s">
        <v>3220</v>
      </c>
      <c r="EI72" s="75" t="s">
        <v>2779</v>
      </c>
      <c r="EJ72" s="75" t="str">
        <f>HYPERLINK(".\links\PFAM\EEC03688.1-PFAM.txt","HSP70 Hsp70 protein")</f>
        <v>HSP70 Hsp70 protein</v>
      </c>
      <c r="EK72" s="75">
        <v>0</v>
      </c>
      <c r="EL72" s="75">
        <v>102.2</v>
      </c>
      <c r="EM72" s="75" t="s">
        <v>3221</v>
      </c>
      <c r="EN72" s="75" t="s">
        <v>2772</v>
      </c>
      <c r="EO72" s="75" t="str">
        <f>HYPERLINK(".\links\SMART\EEC03688.1-SMART.txt","CDD:214661 smart00435, TOPEUc, DNA Topoisomerase I")</f>
        <v>CDD:214661 smart00435, TOPEUc, DNA Topoisomerase I</v>
      </c>
      <c r="EP72" s="75">
        <v>6.0000000000000001E-3</v>
      </c>
      <c r="EQ72" s="75">
        <v>22.5</v>
      </c>
      <c r="ER72" s="75" t="s">
        <v>3027</v>
      </c>
      <c r="ES72" s="75" t="s">
        <v>2772</v>
      </c>
      <c r="ET72" s="75" t="str">
        <f>HYPERLINK(".\links\TSF\EEC03688.1-TSF.txt","30-200 30-200, HSP-70||H|")</f>
        <v>30-200 30-200, HSP-70||H|</v>
      </c>
      <c r="EU72" s="75">
        <v>0</v>
      </c>
      <c r="EV72" s="75">
        <v>92.7</v>
      </c>
      <c r="EW72" s="75" t="s">
        <v>3222</v>
      </c>
      <c r="EX72" s="75" t="s">
        <v>3223</v>
      </c>
      <c r="EY72" s="75" t="s">
        <v>2772</v>
      </c>
      <c r="EZ72" s="75" t="s">
        <v>2808</v>
      </c>
      <c r="FA72" s="75" t="s">
        <v>3224</v>
      </c>
    </row>
    <row r="73" spans="1:157" x14ac:dyDescent="0.2">
      <c r="A73" s="75" t="str">
        <f>HYPERLINK(".\links\PEP\EEC18473.1-PEP.txt","EEC18473.1")</f>
        <v>EEC18473.1</v>
      </c>
      <c r="B73" s="75" t="s">
        <v>2768</v>
      </c>
      <c r="C73" s="75">
        <v>731</v>
      </c>
      <c r="D73" s="75" t="s">
        <v>3225</v>
      </c>
      <c r="E73" s="76" t="s">
        <v>93</v>
      </c>
      <c r="F73" s="75" t="s">
        <v>2771</v>
      </c>
      <c r="G73" s="75" t="str">
        <f>HYPERLINK(".\links\Sigp\EEC18473.1-SigP.txt","CYT")</f>
        <v>CYT</v>
      </c>
      <c r="H73" s="75" t="s">
        <v>2772</v>
      </c>
      <c r="I73" s="75">
        <v>84.293000000000006</v>
      </c>
      <c r="J73" s="75">
        <v>4.9400000000000004</v>
      </c>
      <c r="K73" s="75" t="s">
        <v>2772</v>
      </c>
      <c r="L73" s="75" t="s">
        <v>2772</v>
      </c>
      <c r="M73" s="75" t="str">
        <f>HYPERLINK(".\links\netoglyc\EEC18473.1-netoglyc.txt","0")</f>
        <v>0</v>
      </c>
      <c r="N73" s="75" t="s">
        <v>3226</v>
      </c>
      <c r="O73" s="75">
        <v>731</v>
      </c>
      <c r="P73" s="75">
        <v>0</v>
      </c>
      <c r="Q73" s="75" t="s">
        <v>2772</v>
      </c>
      <c r="R73" s="75" t="s">
        <v>2772</v>
      </c>
      <c r="S73" s="75" t="s">
        <v>2772</v>
      </c>
      <c r="T73" s="75" t="s">
        <v>2772</v>
      </c>
      <c r="U73" s="75" t="s">
        <v>2772</v>
      </c>
      <c r="V73" s="75" t="s">
        <v>2772</v>
      </c>
      <c r="W73" s="75">
        <v>9.4</v>
      </c>
      <c r="X73" s="75">
        <v>4.3</v>
      </c>
      <c r="Y73" s="75">
        <v>2.8</v>
      </c>
      <c r="Z73" s="75" t="s">
        <v>2774</v>
      </c>
      <c r="AA73" s="77">
        <v>7.2503419972640204</v>
      </c>
      <c r="AB73" s="75">
        <v>0.32</v>
      </c>
      <c r="AD73" s="75">
        <v>9</v>
      </c>
      <c r="AE73" s="75" t="str">
        <f>HYPERLINK(".\links\pep\EEC18473.1-sulf.txt","2")</f>
        <v>2</v>
      </c>
      <c r="AF73" s="75" t="str">
        <f>HYPERLINK(".\links\pep\EEC18473.1-tyr-sulf.txt","Fasta with y")</f>
        <v>Fasta with y</v>
      </c>
      <c r="AG73" s="75" t="s">
        <v>2772</v>
      </c>
      <c r="AH73" s="75" t="s">
        <v>2772</v>
      </c>
      <c r="AI73" s="75">
        <v>1</v>
      </c>
      <c r="AJ73" s="75">
        <v>1</v>
      </c>
      <c r="AK73" s="75" t="s">
        <v>2772</v>
      </c>
      <c r="AL73" s="75" t="s">
        <v>2772</v>
      </c>
      <c r="AM73" s="75" t="s">
        <v>2772</v>
      </c>
      <c r="AN73" s="75" t="s">
        <v>2772</v>
      </c>
      <c r="AO73" s="78" t="str">
        <f>HYPERLINK(".\links\AAM-CEMENT-2018\EEC18473.1-AAM-CEMENT-2018.txt","Extracted CDS")</f>
        <v>Extracted CDS</v>
      </c>
      <c r="AP73" s="75" t="str">
        <f>HYPERLINK("http://www.ncbi.nlm.nih.gov/sutils/blink.cgi?pid=Aam-175879","0.0")</f>
        <v>0.0</v>
      </c>
      <c r="AQ73" s="75" t="str">
        <f>HYPERLINK("http://www.ncbi.nlm.nih.gov/protein/Aam-175879","Aam-175879")</f>
        <v>Aam-175879</v>
      </c>
      <c r="AR73" s="75">
        <v>1338</v>
      </c>
      <c r="AS73" s="75">
        <v>733</v>
      </c>
      <c r="AT73" s="75">
        <v>736</v>
      </c>
      <c r="AU73" s="75">
        <v>93</v>
      </c>
      <c r="AV73" s="75">
        <v>96</v>
      </c>
      <c r="AW73" s="75">
        <v>100</v>
      </c>
      <c r="AX73" s="75">
        <v>49</v>
      </c>
      <c r="AY73" s="75">
        <v>9</v>
      </c>
      <c r="AZ73" s="75">
        <v>11</v>
      </c>
      <c r="BA73" s="75">
        <v>1</v>
      </c>
      <c r="BB73" s="75">
        <v>1</v>
      </c>
      <c r="BC73" s="75" t="s">
        <v>2775</v>
      </c>
      <c r="BD73" s="78" t="str">
        <f>HYPERLINK(".\links\CDD\EEC18473.1-CDD.txt","PTZ00272 heat shock protein 83 kDa")</f>
        <v>PTZ00272 heat shock protein 83 kDa</v>
      </c>
      <c r="BE73" s="75">
        <v>0</v>
      </c>
      <c r="BF73" s="75">
        <v>102.4</v>
      </c>
      <c r="BG73" s="75" t="s">
        <v>3227</v>
      </c>
      <c r="BH73" s="75" t="s">
        <v>3228</v>
      </c>
      <c r="BI73" s="75" t="str">
        <f>HYPERLINK(".\links\KOG\EEC18473.1-KOG.txt","CDD:223403 COG0326, HtpG, Molecular chaperone, HSP90 family")</f>
        <v>CDD:223403 COG0326, HtpG, Molecular chaperone, HSP90 family</v>
      </c>
      <c r="BJ73" s="75">
        <v>0</v>
      </c>
      <c r="BK73" s="75">
        <v>109.8</v>
      </c>
      <c r="BL73" s="75" t="s">
        <v>3229</v>
      </c>
      <c r="BM73" s="75" t="s">
        <v>2779</v>
      </c>
      <c r="BN73" s="78" t="str">
        <f>HYPERLINK(".\links\PFAM\EEC18473.1-PFAM.txt","HSP90 Hsp90 protein")</f>
        <v>HSP90 Hsp90 protein</v>
      </c>
      <c r="BO73" s="75">
        <v>0</v>
      </c>
      <c r="BP73" s="75">
        <v>102.9</v>
      </c>
      <c r="BQ73" s="75" t="s">
        <v>3230</v>
      </c>
      <c r="BR73" s="75" t="s">
        <v>2772</v>
      </c>
      <c r="BS73" s="78" t="str">
        <f>HYPERLINK(".\links\SMART\EEC18473.1-SMART.txt","CDD:214643 smart00387, HATPase_c, Histidine kinase-like ATPases")</f>
        <v>CDD:214643 smart00387, HATPase_c, Histidine kinase-like ATPases</v>
      </c>
      <c r="BT73" s="79">
        <v>2E-12</v>
      </c>
      <c r="BU73" s="75">
        <v>136.9</v>
      </c>
      <c r="BV73" s="75" t="s">
        <v>3231</v>
      </c>
      <c r="BW73" s="75" t="s">
        <v>2772</v>
      </c>
      <c r="BX73" s="78" t="str">
        <f>HYPERLINK(".\links\TSF\EEC18473.1-TSF.txt","30-34 30-34, Disulphide isomerase||H|E")</f>
        <v>30-34 30-34, Disulphide isomerase||H|E</v>
      </c>
      <c r="BY73" s="75">
        <v>1.5</v>
      </c>
      <c r="BZ73" s="75">
        <v>32.799999999999997</v>
      </c>
      <c r="CA73" s="75" t="s">
        <v>3232</v>
      </c>
      <c r="CB73" s="75" t="s">
        <v>3233</v>
      </c>
      <c r="CC73" s="75" t="s">
        <v>2772</v>
      </c>
      <c r="CD73" s="75" t="s">
        <v>2808</v>
      </c>
      <c r="CE73" s="75" t="s">
        <v>3234</v>
      </c>
      <c r="CF73" s="75">
        <v>68</v>
      </c>
      <c r="CG73" s="75">
        <v>1</v>
      </c>
      <c r="CH73" s="75">
        <v>79</v>
      </c>
      <c r="CI73" s="75">
        <v>1</v>
      </c>
      <c r="CJ73" s="75">
        <v>81</v>
      </c>
      <c r="CK73" s="75">
        <v>1</v>
      </c>
      <c r="CL73" s="75">
        <v>85</v>
      </c>
      <c r="CM73" s="75">
        <v>1</v>
      </c>
      <c r="CN73" s="75">
        <v>89</v>
      </c>
      <c r="CO73" s="75">
        <v>1</v>
      </c>
      <c r="CP73" s="75">
        <v>91</v>
      </c>
      <c r="CQ73" s="75">
        <v>1</v>
      </c>
      <c r="CR73" s="75">
        <v>92</v>
      </c>
      <c r="CS73" s="75">
        <v>1</v>
      </c>
      <c r="CT73" s="75">
        <v>96</v>
      </c>
      <c r="CU73" s="75">
        <v>1</v>
      </c>
      <c r="CV73" s="75">
        <v>99</v>
      </c>
      <c r="CW73" s="75">
        <v>1</v>
      </c>
      <c r="CX73" s="75">
        <v>103</v>
      </c>
      <c r="CY73" s="75">
        <v>1</v>
      </c>
      <c r="CZ73" s="75">
        <v>106</v>
      </c>
      <c r="DA73" s="75">
        <v>1</v>
      </c>
      <c r="DB73" s="75">
        <v>112</v>
      </c>
      <c r="DC73" s="75">
        <v>1</v>
      </c>
      <c r="DD73" s="75">
        <v>116</v>
      </c>
      <c r="DE73" s="75">
        <v>1</v>
      </c>
      <c r="DF73" s="75">
        <v>118</v>
      </c>
      <c r="DG73" s="75">
        <v>1</v>
      </c>
      <c r="DH73" s="75">
        <v>119</v>
      </c>
      <c r="DI73" s="75">
        <v>1</v>
      </c>
      <c r="DJ73" s="75" t="s">
        <v>223</v>
      </c>
      <c r="DK73" s="75" t="str">
        <f>HYPERLINK(".\links\AAM-CEMENT-2018\EEC18473.1-AAM-CEMENT-2018.txt","Extracted CDS")</f>
        <v>Extracted CDS</v>
      </c>
      <c r="DL73" s="75" t="str">
        <f>HYPERLINK("http://www.ncbi.nlm.nih.gov/sutils/blink.cgi?pid=Aam-175879","0.0")</f>
        <v>0.0</v>
      </c>
      <c r="DM73" s="75" t="str">
        <f>HYPERLINK("http://www.ncbi.nlm.nih.gov/protein/Aam-175879","Aam-175879")</f>
        <v>Aam-175879</v>
      </c>
      <c r="DN73" s="75">
        <v>1338</v>
      </c>
      <c r="DO73" s="75">
        <v>733</v>
      </c>
      <c r="DP73" s="75">
        <v>736</v>
      </c>
      <c r="DQ73" s="75">
        <v>93</v>
      </c>
      <c r="DR73" s="75">
        <v>96</v>
      </c>
      <c r="DS73" s="75">
        <v>100</v>
      </c>
      <c r="DT73" s="75">
        <v>49</v>
      </c>
      <c r="DU73" s="75">
        <v>9</v>
      </c>
      <c r="DV73" s="75">
        <v>11</v>
      </c>
      <c r="DW73" s="75">
        <v>1</v>
      </c>
      <c r="DX73" s="75">
        <v>1</v>
      </c>
      <c r="DY73" s="75" t="s">
        <v>2775</v>
      </c>
      <c r="DZ73" s="75" t="str">
        <f>HYPERLINK(".\links\CDD\EEC18473.1-CDD.txt","PTZ00272 heat shock protein 83 kDa")</f>
        <v>PTZ00272 heat shock protein 83 kDa</v>
      </c>
      <c r="EA73" s="75">
        <v>0</v>
      </c>
      <c r="EB73" s="75">
        <v>102.4</v>
      </c>
      <c r="EC73" s="75" t="s">
        <v>3227</v>
      </c>
      <c r="ED73" s="75" t="s">
        <v>3228</v>
      </c>
      <c r="EE73" s="75" t="str">
        <f>HYPERLINK(".\links\KOG\EEC18473.1-KOG.txt","CDD:223403 COG0326, HtpG, Molecular chaperone, HSP90 family")</f>
        <v>CDD:223403 COG0326, HtpG, Molecular chaperone, HSP90 family</v>
      </c>
      <c r="EF73" s="75">
        <v>0</v>
      </c>
      <c r="EG73" s="75">
        <v>109.8</v>
      </c>
      <c r="EH73" s="75" t="s">
        <v>3229</v>
      </c>
      <c r="EI73" s="75" t="s">
        <v>2779</v>
      </c>
      <c r="EJ73" s="75" t="str">
        <f>HYPERLINK(".\links\PFAM\EEC18473.1-PFAM.txt","HSP90 Hsp90 protein")</f>
        <v>HSP90 Hsp90 protein</v>
      </c>
      <c r="EK73" s="75">
        <v>0</v>
      </c>
      <c r="EL73" s="75">
        <v>102.9</v>
      </c>
      <c r="EM73" s="75" t="s">
        <v>3230</v>
      </c>
      <c r="EN73" s="75" t="s">
        <v>2772</v>
      </c>
      <c r="EO73" s="75" t="str">
        <f>HYPERLINK(".\links\SMART\EEC18473.1-SMART.txt","CDD:214643 smart00387, HATPase_c, Histidine kinase-like ATPases")</f>
        <v>CDD:214643 smart00387, HATPase_c, Histidine kinase-like ATPases</v>
      </c>
      <c r="EP73" s="79">
        <v>2E-12</v>
      </c>
      <c r="EQ73" s="75">
        <v>136.9</v>
      </c>
      <c r="ER73" s="75" t="s">
        <v>3231</v>
      </c>
      <c r="ES73" s="75" t="s">
        <v>2772</v>
      </c>
      <c r="ET73" s="75" t="str">
        <f>HYPERLINK(".\links\TSF\EEC18473.1-TSF.txt","30-34 30-34, Disulphide isomerase||H|E")</f>
        <v>30-34 30-34, Disulphide isomerase||H|E</v>
      </c>
      <c r="EU73" s="75">
        <v>1.5</v>
      </c>
      <c r="EV73" s="75">
        <v>32.799999999999997</v>
      </c>
      <c r="EW73" s="75" t="s">
        <v>3232</v>
      </c>
      <c r="EX73" s="75" t="s">
        <v>3233</v>
      </c>
      <c r="EY73" s="75" t="s">
        <v>2772</v>
      </c>
      <c r="EZ73" s="75" t="s">
        <v>2808</v>
      </c>
      <c r="FA73" s="75" t="s">
        <v>3234</v>
      </c>
    </row>
    <row r="74" spans="1:157" x14ac:dyDescent="0.2">
      <c r="A74" s="75" t="str">
        <f>HYPERLINK(".\links\PEP\EEC11639.1-PEP.txt","EEC11639.1")</f>
        <v>EEC11639.1</v>
      </c>
      <c r="B74" s="75" t="s">
        <v>2768</v>
      </c>
      <c r="C74" s="75">
        <v>614</v>
      </c>
      <c r="D74" s="75" t="s">
        <v>3215</v>
      </c>
      <c r="E74" s="76" t="s">
        <v>93</v>
      </c>
      <c r="F74" s="75" t="s">
        <v>2771</v>
      </c>
      <c r="G74" s="75" t="str">
        <f>HYPERLINK(".\links\Sigp\EEC11639.1-SigP.txt","CYT")</f>
        <v>CYT</v>
      </c>
      <c r="H74" s="75" t="s">
        <v>2772</v>
      </c>
      <c r="I74" s="75">
        <v>67.789000000000001</v>
      </c>
      <c r="J74" s="75">
        <v>5.29</v>
      </c>
      <c r="K74" s="75" t="s">
        <v>2772</v>
      </c>
      <c r="L74" s="75" t="s">
        <v>2772</v>
      </c>
      <c r="M74" s="75" t="str">
        <f>HYPERLINK(".\links\netoglyc\EEC11639.1-netoglyc.txt","0")</f>
        <v>0</v>
      </c>
      <c r="N74" s="75" t="s">
        <v>2971</v>
      </c>
      <c r="O74" s="75">
        <v>614</v>
      </c>
      <c r="P74" s="75">
        <v>0</v>
      </c>
      <c r="Q74" s="75" t="s">
        <v>2772</v>
      </c>
      <c r="R74" s="75" t="s">
        <v>2772</v>
      </c>
      <c r="S74" s="75" t="s">
        <v>2772</v>
      </c>
      <c r="T74" s="75" t="s">
        <v>2772</v>
      </c>
      <c r="U74" s="75" t="s">
        <v>2772</v>
      </c>
      <c r="V74" s="75" t="s">
        <v>2772</v>
      </c>
      <c r="W74" s="75">
        <v>11.5</v>
      </c>
      <c r="X74" s="75">
        <v>6.1</v>
      </c>
      <c r="Y74" s="75">
        <v>3.7</v>
      </c>
      <c r="Z74" s="75" t="s">
        <v>2774</v>
      </c>
      <c r="AA74" s="77">
        <v>9.9348534201954397</v>
      </c>
      <c r="AB74" s="75">
        <v>0.2</v>
      </c>
      <c r="AD74" s="75">
        <v>10</v>
      </c>
      <c r="AE74" s="75" t="s">
        <v>2772</v>
      </c>
      <c r="AF74" s="75" t="s">
        <v>2772</v>
      </c>
      <c r="AG74" s="75" t="s">
        <v>2772</v>
      </c>
      <c r="AH74" s="75" t="s">
        <v>2772</v>
      </c>
      <c r="AI74" s="75">
        <v>2</v>
      </c>
      <c r="AJ74" s="75">
        <v>2</v>
      </c>
      <c r="AK74" s="75" t="s">
        <v>2772</v>
      </c>
      <c r="AL74" s="75" t="s">
        <v>2772</v>
      </c>
      <c r="AM74" s="75" t="s">
        <v>2772</v>
      </c>
      <c r="AN74" s="75" t="s">
        <v>2772</v>
      </c>
      <c r="AO74" s="78" t="str">
        <f>HYPERLINK(".\links\AAM-CEMENT-2018\EEC11639.1-AAM-CEMENT-2018.txt","Extracted CDS")</f>
        <v>Extracted CDS</v>
      </c>
      <c r="AP74" s="75" t="str">
        <f>HYPERLINK("http://www.ncbi.nlm.nih.gov/sutils/blink.cgi?pid=Aam-11809","0.0")</f>
        <v>0.0</v>
      </c>
      <c r="AQ74" s="75" t="str">
        <f>HYPERLINK("http://www.ncbi.nlm.nih.gov/protein/Aam-11809","Aam-11809")</f>
        <v>Aam-11809</v>
      </c>
      <c r="AR74" s="75">
        <v>1110</v>
      </c>
      <c r="AS74" s="75">
        <v>608</v>
      </c>
      <c r="AT74" s="75">
        <v>614</v>
      </c>
      <c r="AU74" s="75">
        <v>87</v>
      </c>
      <c r="AV74" s="75">
        <v>94</v>
      </c>
      <c r="AW74" s="75">
        <v>99</v>
      </c>
      <c r="AX74" s="75">
        <v>79</v>
      </c>
      <c r="AY74" s="75">
        <v>0</v>
      </c>
      <c r="AZ74" s="75">
        <v>7</v>
      </c>
      <c r="BA74" s="75">
        <v>7</v>
      </c>
      <c r="BB74" s="75">
        <v>1</v>
      </c>
      <c r="BC74" s="75" t="s">
        <v>2775</v>
      </c>
      <c r="BD74" s="78" t="str">
        <f>HYPERLINK(".\links\CDD\EEC11639.1-CDD.txt","PTZ00009 heat shock 70 kDa protein")</f>
        <v>PTZ00009 heat shock 70 kDa protein</v>
      </c>
      <c r="BE74" s="75">
        <v>0</v>
      </c>
      <c r="BF74" s="75">
        <v>93.6</v>
      </c>
      <c r="BG74" s="75" t="s">
        <v>3218</v>
      </c>
      <c r="BH74" s="75" t="s">
        <v>3235</v>
      </c>
      <c r="BI74" s="75" t="str">
        <f>HYPERLINK(".\links\KOG\EEC11639.1-KOG.txt","CDD:223520 COG0443, DnaK, Molecular chaperone")</f>
        <v>CDD:223520 COG0443, DnaK, Molecular chaperone</v>
      </c>
      <c r="BJ74" s="75">
        <v>0</v>
      </c>
      <c r="BK74" s="75">
        <v>105.9</v>
      </c>
      <c r="BL74" s="75" t="s">
        <v>3220</v>
      </c>
      <c r="BM74" s="75" t="s">
        <v>2779</v>
      </c>
      <c r="BN74" s="78" t="str">
        <f>HYPERLINK(".\links\PFAM\EEC11639.1-PFAM.txt","HSP70 Hsp70 protein")</f>
        <v>HSP70 Hsp70 protein</v>
      </c>
      <c r="BO74" s="75">
        <v>0</v>
      </c>
      <c r="BP74" s="75">
        <v>101.8</v>
      </c>
      <c r="BQ74" s="75" t="s">
        <v>3221</v>
      </c>
      <c r="BR74" s="75" t="s">
        <v>2772</v>
      </c>
      <c r="BS74" s="78" t="str">
        <f>HYPERLINK(".\links\SMART\EEC11639.1-SMART.txt","CDD:128828 smart00555, GIT, Helical motif in the GIT family of ADP-ribosylation factor GTPase-activating proteins")</f>
        <v>CDD:128828 smart00555, GIT, Helical motif in the GIT family of ADP-ribosylation factor GTPase-activating proteins</v>
      </c>
      <c r="BT74" s="75">
        <v>6.9000000000000006E-2</v>
      </c>
      <c r="BU74" s="75">
        <v>61.3</v>
      </c>
      <c r="BV74" s="75" t="s">
        <v>3236</v>
      </c>
      <c r="BW74" s="75" t="s">
        <v>2772</v>
      </c>
      <c r="BX74" s="78" t="str">
        <f>HYPERLINK(".\links\TSF\EEC11639.1-TSF.txt","30-200 30-200, HSP-70||H|")</f>
        <v>30-200 30-200, HSP-70||H|</v>
      </c>
      <c r="BY74" s="75">
        <v>0</v>
      </c>
      <c r="BZ74" s="75">
        <v>92.7</v>
      </c>
      <c r="CA74" s="75" t="s">
        <v>3222</v>
      </c>
      <c r="CB74" s="75" t="s">
        <v>3223</v>
      </c>
      <c r="CC74" s="75" t="s">
        <v>2772</v>
      </c>
      <c r="CD74" s="75" t="s">
        <v>2808</v>
      </c>
      <c r="CE74" s="75" t="s">
        <v>3224</v>
      </c>
      <c r="CF74" s="75">
        <f>HYPERLINK(".\links\cluster-b\Ixsc-cement-202225-50SimCLU4.txt", 4)</f>
        <v>4</v>
      </c>
      <c r="CG74" s="75">
        <f>HYPERLINK(".\links\cluster-b\Ixsc-cement-202225-50SimCLTL4.txt", 6)</f>
        <v>6</v>
      </c>
      <c r="CH74" s="75">
        <f>HYPERLINK(".\links\cluster-b\Ixsc-cement-202230-50SimCLU3.txt", 3)</f>
        <v>3</v>
      </c>
      <c r="CI74" s="75">
        <f>HYPERLINK(".\links\cluster-b\Ixsc-cement-202230-50SimCLTL3.txt", 6)</f>
        <v>6</v>
      </c>
      <c r="CJ74" s="75">
        <f>HYPERLINK(".\links\cluster-b\Ixsc-cement-202235-50SimCLU3.txt", 3)</f>
        <v>3</v>
      </c>
      <c r="CK74" s="75">
        <f>HYPERLINK(".\links\cluster-b\Ixsc-cement-202235-50SimCLTL3.txt", 6)</f>
        <v>6</v>
      </c>
      <c r="CL74" s="75">
        <f>HYPERLINK(".\links\cluster-b\Ixsc-cement-202240-50SimCLU2.txt", 2)</f>
        <v>2</v>
      </c>
      <c r="CM74" s="75">
        <f>HYPERLINK(".\links\cluster-b\Ixsc-cement-202240-50SimCLTL2.txt", 6)</f>
        <v>6</v>
      </c>
      <c r="CN74" s="75">
        <f>HYPERLINK(".\links\cluster-b\Ixsc-cement-202245-50SimCLU2.txt", 2)</f>
        <v>2</v>
      </c>
      <c r="CO74" s="75">
        <f>HYPERLINK(".\links\cluster-b\Ixsc-cement-202245-50SimCLTL2.txt", 6)</f>
        <v>6</v>
      </c>
      <c r="CP74" s="75">
        <f>HYPERLINK(".\links\cluster-b\Ixsc-cement-202250-50SimCLU2.txt", 2)</f>
        <v>2</v>
      </c>
      <c r="CQ74" s="75">
        <f>HYPERLINK(".\links\cluster-b\Ixsc-cement-202250-50SimCLTL2.txt", 6)</f>
        <v>6</v>
      </c>
      <c r="CR74" s="75">
        <f>HYPERLINK(".\links\cluster-b\Ixsc-cement-202255-50SimCLU2.txt", 2)</f>
        <v>2</v>
      </c>
      <c r="CS74" s="75">
        <f>HYPERLINK(".\links\cluster-b\Ixsc-cement-202255-50SimCLTL2.txt", 6)</f>
        <v>6</v>
      </c>
      <c r="CT74" s="75">
        <f>HYPERLINK(".\links\cluster-b\Ixsc-cement-202260-50SimCLU1.txt", 1)</f>
        <v>1</v>
      </c>
      <c r="CU74" s="75">
        <f>HYPERLINK(".\links\cluster-b\Ixsc-cement-202260-50SimCLTL1.txt", 6)</f>
        <v>6</v>
      </c>
      <c r="CV74" s="75">
        <f>HYPERLINK(".\links\cluster-b\Ixsc-cement-202265-50SimCLU1.txt", 1)</f>
        <v>1</v>
      </c>
      <c r="CW74" s="75">
        <f>HYPERLINK(".\links\cluster-b\Ixsc-cement-202265-50SimCLTL1.txt", 6)</f>
        <v>6</v>
      </c>
      <c r="CX74" s="75">
        <f>HYPERLINK(".\links\cluster-b\Ixsc-cement-202270-50SimCLU1.txt", 1)</f>
        <v>1</v>
      </c>
      <c r="CY74" s="75">
        <f>HYPERLINK(".\links\cluster-b\Ixsc-cement-202270-50SimCLTL1.txt", 6)</f>
        <v>6</v>
      </c>
      <c r="CZ74" s="75">
        <f>HYPERLINK(".\links\cluster-b\Ixsc-cement-202275-50SimCLU2.txt", 2)</f>
        <v>2</v>
      </c>
      <c r="DA74" s="75">
        <f>HYPERLINK(".\links\cluster-b\Ixsc-cement-202275-50SimCLTL2.txt", 5)</f>
        <v>5</v>
      </c>
      <c r="DB74" s="75">
        <v>82</v>
      </c>
      <c r="DC74" s="75">
        <v>1</v>
      </c>
      <c r="DD74" s="75">
        <v>85</v>
      </c>
      <c r="DE74" s="75">
        <v>1</v>
      </c>
      <c r="DF74" s="75">
        <v>87</v>
      </c>
      <c r="DG74" s="75">
        <v>1</v>
      </c>
      <c r="DH74" s="75">
        <v>88</v>
      </c>
      <c r="DI74" s="75">
        <v>1</v>
      </c>
      <c r="DJ74" s="75" t="s">
        <v>162</v>
      </c>
      <c r="DK74" s="75" t="str">
        <f>HYPERLINK(".\links\AAM-CEMENT-2018\EEC11639.1-AAM-CEMENT-2018.txt","Extracted CDS")</f>
        <v>Extracted CDS</v>
      </c>
      <c r="DL74" s="75" t="str">
        <f>HYPERLINK("http://www.ncbi.nlm.nih.gov/sutils/blink.cgi?pid=Aam-11809","0.0")</f>
        <v>0.0</v>
      </c>
      <c r="DM74" s="75" t="str">
        <f>HYPERLINK("http://www.ncbi.nlm.nih.gov/protein/Aam-11809","Aam-11809")</f>
        <v>Aam-11809</v>
      </c>
      <c r="DN74" s="75">
        <v>1110</v>
      </c>
      <c r="DO74" s="75">
        <v>608</v>
      </c>
      <c r="DP74" s="75">
        <v>614</v>
      </c>
      <c r="DQ74" s="75">
        <v>87</v>
      </c>
      <c r="DR74" s="75">
        <v>94</v>
      </c>
      <c r="DS74" s="75">
        <v>99</v>
      </c>
      <c r="DT74" s="75">
        <v>79</v>
      </c>
      <c r="DU74" s="75">
        <v>0</v>
      </c>
      <c r="DV74" s="75">
        <v>7</v>
      </c>
      <c r="DW74" s="75">
        <v>7</v>
      </c>
      <c r="DX74" s="75">
        <v>1</v>
      </c>
      <c r="DY74" s="75" t="s">
        <v>2775</v>
      </c>
      <c r="DZ74" s="75" t="str">
        <f>HYPERLINK(".\links\CDD\EEC11639.1-CDD.txt","PTZ00009 heat shock 70 kDa protein")</f>
        <v>PTZ00009 heat shock 70 kDa protein</v>
      </c>
      <c r="EA74" s="75">
        <v>0</v>
      </c>
      <c r="EB74" s="75">
        <v>93.6</v>
      </c>
      <c r="EC74" s="75" t="s">
        <v>3218</v>
      </c>
      <c r="ED74" s="75" t="s">
        <v>3235</v>
      </c>
      <c r="EE74" s="75" t="str">
        <f>HYPERLINK(".\links\KOG\EEC11639.1-KOG.txt","CDD:223520 COG0443, DnaK, Molecular chaperone")</f>
        <v>CDD:223520 COG0443, DnaK, Molecular chaperone</v>
      </c>
      <c r="EF74" s="75">
        <v>0</v>
      </c>
      <c r="EG74" s="75">
        <v>105.9</v>
      </c>
      <c r="EH74" s="75" t="s">
        <v>3220</v>
      </c>
      <c r="EI74" s="75" t="s">
        <v>2779</v>
      </c>
      <c r="EJ74" s="75" t="str">
        <f>HYPERLINK(".\links\PFAM\EEC11639.1-PFAM.txt","HSP70 Hsp70 protein")</f>
        <v>HSP70 Hsp70 protein</v>
      </c>
      <c r="EK74" s="75">
        <v>0</v>
      </c>
      <c r="EL74" s="75">
        <v>101.8</v>
      </c>
      <c r="EM74" s="75" t="s">
        <v>3221</v>
      </c>
      <c r="EN74" s="75" t="s">
        <v>2772</v>
      </c>
      <c r="EO74" s="75" t="str">
        <f>HYPERLINK(".\links\SMART\EEC11639.1-SMART.txt","CDD:128828 smart00555, GIT, Helical motif in the GIT family of ADP-ribosylation factor GTPase-activating proteins")</f>
        <v>CDD:128828 smart00555, GIT, Helical motif in the GIT family of ADP-ribosylation factor GTPase-activating proteins</v>
      </c>
      <c r="EP74" s="75">
        <v>6.9000000000000006E-2</v>
      </c>
      <c r="EQ74" s="75">
        <v>61.3</v>
      </c>
      <c r="ER74" s="75" t="s">
        <v>3236</v>
      </c>
      <c r="ES74" s="75" t="s">
        <v>2772</v>
      </c>
      <c r="ET74" s="75" t="str">
        <f>HYPERLINK(".\links\TSF\EEC11639.1-TSF.txt","30-200 30-200, HSP-70||H|")</f>
        <v>30-200 30-200, HSP-70||H|</v>
      </c>
      <c r="EU74" s="75">
        <v>0</v>
      </c>
      <c r="EV74" s="75">
        <v>92.7</v>
      </c>
      <c r="EW74" s="75" t="s">
        <v>3222</v>
      </c>
      <c r="EX74" s="75" t="s">
        <v>3223</v>
      </c>
      <c r="EY74" s="75" t="s">
        <v>2772</v>
      </c>
      <c r="EZ74" s="75" t="s">
        <v>2808</v>
      </c>
      <c r="FA74" s="75" t="s">
        <v>3224</v>
      </c>
    </row>
    <row r="75" spans="1:157" x14ac:dyDescent="0.2">
      <c r="A75" s="75" t="str">
        <f>HYPERLINK(".\links\PEP\EEC01647.1-PEP.txt","EEC01647.1")</f>
        <v>EEC01647.1</v>
      </c>
      <c r="B75" s="75" t="s">
        <v>2768</v>
      </c>
      <c r="C75" s="75">
        <v>212</v>
      </c>
      <c r="D75" s="75" t="s">
        <v>3237</v>
      </c>
      <c r="E75" s="76" t="s">
        <v>93</v>
      </c>
      <c r="F75" s="75" t="s">
        <v>2771</v>
      </c>
      <c r="G75" s="75" t="str">
        <f>HYPERLINK(".\links\Sigp\EEC01647.1-SigP.txt","CYT")</f>
        <v>CYT</v>
      </c>
      <c r="H75" s="75" t="s">
        <v>2772</v>
      </c>
      <c r="I75" s="75">
        <v>23.16</v>
      </c>
      <c r="J75" s="75">
        <v>9.07</v>
      </c>
      <c r="K75" s="75" t="s">
        <v>2772</v>
      </c>
      <c r="L75" s="75" t="s">
        <v>2772</v>
      </c>
      <c r="M75" s="75" t="str">
        <f>HYPERLINK(".\links\netoglyc\EEC01647.1-netoglyc.txt","1")</f>
        <v>1</v>
      </c>
      <c r="N75" s="75" t="s">
        <v>3238</v>
      </c>
      <c r="O75" s="75">
        <v>212</v>
      </c>
      <c r="P75" s="75">
        <v>0</v>
      </c>
      <c r="Q75" s="75" t="s">
        <v>2772</v>
      </c>
      <c r="R75" s="75" t="s">
        <v>2772</v>
      </c>
      <c r="S75" s="75" t="s">
        <v>2772</v>
      </c>
      <c r="T75" s="75" t="s">
        <v>2772</v>
      </c>
      <c r="U75" s="75" t="s">
        <v>2772</v>
      </c>
      <c r="V75" s="75" t="s">
        <v>2772</v>
      </c>
      <c r="W75" s="75">
        <v>10.1</v>
      </c>
      <c r="X75" s="75">
        <v>8.3000000000000007</v>
      </c>
      <c r="Y75" s="75">
        <v>3.7</v>
      </c>
      <c r="Z75" s="75" t="s">
        <v>2774</v>
      </c>
      <c r="AA75" s="77">
        <v>12.264150943396199</v>
      </c>
      <c r="AB75" s="75">
        <v>0.28000000000000003</v>
      </c>
      <c r="AD75" s="75">
        <v>2</v>
      </c>
      <c r="AE75" s="75" t="s">
        <v>2772</v>
      </c>
      <c r="AF75" s="75" t="s">
        <v>2772</v>
      </c>
      <c r="AG75" s="75" t="s">
        <v>2772</v>
      </c>
      <c r="AH75" s="75" t="s">
        <v>2772</v>
      </c>
      <c r="AI75" s="75">
        <v>2</v>
      </c>
      <c r="AJ75" s="75">
        <v>2</v>
      </c>
      <c r="AK75" s="75" t="s">
        <v>2772</v>
      </c>
      <c r="AL75" s="75" t="s">
        <v>2772</v>
      </c>
      <c r="AM75" s="75" t="s">
        <v>2772</v>
      </c>
      <c r="AN75" s="75" t="s">
        <v>2772</v>
      </c>
      <c r="AO75" s="78" t="str">
        <f>HYPERLINK(".\links\AAM-CEMENT-2018\EEC01647.1-AAM-CEMENT-2018.txt","Extracted CDS")</f>
        <v>Extracted CDS</v>
      </c>
      <c r="AP75" s="75" t="str">
        <f>HYPERLINK("http://www.ncbi.nlm.nih.gov/sutils/blink.cgi?pid=Aam-37521","1E-135")</f>
        <v>1E-135</v>
      </c>
      <c r="AQ75" s="75" t="str">
        <f>HYPERLINK("http://www.ncbi.nlm.nih.gov/protein/Aam-37521","Aam-37521")</f>
        <v>Aam-37521</v>
      </c>
      <c r="AR75" s="75">
        <v>384</v>
      </c>
      <c r="AS75" s="75">
        <v>212</v>
      </c>
      <c r="AT75" s="75">
        <v>510</v>
      </c>
      <c r="AU75" s="75">
        <v>86</v>
      </c>
      <c r="AV75" s="75">
        <v>92</v>
      </c>
      <c r="AW75" s="75">
        <v>42</v>
      </c>
      <c r="AX75" s="75">
        <v>28</v>
      </c>
      <c r="AY75" s="75">
        <v>0</v>
      </c>
      <c r="AZ75" s="75">
        <v>1</v>
      </c>
      <c r="BA75" s="75">
        <v>1</v>
      </c>
      <c r="BB75" s="75">
        <v>1</v>
      </c>
      <c r="BC75" s="75" t="s">
        <v>2775</v>
      </c>
      <c r="BD75" s="78" t="str">
        <f>HYPERLINK(".\links\CDD\EEC01647.1-CDD.txt","HSPA1-2_6-8-like_NBD Nucleotide-binding domain of HSPA1-A -B -L HSPA-2 -6 -7 -8 and similar proteins")</f>
        <v>HSPA1-2_6-8-like_NBD Nucleotide-binding domain of HSPA1-A -B -L HSPA-2 -6 -7 -8 and similar proteins</v>
      </c>
      <c r="BE75" s="79">
        <v>6.9999999999999996E-153</v>
      </c>
      <c r="BF75" s="75">
        <v>53.7</v>
      </c>
      <c r="BG75" s="75" t="s">
        <v>3239</v>
      </c>
      <c r="BH75" s="75" t="s">
        <v>3240</v>
      </c>
      <c r="BI75" s="75" t="str">
        <f>HYPERLINK(".\links\KOG\EEC01647.1-KOG.txt","CDD:223520 COG0443, DnaK, Molecular chaperone")</f>
        <v>CDD:223520 COG0443, DnaK, Molecular chaperone</v>
      </c>
      <c r="BJ75" s="79">
        <v>9.9999999999999996E-82</v>
      </c>
      <c r="BK75" s="75">
        <v>35.799999999999997</v>
      </c>
      <c r="BL75" s="75" t="s">
        <v>3220</v>
      </c>
      <c r="BM75" s="75" t="s">
        <v>2779</v>
      </c>
      <c r="BN75" s="78" t="str">
        <f>HYPERLINK(".\links\PFAM\EEC01647.1-PFAM.txt","HSP70 Hsp70 protein")</f>
        <v>HSP70 Hsp70 protein</v>
      </c>
      <c r="BO75" s="79">
        <v>2.0000000000000001E-117</v>
      </c>
      <c r="BP75" s="75">
        <v>33.9</v>
      </c>
      <c r="BQ75" s="75" t="s">
        <v>3221</v>
      </c>
      <c r="BR75" s="75" t="s">
        <v>2772</v>
      </c>
      <c r="BS75" s="78" t="str">
        <f>HYPERLINK(".\links\SMART\EEC01647.1-SMART.txt","CDD:214710 smart00533, MUTSd, DNA-binding domain of DNA mismatch repair MUTS family")</f>
        <v>CDD:214710 smart00533, MUTSd, DNA-binding domain of DNA mismatch repair MUTS family</v>
      </c>
      <c r="BT75" s="75">
        <v>2.8</v>
      </c>
      <c r="BU75" s="75">
        <v>13.6</v>
      </c>
      <c r="BV75" s="75" t="s">
        <v>3241</v>
      </c>
      <c r="BW75" s="75" t="s">
        <v>2772</v>
      </c>
      <c r="BX75" s="78" t="str">
        <f>HYPERLINK(".\links\TSF\EEC01647.1-TSF.txt","30-200 30-200, HSP-70||H|")</f>
        <v>30-200 30-200, HSP-70||H|</v>
      </c>
      <c r="BY75" s="79">
        <v>1E-87</v>
      </c>
      <c r="BZ75" s="75">
        <v>30.8</v>
      </c>
      <c r="CA75" s="75" t="s">
        <v>3222</v>
      </c>
      <c r="CB75" s="75" t="s">
        <v>3223</v>
      </c>
      <c r="CC75" s="75" t="s">
        <v>2772</v>
      </c>
      <c r="CD75" s="75" t="s">
        <v>2808</v>
      </c>
      <c r="CE75" s="75" t="s">
        <v>3224</v>
      </c>
      <c r="CF75" s="75">
        <f>HYPERLINK(".\links\cluster-b\Ixsc-cement-202225-50SimCLU15.txt", 15)</f>
        <v>15</v>
      </c>
      <c r="CG75" s="75">
        <f>HYPERLINK(".\links\cluster-b\Ixsc-cement-202225-50SimCLTL15.txt", 2)</f>
        <v>2</v>
      </c>
      <c r="CH75" s="75">
        <f>HYPERLINK(".\links\cluster-b\Ixsc-cement-202230-50SimCLU14.txt", 14)</f>
        <v>14</v>
      </c>
      <c r="CI75" s="75">
        <f>HYPERLINK(".\links\cluster-b\Ixsc-cement-202230-50SimCLTL14.txt", 2)</f>
        <v>2</v>
      </c>
      <c r="CJ75" s="75">
        <f>HYPERLINK(".\links\cluster-b\Ixsc-cement-202235-50SimCLU14.txt", 14)</f>
        <v>14</v>
      </c>
      <c r="CK75" s="75">
        <f>HYPERLINK(".\links\cluster-b\Ixsc-cement-202235-50SimCLTL14.txt", 2)</f>
        <v>2</v>
      </c>
      <c r="CL75" s="75">
        <f>HYPERLINK(".\links\cluster-b\Ixsc-cement-202240-50SimCLU15.txt", 15)</f>
        <v>15</v>
      </c>
      <c r="CM75" s="75">
        <f>HYPERLINK(".\links\cluster-b\Ixsc-cement-202240-50SimCLTL15.txt", 2)</f>
        <v>2</v>
      </c>
      <c r="CN75" s="75">
        <v>28</v>
      </c>
      <c r="CO75" s="75">
        <v>1</v>
      </c>
      <c r="CP75" s="75">
        <v>28</v>
      </c>
      <c r="CQ75" s="75">
        <v>1</v>
      </c>
      <c r="CR75" s="75">
        <v>29</v>
      </c>
      <c r="CS75" s="75">
        <v>1</v>
      </c>
      <c r="CT75" s="75">
        <v>31</v>
      </c>
      <c r="CU75" s="75">
        <v>1</v>
      </c>
      <c r="CV75" s="75">
        <v>31</v>
      </c>
      <c r="CW75" s="75">
        <v>1</v>
      </c>
      <c r="CX75" s="75">
        <v>32</v>
      </c>
      <c r="CY75" s="75">
        <v>1</v>
      </c>
      <c r="CZ75" s="75">
        <v>32</v>
      </c>
      <c r="DA75" s="75">
        <v>1</v>
      </c>
      <c r="DB75" s="75">
        <v>32</v>
      </c>
      <c r="DC75" s="75">
        <v>1</v>
      </c>
      <c r="DD75" s="75">
        <v>30</v>
      </c>
      <c r="DE75" s="75">
        <v>1</v>
      </c>
      <c r="DF75" s="75">
        <v>29</v>
      </c>
      <c r="DG75" s="75">
        <v>1</v>
      </c>
      <c r="DH75" s="75">
        <v>29</v>
      </c>
      <c r="DI75" s="75">
        <v>1</v>
      </c>
      <c r="DJ75" s="75" t="s">
        <v>161</v>
      </c>
      <c r="DK75" s="75" t="str">
        <f>HYPERLINK(".\links\AAM-CEMENT-2018\EEC01647.1-AAM-CEMENT-2018.txt","Extracted CDS")</f>
        <v>Extracted CDS</v>
      </c>
      <c r="DL75" s="75" t="str">
        <f>HYPERLINK("http://www.ncbi.nlm.nih.gov/sutils/blink.cgi?pid=Aam-37521","1E-135")</f>
        <v>1E-135</v>
      </c>
      <c r="DM75" s="75" t="str">
        <f>HYPERLINK("http://www.ncbi.nlm.nih.gov/protein/Aam-37521","Aam-37521")</f>
        <v>Aam-37521</v>
      </c>
      <c r="DN75" s="75">
        <v>384</v>
      </c>
      <c r="DO75" s="75">
        <v>212</v>
      </c>
      <c r="DP75" s="75">
        <v>510</v>
      </c>
      <c r="DQ75" s="75">
        <v>86</v>
      </c>
      <c r="DR75" s="75">
        <v>92</v>
      </c>
      <c r="DS75" s="75">
        <v>42</v>
      </c>
      <c r="DT75" s="75">
        <v>28</v>
      </c>
      <c r="DU75" s="75">
        <v>0</v>
      </c>
      <c r="DV75" s="75">
        <v>1</v>
      </c>
      <c r="DW75" s="75">
        <v>1</v>
      </c>
      <c r="DX75" s="75">
        <v>1</v>
      </c>
      <c r="DY75" s="75" t="s">
        <v>2775</v>
      </c>
      <c r="DZ75" s="75" t="str">
        <f>HYPERLINK(".\links\CDD\EEC01647.1-CDD.txt","HSPA1-2_6-8-like_NBD Nucleotide-binding domain of HSPA1-A -B -L HSPA-2 -6 -7 -8 and similar proteins")</f>
        <v>HSPA1-2_6-8-like_NBD Nucleotide-binding domain of HSPA1-A -B -L HSPA-2 -6 -7 -8 and similar proteins</v>
      </c>
      <c r="EA75" s="79">
        <v>6.9999999999999996E-153</v>
      </c>
      <c r="EB75" s="75">
        <v>53.7</v>
      </c>
      <c r="EC75" s="75" t="s">
        <v>3239</v>
      </c>
      <c r="ED75" s="75" t="s">
        <v>3240</v>
      </c>
      <c r="EE75" s="75" t="str">
        <f>HYPERLINK(".\links\KOG\EEC01647.1-KOG.txt","CDD:223520 COG0443, DnaK, Molecular chaperone")</f>
        <v>CDD:223520 COG0443, DnaK, Molecular chaperone</v>
      </c>
      <c r="EF75" s="79">
        <v>9.9999999999999996E-82</v>
      </c>
      <c r="EG75" s="75">
        <v>35.799999999999997</v>
      </c>
      <c r="EH75" s="75" t="s">
        <v>3220</v>
      </c>
      <c r="EI75" s="75" t="s">
        <v>2779</v>
      </c>
      <c r="EJ75" s="75" t="str">
        <f>HYPERLINK(".\links\PFAM\EEC01647.1-PFAM.txt","HSP70 Hsp70 protein")</f>
        <v>HSP70 Hsp70 protein</v>
      </c>
      <c r="EK75" s="79">
        <v>2.0000000000000001E-117</v>
      </c>
      <c r="EL75" s="75">
        <v>33.9</v>
      </c>
      <c r="EM75" s="75" t="s">
        <v>3221</v>
      </c>
      <c r="EN75" s="75" t="s">
        <v>2772</v>
      </c>
      <c r="EO75" s="75" t="str">
        <f>HYPERLINK(".\links\SMART\EEC01647.1-SMART.txt","CDD:214710 smart00533, MUTSd, DNA-binding domain of DNA mismatch repair MUTS family")</f>
        <v>CDD:214710 smart00533, MUTSd, DNA-binding domain of DNA mismatch repair MUTS family</v>
      </c>
      <c r="EP75" s="75">
        <v>2.8</v>
      </c>
      <c r="EQ75" s="75">
        <v>13.6</v>
      </c>
      <c r="ER75" s="75" t="s">
        <v>3241</v>
      </c>
      <c r="ES75" s="75" t="s">
        <v>2772</v>
      </c>
      <c r="ET75" s="75" t="str">
        <f>HYPERLINK(".\links\TSF\EEC01647.1-TSF.txt","30-200 30-200, HSP-70||H|")</f>
        <v>30-200 30-200, HSP-70||H|</v>
      </c>
      <c r="EU75" s="79">
        <v>1E-87</v>
      </c>
      <c r="EV75" s="75">
        <v>30.8</v>
      </c>
      <c r="EW75" s="75" t="s">
        <v>3222</v>
      </c>
      <c r="EX75" s="75" t="s">
        <v>3223</v>
      </c>
      <c r="EY75" s="75" t="s">
        <v>2772</v>
      </c>
      <c r="EZ75" s="75" t="s">
        <v>2808</v>
      </c>
      <c r="FA75" s="75" t="s">
        <v>3224</v>
      </c>
    </row>
    <row r="76" spans="1:157" x14ac:dyDescent="0.2">
      <c r="A76" s="75" t="str">
        <f>HYPERLINK(".\links\PEP\EEC14892.1-PEP.txt","EEC14892.1")</f>
        <v>EEC14892.1</v>
      </c>
      <c r="B76" s="75" t="s">
        <v>3242</v>
      </c>
      <c r="C76" s="75">
        <v>586</v>
      </c>
      <c r="D76" s="75" t="s">
        <v>3243</v>
      </c>
      <c r="E76" s="76" t="s">
        <v>93</v>
      </c>
      <c r="F76" s="75" t="s">
        <v>2771</v>
      </c>
      <c r="G76" s="75" t="str">
        <f>HYPERLINK(".\links\Sigp\EEC14892.1-SigP.txt","CYT")</f>
        <v>CYT</v>
      </c>
      <c r="H76" s="75" t="s">
        <v>2772</v>
      </c>
      <c r="I76" s="75">
        <v>64.358999999999995</v>
      </c>
      <c r="J76" s="75">
        <v>5.0599999999999996</v>
      </c>
      <c r="K76" s="75" t="s">
        <v>2772</v>
      </c>
      <c r="L76" s="75" t="s">
        <v>2772</v>
      </c>
      <c r="M76" s="75" t="str">
        <f>HYPERLINK(".\links\netoglyc\EEC14892.1-netoglyc.txt","0")</f>
        <v>0</v>
      </c>
      <c r="N76" s="75" t="s">
        <v>3244</v>
      </c>
      <c r="O76" s="75">
        <v>586</v>
      </c>
      <c r="P76" s="75">
        <v>0</v>
      </c>
      <c r="Q76" s="75" t="s">
        <v>2772</v>
      </c>
      <c r="R76" s="75" t="s">
        <v>2772</v>
      </c>
      <c r="S76" s="75" t="s">
        <v>2772</v>
      </c>
      <c r="T76" s="75" t="s">
        <v>2772</v>
      </c>
      <c r="U76" s="75" t="s">
        <v>2772</v>
      </c>
      <c r="V76" s="75" t="s">
        <v>2772</v>
      </c>
      <c r="W76" s="75">
        <v>11.7</v>
      </c>
      <c r="X76" s="75">
        <v>7.2</v>
      </c>
      <c r="Y76" s="75">
        <v>3.9</v>
      </c>
      <c r="Z76" s="75" t="s">
        <v>2774</v>
      </c>
      <c r="AA76" s="77">
        <v>11.262798634812301</v>
      </c>
      <c r="AB76" s="75">
        <v>0.22</v>
      </c>
      <c r="AD76" s="75">
        <v>5</v>
      </c>
      <c r="AE76" s="75" t="s">
        <v>2772</v>
      </c>
      <c r="AF76" s="75" t="s">
        <v>2772</v>
      </c>
      <c r="AG76" s="75" t="s">
        <v>2772</v>
      </c>
      <c r="AH76" s="75" t="s">
        <v>2772</v>
      </c>
      <c r="AI76" s="75">
        <v>3</v>
      </c>
      <c r="AJ76" s="75">
        <v>3</v>
      </c>
      <c r="AK76" s="75" t="s">
        <v>2772</v>
      </c>
      <c r="AL76" s="75" t="s">
        <v>2772</v>
      </c>
      <c r="AM76" s="75" t="s">
        <v>2772</v>
      </c>
      <c r="AN76" s="75" t="s">
        <v>2772</v>
      </c>
      <c r="AO76" s="78" t="str">
        <f>HYPERLINK(".\links\AAM-CEMENT-2018\EEC14892.1-AAM-CEMENT-2018.txt","Extracted CDS")</f>
        <v>Extracted CDS</v>
      </c>
      <c r="AP76" s="75" t="str">
        <f>HYPERLINK("http://www.ncbi.nlm.nih.gov/sutils/blink.cgi?pid=Aam-3221","0.0")</f>
        <v>0.0</v>
      </c>
      <c r="AQ76" s="75" t="str">
        <f>HYPERLINK("http://www.ncbi.nlm.nih.gov/protein/Aam-3221","Aam-3221")</f>
        <v>Aam-3221</v>
      </c>
      <c r="AR76" s="75">
        <v>1105</v>
      </c>
      <c r="AS76" s="75">
        <v>637</v>
      </c>
      <c r="AT76" s="75">
        <v>636</v>
      </c>
      <c r="AU76" s="75">
        <v>86</v>
      </c>
      <c r="AV76" s="75">
        <v>90</v>
      </c>
      <c r="AW76" s="75">
        <v>100</v>
      </c>
      <c r="AX76" s="75">
        <v>83</v>
      </c>
      <c r="AY76" s="75">
        <v>54</v>
      </c>
      <c r="AZ76" s="75">
        <v>1</v>
      </c>
      <c r="BA76" s="75">
        <v>3</v>
      </c>
      <c r="BB76" s="75">
        <v>1</v>
      </c>
      <c r="BC76" s="75" t="s">
        <v>2775</v>
      </c>
      <c r="BD76" s="78" t="str">
        <f>HYPERLINK(".\links\CDD\EEC14892.1-CDD.txt","PTZ00009 heat shock 70 kDa protein")</f>
        <v>PTZ00009 heat shock 70 kDa protein</v>
      </c>
      <c r="BE76" s="75">
        <v>0</v>
      </c>
      <c r="BF76" s="75">
        <v>100.2</v>
      </c>
      <c r="BG76" s="75" t="s">
        <v>3218</v>
      </c>
      <c r="BH76" s="75" t="s">
        <v>3235</v>
      </c>
      <c r="BI76" s="75" t="str">
        <f>HYPERLINK(".\links\KOG\EEC14892.1-KOG.txt","CDD:223520 COG0443, DnaK, Molecular chaperone")</f>
        <v>CDD:223520 COG0443, DnaK, Molecular chaperone</v>
      </c>
      <c r="BJ76" s="75">
        <v>0</v>
      </c>
      <c r="BK76" s="75">
        <v>106</v>
      </c>
      <c r="BL76" s="75" t="s">
        <v>3220</v>
      </c>
      <c r="BM76" s="75" t="s">
        <v>2779</v>
      </c>
      <c r="BN76" s="78" t="str">
        <f>HYPERLINK(".\links\PFAM\EEC14892.1-PFAM.txt","HSP70 Hsp70 protein")</f>
        <v>HSP70 Hsp70 protein</v>
      </c>
      <c r="BO76" s="75">
        <v>0</v>
      </c>
      <c r="BP76" s="75">
        <v>102.2</v>
      </c>
      <c r="BQ76" s="75" t="s">
        <v>3221</v>
      </c>
      <c r="BR76" s="75" t="s">
        <v>2772</v>
      </c>
      <c r="BS76" s="78" t="str">
        <f>HYPERLINK(".\links\SMART\EEC14892.1-SMART.txt","CDD:214592 smart00268, ACTIN, Actin")</f>
        <v>CDD:214592 smart00268, ACTIN, Actin</v>
      </c>
      <c r="BT76" s="75">
        <v>5.5E-2</v>
      </c>
      <c r="BU76" s="75">
        <v>13.9</v>
      </c>
      <c r="BV76" s="75" t="s">
        <v>2960</v>
      </c>
      <c r="BW76" s="75" t="s">
        <v>2772</v>
      </c>
      <c r="BX76" s="78" t="str">
        <f>HYPERLINK(".\links\TSF\EEC14892.1-TSF.txt","30-200 30-200, HSP-70||H|")</f>
        <v>30-200 30-200, HSP-70||H|</v>
      </c>
      <c r="BY76" s="75">
        <v>0</v>
      </c>
      <c r="BZ76" s="75">
        <v>93.9</v>
      </c>
      <c r="CA76" s="75" t="s">
        <v>3222</v>
      </c>
      <c r="CB76" s="75" t="s">
        <v>3223</v>
      </c>
      <c r="CC76" s="75" t="s">
        <v>2772</v>
      </c>
      <c r="CD76" s="75" t="s">
        <v>2808</v>
      </c>
      <c r="CE76" s="75" t="s">
        <v>3224</v>
      </c>
      <c r="CF76" s="75">
        <f>HYPERLINK(".\links\cluster-b\Ixsc-cement-202225-50SimCLU4.txt", 4)</f>
        <v>4</v>
      </c>
      <c r="CG76" s="75">
        <f>HYPERLINK(".\links\cluster-b\Ixsc-cement-202225-50SimCLTL4.txt", 6)</f>
        <v>6</v>
      </c>
      <c r="CH76" s="75">
        <f>HYPERLINK(".\links\cluster-b\Ixsc-cement-202230-50SimCLU3.txt", 3)</f>
        <v>3</v>
      </c>
      <c r="CI76" s="75">
        <f>HYPERLINK(".\links\cluster-b\Ixsc-cement-202230-50SimCLTL3.txt", 6)</f>
        <v>6</v>
      </c>
      <c r="CJ76" s="75">
        <f>HYPERLINK(".\links\cluster-b\Ixsc-cement-202235-50SimCLU3.txt", 3)</f>
        <v>3</v>
      </c>
      <c r="CK76" s="75">
        <f>HYPERLINK(".\links\cluster-b\Ixsc-cement-202235-50SimCLTL3.txt", 6)</f>
        <v>6</v>
      </c>
      <c r="CL76" s="75">
        <f>HYPERLINK(".\links\cluster-b\Ixsc-cement-202240-50SimCLU2.txt", 2)</f>
        <v>2</v>
      </c>
      <c r="CM76" s="75">
        <f>HYPERLINK(".\links\cluster-b\Ixsc-cement-202240-50SimCLTL2.txt", 6)</f>
        <v>6</v>
      </c>
      <c r="CN76" s="75">
        <f>HYPERLINK(".\links\cluster-b\Ixsc-cement-202245-50SimCLU2.txt", 2)</f>
        <v>2</v>
      </c>
      <c r="CO76" s="75">
        <f>HYPERLINK(".\links\cluster-b\Ixsc-cement-202245-50SimCLTL2.txt", 6)</f>
        <v>6</v>
      </c>
      <c r="CP76" s="75">
        <f>HYPERLINK(".\links\cluster-b\Ixsc-cement-202250-50SimCLU2.txt", 2)</f>
        <v>2</v>
      </c>
      <c r="CQ76" s="75">
        <f>HYPERLINK(".\links\cluster-b\Ixsc-cement-202250-50SimCLTL2.txt", 6)</f>
        <v>6</v>
      </c>
      <c r="CR76" s="75">
        <f>HYPERLINK(".\links\cluster-b\Ixsc-cement-202255-50SimCLU2.txt", 2)</f>
        <v>2</v>
      </c>
      <c r="CS76" s="75">
        <f>HYPERLINK(".\links\cluster-b\Ixsc-cement-202255-50SimCLTL2.txt", 6)</f>
        <v>6</v>
      </c>
      <c r="CT76" s="75">
        <f>HYPERLINK(".\links\cluster-b\Ixsc-cement-202260-50SimCLU1.txt", 1)</f>
        <v>1</v>
      </c>
      <c r="CU76" s="75">
        <f>HYPERLINK(".\links\cluster-b\Ixsc-cement-202260-50SimCLTL1.txt", 6)</f>
        <v>6</v>
      </c>
      <c r="CV76" s="75">
        <f>HYPERLINK(".\links\cluster-b\Ixsc-cement-202265-50SimCLU1.txt", 1)</f>
        <v>1</v>
      </c>
      <c r="CW76" s="75">
        <f>HYPERLINK(".\links\cluster-b\Ixsc-cement-202265-50SimCLTL1.txt", 6)</f>
        <v>6</v>
      </c>
      <c r="CX76" s="75">
        <f>HYPERLINK(".\links\cluster-b\Ixsc-cement-202270-50SimCLU1.txt", 1)</f>
        <v>1</v>
      </c>
      <c r="CY76" s="75">
        <f>HYPERLINK(".\links\cluster-b\Ixsc-cement-202270-50SimCLTL1.txt", 6)</f>
        <v>6</v>
      </c>
      <c r="CZ76" s="75">
        <f>HYPERLINK(".\links\cluster-b\Ixsc-cement-202275-50SimCLU2.txt", 2)</f>
        <v>2</v>
      </c>
      <c r="DA76" s="75">
        <f>HYPERLINK(".\links\cluster-b\Ixsc-cement-202275-50SimCLTL2.txt", 5)</f>
        <v>5</v>
      </c>
      <c r="DB76" s="75">
        <f>HYPERLINK(".\links\cluster-b\Ixsc-cement-202280-50SimCLU6.txt", 6)</f>
        <v>6</v>
      </c>
      <c r="DC76" s="75">
        <f>HYPERLINK(".\links\cluster-b\Ixsc-cement-202280-50SimCLTL6.txt", 3)</f>
        <v>3</v>
      </c>
      <c r="DD76" s="75">
        <v>105</v>
      </c>
      <c r="DE76" s="75">
        <v>1</v>
      </c>
      <c r="DF76" s="75">
        <v>107</v>
      </c>
      <c r="DG76" s="75">
        <v>1</v>
      </c>
      <c r="DH76" s="75">
        <v>108</v>
      </c>
      <c r="DI76" s="75">
        <v>1</v>
      </c>
      <c r="DJ76" s="75" t="s">
        <v>163</v>
      </c>
      <c r="DK76" s="75" t="str">
        <f>HYPERLINK(".\links\AAM-CEMENT-2018\EEC14892.1-AAM-CEMENT-2018.txt","Extracted CDS")</f>
        <v>Extracted CDS</v>
      </c>
      <c r="DL76" s="75" t="str">
        <f>HYPERLINK("http://www.ncbi.nlm.nih.gov/sutils/blink.cgi?pid=Aam-3221","0.0")</f>
        <v>0.0</v>
      </c>
      <c r="DM76" s="75" t="str">
        <f>HYPERLINK("http://www.ncbi.nlm.nih.gov/protein/Aam-3221","Aam-3221")</f>
        <v>Aam-3221</v>
      </c>
      <c r="DN76" s="75">
        <v>1105</v>
      </c>
      <c r="DO76" s="75">
        <v>637</v>
      </c>
      <c r="DP76" s="75">
        <v>636</v>
      </c>
      <c r="DQ76" s="75">
        <v>86</v>
      </c>
      <c r="DR76" s="75">
        <v>90</v>
      </c>
      <c r="DS76" s="75">
        <v>100</v>
      </c>
      <c r="DT76" s="75">
        <v>83</v>
      </c>
      <c r="DU76" s="75">
        <v>54</v>
      </c>
      <c r="DV76" s="75">
        <v>1</v>
      </c>
      <c r="DW76" s="75">
        <v>3</v>
      </c>
      <c r="DX76" s="75">
        <v>1</v>
      </c>
      <c r="DY76" s="75" t="s">
        <v>2775</v>
      </c>
      <c r="DZ76" s="75" t="str">
        <f>HYPERLINK(".\links\CDD\EEC14892.1-CDD.txt","PTZ00009 heat shock 70 kDa protein")</f>
        <v>PTZ00009 heat shock 70 kDa protein</v>
      </c>
      <c r="EA76" s="75">
        <v>0</v>
      </c>
      <c r="EB76" s="75">
        <v>100.2</v>
      </c>
      <c r="EC76" s="75" t="s">
        <v>3218</v>
      </c>
      <c r="ED76" s="75" t="s">
        <v>3235</v>
      </c>
      <c r="EE76" s="75" t="str">
        <f>HYPERLINK(".\links\KOG\EEC14892.1-KOG.txt","CDD:223520 COG0443, DnaK, Molecular chaperone")</f>
        <v>CDD:223520 COG0443, DnaK, Molecular chaperone</v>
      </c>
      <c r="EF76" s="75">
        <v>0</v>
      </c>
      <c r="EG76" s="75">
        <v>106</v>
      </c>
      <c r="EH76" s="75" t="s">
        <v>3220</v>
      </c>
      <c r="EI76" s="75" t="s">
        <v>2779</v>
      </c>
      <c r="EJ76" s="75" t="str">
        <f>HYPERLINK(".\links\PFAM\EEC14892.1-PFAM.txt","HSP70 Hsp70 protein")</f>
        <v>HSP70 Hsp70 protein</v>
      </c>
      <c r="EK76" s="75">
        <v>0</v>
      </c>
      <c r="EL76" s="75">
        <v>102.2</v>
      </c>
      <c r="EM76" s="75" t="s">
        <v>3221</v>
      </c>
      <c r="EN76" s="75" t="s">
        <v>2772</v>
      </c>
      <c r="EO76" s="75" t="str">
        <f>HYPERLINK(".\links\SMART\EEC14892.1-SMART.txt","CDD:214592 smart00268, ACTIN, Actin")</f>
        <v>CDD:214592 smart00268, ACTIN, Actin</v>
      </c>
      <c r="EP76" s="75">
        <v>5.5E-2</v>
      </c>
      <c r="EQ76" s="75">
        <v>13.9</v>
      </c>
      <c r="ER76" s="75" t="s">
        <v>2960</v>
      </c>
      <c r="ES76" s="75" t="s">
        <v>2772</v>
      </c>
      <c r="ET76" s="75" t="str">
        <f>HYPERLINK(".\links\TSF\EEC14892.1-TSF.txt","30-200 30-200, HSP-70||H|")</f>
        <v>30-200 30-200, HSP-70||H|</v>
      </c>
      <c r="EU76" s="75">
        <v>0</v>
      </c>
      <c r="EV76" s="75">
        <v>93.9</v>
      </c>
      <c r="EW76" s="75" t="s">
        <v>3222</v>
      </c>
      <c r="EX76" s="75" t="s">
        <v>3223</v>
      </c>
      <c r="EY76" s="75" t="s">
        <v>2772</v>
      </c>
      <c r="EZ76" s="75" t="s">
        <v>2808</v>
      </c>
      <c r="FA76" s="75" t="s">
        <v>3224</v>
      </c>
    </row>
    <row r="77" spans="1:157" x14ac:dyDescent="0.2">
      <c r="A77" s="75" t="str">
        <f>HYPERLINK(".\links\PEP\EEC05056.1-PEP.txt","EEC05056.1")</f>
        <v>EEC05056.1</v>
      </c>
      <c r="B77" s="75" t="s">
        <v>2768</v>
      </c>
      <c r="C77" s="75">
        <v>658</v>
      </c>
      <c r="D77" s="75" t="s">
        <v>3215</v>
      </c>
      <c r="E77" s="76" t="s">
        <v>93</v>
      </c>
      <c r="F77" s="75" t="s">
        <v>2771</v>
      </c>
      <c r="G77" s="75" t="str">
        <f>HYPERLINK(".\links\Sigp\EEC05056.1-SigP.txt","SIG")</f>
        <v>SIG</v>
      </c>
      <c r="H77" s="75" t="s">
        <v>3208</v>
      </c>
      <c r="I77" s="75">
        <v>72.608999999999995</v>
      </c>
      <c r="J77" s="75">
        <v>5.32</v>
      </c>
      <c r="K77" s="75">
        <v>70.704999999999998</v>
      </c>
      <c r="L77" s="75">
        <v>5.24</v>
      </c>
      <c r="M77" s="75" t="str">
        <f>HYPERLINK(".\links\netoglyc\EEC05056.1-netoglyc.txt","4")</f>
        <v>4</v>
      </c>
      <c r="N77" s="75" t="s">
        <v>3245</v>
      </c>
      <c r="O77" s="75">
        <v>658</v>
      </c>
      <c r="P77" s="75">
        <v>0</v>
      </c>
      <c r="Q77" s="75" t="s">
        <v>2772</v>
      </c>
      <c r="R77" s="75" t="s">
        <v>2772</v>
      </c>
      <c r="S77" s="75" t="s">
        <v>2772</v>
      </c>
      <c r="T77" s="75" t="s">
        <v>2772</v>
      </c>
      <c r="U77" s="75" t="s">
        <v>2772</v>
      </c>
      <c r="V77" s="75" t="s">
        <v>2772</v>
      </c>
      <c r="W77" s="75">
        <v>11.1</v>
      </c>
      <c r="X77" s="75">
        <v>7.6</v>
      </c>
      <c r="Y77" s="75">
        <v>3.9</v>
      </c>
      <c r="Z77" s="75" t="s">
        <v>2774</v>
      </c>
      <c r="AA77" s="77">
        <v>11.702127659574501</v>
      </c>
      <c r="AB77" s="75">
        <v>0.28999999999999998</v>
      </c>
      <c r="AD77" s="75">
        <v>2</v>
      </c>
      <c r="AE77" s="75" t="s">
        <v>2772</v>
      </c>
      <c r="AF77" s="75" t="s">
        <v>2772</v>
      </c>
      <c r="AG77" s="75" t="s">
        <v>2772</v>
      </c>
      <c r="AH77" s="75" t="s">
        <v>2772</v>
      </c>
      <c r="AI77" s="75">
        <v>1</v>
      </c>
      <c r="AJ77" s="75">
        <v>1</v>
      </c>
      <c r="AK77" s="75" t="s">
        <v>2772</v>
      </c>
      <c r="AL77" s="75" t="s">
        <v>2772</v>
      </c>
      <c r="AM77" s="75" t="s">
        <v>2772</v>
      </c>
      <c r="AN77" s="75" t="s">
        <v>2772</v>
      </c>
      <c r="AO77" s="78" t="str">
        <f>HYPERLINK(".\links\AAM-CEMENT-2018\EEC05056.1-AAM-CEMENT-2018.txt","Extracted CDS")</f>
        <v>Extracted CDS</v>
      </c>
      <c r="AP77" s="75" t="str">
        <f>HYPERLINK("http://www.ncbi.nlm.nih.gov/sutils/blink.cgi?pid=Aam-20","0.0")</f>
        <v>0.0</v>
      </c>
      <c r="AQ77" s="75" t="str">
        <f>HYPERLINK("http://www.ncbi.nlm.nih.gov/protein/Aam-20","Aam-20")</f>
        <v>Aam-20</v>
      </c>
      <c r="AR77" s="75">
        <v>1119</v>
      </c>
      <c r="AS77" s="75">
        <v>660</v>
      </c>
      <c r="AT77" s="75">
        <v>652</v>
      </c>
      <c r="AU77" s="75">
        <v>85</v>
      </c>
      <c r="AV77" s="75">
        <v>89</v>
      </c>
      <c r="AW77" s="75">
        <v>101</v>
      </c>
      <c r="AX77" s="75">
        <v>98</v>
      </c>
      <c r="AY77" s="75">
        <v>10</v>
      </c>
      <c r="AZ77" s="75">
        <v>1</v>
      </c>
      <c r="BA77" s="75">
        <v>1</v>
      </c>
      <c r="BB77" s="75">
        <v>1</v>
      </c>
      <c r="BC77" s="75" t="s">
        <v>2775</v>
      </c>
      <c r="BD77" s="78" t="str">
        <f>HYPERLINK(".\links\CDD\EEC05056.1-CDD.txt","HSP70 Hsp70 protein")</f>
        <v>HSP70 Hsp70 protein</v>
      </c>
      <c r="BE77" s="75">
        <v>0</v>
      </c>
      <c r="BF77" s="75">
        <v>102</v>
      </c>
      <c r="BG77" s="75" t="s">
        <v>3221</v>
      </c>
      <c r="BH77" s="75" t="s">
        <v>3246</v>
      </c>
      <c r="BI77" s="75" t="str">
        <f>HYPERLINK(".\links\KOG\EEC05056.1-KOG.txt","CDD:223520 COG0443, DnaK, Molecular chaperone")</f>
        <v>CDD:223520 COG0443, DnaK, Molecular chaperone</v>
      </c>
      <c r="BJ77" s="75">
        <v>0</v>
      </c>
      <c r="BK77" s="75">
        <v>105.4</v>
      </c>
      <c r="BL77" s="75" t="s">
        <v>3220</v>
      </c>
      <c r="BM77" s="75" t="s">
        <v>2779</v>
      </c>
      <c r="BN77" s="78" t="str">
        <f>HYPERLINK(".\links\PFAM\EEC05056.1-PFAM.txt","HSP70 Hsp70 protein")</f>
        <v>HSP70 Hsp70 protein</v>
      </c>
      <c r="BO77" s="75">
        <v>0</v>
      </c>
      <c r="BP77" s="75">
        <v>102</v>
      </c>
      <c r="BQ77" s="75" t="s">
        <v>3221</v>
      </c>
      <c r="BR77" s="75" t="s">
        <v>2772</v>
      </c>
      <c r="BS77" s="78" t="str">
        <f>HYPERLINK(".\links\SMART\EEC05056.1-SMART.txt","CDD:214922 smart00935, OmpH, Outer membrane protein")</f>
        <v>CDD:214922 smart00935, OmpH, Outer membrane protein</v>
      </c>
      <c r="BT77" s="75">
        <v>1.2E-2</v>
      </c>
      <c r="BU77" s="75">
        <v>72.900000000000006</v>
      </c>
      <c r="BV77" s="75" t="s">
        <v>3247</v>
      </c>
      <c r="BW77" s="75" t="s">
        <v>2772</v>
      </c>
      <c r="BX77" s="78" t="str">
        <f>HYPERLINK(".\links\TSF\EEC05056.1-TSF.txt","30-200 30-200, HSP-70||H|")</f>
        <v>30-200 30-200, HSP-70||H|</v>
      </c>
      <c r="BY77" s="75">
        <v>0</v>
      </c>
      <c r="BZ77" s="75">
        <v>100.2</v>
      </c>
      <c r="CA77" s="75" t="s">
        <v>3222</v>
      </c>
      <c r="CB77" s="75" t="s">
        <v>3223</v>
      </c>
      <c r="CC77" s="75" t="s">
        <v>2772</v>
      </c>
      <c r="CD77" s="75" t="s">
        <v>2808</v>
      </c>
      <c r="CE77" s="75" t="s">
        <v>3224</v>
      </c>
      <c r="CF77" s="75">
        <f>HYPERLINK(".\links\cluster-b\Ixsc-cement-202225-50SimCLU4.txt", 4)</f>
        <v>4</v>
      </c>
      <c r="CG77" s="75">
        <f>HYPERLINK(".\links\cluster-b\Ixsc-cement-202225-50SimCLTL4.txt", 6)</f>
        <v>6</v>
      </c>
      <c r="CH77" s="75">
        <f>HYPERLINK(".\links\cluster-b\Ixsc-cement-202230-50SimCLU3.txt", 3)</f>
        <v>3</v>
      </c>
      <c r="CI77" s="75">
        <f>HYPERLINK(".\links\cluster-b\Ixsc-cement-202230-50SimCLTL3.txt", 6)</f>
        <v>6</v>
      </c>
      <c r="CJ77" s="75">
        <f>HYPERLINK(".\links\cluster-b\Ixsc-cement-202235-50SimCLU3.txt", 3)</f>
        <v>3</v>
      </c>
      <c r="CK77" s="75">
        <f>HYPERLINK(".\links\cluster-b\Ixsc-cement-202235-50SimCLTL3.txt", 6)</f>
        <v>6</v>
      </c>
      <c r="CL77" s="75">
        <f>HYPERLINK(".\links\cluster-b\Ixsc-cement-202240-50SimCLU2.txt", 2)</f>
        <v>2</v>
      </c>
      <c r="CM77" s="75">
        <f>HYPERLINK(".\links\cluster-b\Ixsc-cement-202240-50SimCLTL2.txt", 6)</f>
        <v>6</v>
      </c>
      <c r="CN77" s="75">
        <f>HYPERLINK(".\links\cluster-b\Ixsc-cement-202245-50SimCLU2.txt", 2)</f>
        <v>2</v>
      </c>
      <c r="CO77" s="75">
        <f>HYPERLINK(".\links\cluster-b\Ixsc-cement-202245-50SimCLTL2.txt", 6)</f>
        <v>6</v>
      </c>
      <c r="CP77" s="75">
        <f>HYPERLINK(".\links\cluster-b\Ixsc-cement-202250-50SimCLU2.txt", 2)</f>
        <v>2</v>
      </c>
      <c r="CQ77" s="75">
        <f>HYPERLINK(".\links\cluster-b\Ixsc-cement-202250-50SimCLTL2.txt", 6)</f>
        <v>6</v>
      </c>
      <c r="CR77" s="75">
        <f>HYPERLINK(".\links\cluster-b\Ixsc-cement-202255-50SimCLU2.txt", 2)</f>
        <v>2</v>
      </c>
      <c r="CS77" s="75">
        <f>HYPERLINK(".\links\cluster-b\Ixsc-cement-202255-50SimCLTL2.txt", 6)</f>
        <v>6</v>
      </c>
      <c r="CT77" s="75">
        <f>HYPERLINK(".\links\cluster-b\Ixsc-cement-202260-50SimCLU1.txt", 1)</f>
        <v>1</v>
      </c>
      <c r="CU77" s="75">
        <f>HYPERLINK(".\links\cluster-b\Ixsc-cement-202260-50SimCLTL1.txt", 6)</f>
        <v>6</v>
      </c>
      <c r="CV77" s="75">
        <f>HYPERLINK(".\links\cluster-b\Ixsc-cement-202265-50SimCLU1.txt", 1)</f>
        <v>1</v>
      </c>
      <c r="CW77" s="75">
        <f>HYPERLINK(".\links\cluster-b\Ixsc-cement-202265-50SimCLTL1.txt", 6)</f>
        <v>6</v>
      </c>
      <c r="CX77" s="75">
        <f>HYPERLINK(".\links\cluster-b\Ixsc-cement-202270-50SimCLU1.txt", 1)</f>
        <v>1</v>
      </c>
      <c r="CY77" s="75">
        <f>HYPERLINK(".\links\cluster-b\Ixsc-cement-202270-50SimCLTL1.txt", 6)</f>
        <v>6</v>
      </c>
      <c r="CZ77" s="75">
        <f>HYPERLINK(".\links\cluster-b\Ixsc-cement-202275-50SimCLU2.txt", 2)</f>
        <v>2</v>
      </c>
      <c r="DA77" s="75">
        <f>HYPERLINK(".\links\cluster-b\Ixsc-cement-202275-50SimCLTL2.txt", 5)</f>
        <v>5</v>
      </c>
      <c r="DB77" s="75">
        <v>52</v>
      </c>
      <c r="DC77" s="75">
        <v>1</v>
      </c>
      <c r="DD77" s="75">
        <v>53</v>
      </c>
      <c r="DE77" s="75">
        <v>1</v>
      </c>
      <c r="DF77" s="75">
        <v>52</v>
      </c>
      <c r="DG77" s="75">
        <v>1</v>
      </c>
      <c r="DH77" s="75">
        <v>53</v>
      </c>
      <c r="DI77" s="75">
        <v>1</v>
      </c>
      <c r="DJ77" s="75" t="s">
        <v>222</v>
      </c>
      <c r="DK77" s="75" t="str">
        <f>HYPERLINK(".\links\AAM-CEMENT-2018\EEC05056.1-AAM-CEMENT-2018.txt","Extracted CDS")</f>
        <v>Extracted CDS</v>
      </c>
      <c r="DL77" s="75" t="str">
        <f>HYPERLINK("http://www.ncbi.nlm.nih.gov/sutils/blink.cgi?pid=Aam-20","0.0")</f>
        <v>0.0</v>
      </c>
      <c r="DM77" s="75" t="str">
        <f>HYPERLINK("http://www.ncbi.nlm.nih.gov/protein/Aam-20","Aam-20")</f>
        <v>Aam-20</v>
      </c>
      <c r="DN77" s="75">
        <v>1119</v>
      </c>
      <c r="DO77" s="75">
        <v>660</v>
      </c>
      <c r="DP77" s="75">
        <v>652</v>
      </c>
      <c r="DQ77" s="75">
        <v>85</v>
      </c>
      <c r="DR77" s="75">
        <v>89</v>
      </c>
      <c r="DS77" s="75">
        <v>101</v>
      </c>
      <c r="DT77" s="75">
        <v>98</v>
      </c>
      <c r="DU77" s="75">
        <v>10</v>
      </c>
      <c r="DV77" s="75">
        <v>1</v>
      </c>
      <c r="DW77" s="75">
        <v>1</v>
      </c>
      <c r="DX77" s="75">
        <v>1</v>
      </c>
      <c r="DY77" s="75" t="s">
        <v>2775</v>
      </c>
      <c r="DZ77" s="75" t="str">
        <f>HYPERLINK(".\links\CDD\EEC05056.1-CDD.txt","HSP70 Hsp70 protein")</f>
        <v>HSP70 Hsp70 protein</v>
      </c>
      <c r="EA77" s="75">
        <v>0</v>
      </c>
      <c r="EB77" s="75">
        <v>102</v>
      </c>
      <c r="EC77" s="75" t="s">
        <v>3221</v>
      </c>
      <c r="ED77" s="75" t="s">
        <v>3246</v>
      </c>
      <c r="EE77" s="75" t="str">
        <f>HYPERLINK(".\links\KOG\EEC05056.1-KOG.txt","CDD:223520 COG0443, DnaK, Molecular chaperone")</f>
        <v>CDD:223520 COG0443, DnaK, Molecular chaperone</v>
      </c>
      <c r="EF77" s="75">
        <v>0</v>
      </c>
      <c r="EG77" s="75">
        <v>105.4</v>
      </c>
      <c r="EH77" s="75" t="s">
        <v>3220</v>
      </c>
      <c r="EI77" s="75" t="s">
        <v>2779</v>
      </c>
      <c r="EJ77" s="75" t="str">
        <f>HYPERLINK(".\links\PFAM\EEC05056.1-PFAM.txt","HSP70 Hsp70 protein")</f>
        <v>HSP70 Hsp70 protein</v>
      </c>
      <c r="EK77" s="75">
        <v>0</v>
      </c>
      <c r="EL77" s="75">
        <v>102</v>
      </c>
      <c r="EM77" s="75" t="s">
        <v>3221</v>
      </c>
      <c r="EN77" s="75" t="s">
        <v>2772</v>
      </c>
      <c r="EO77" s="75" t="str">
        <f>HYPERLINK(".\links\SMART\EEC05056.1-SMART.txt","CDD:214922 smart00935, OmpH, Outer membrane protein")</f>
        <v>CDD:214922 smart00935, OmpH, Outer membrane protein</v>
      </c>
      <c r="EP77" s="75">
        <v>1.2E-2</v>
      </c>
      <c r="EQ77" s="75">
        <v>72.900000000000006</v>
      </c>
      <c r="ER77" s="75" t="s">
        <v>3247</v>
      </c>
      <c r="ES77" s="75" t="s">
        <v>2772</v>
      </c>
      <c r="ET77" s="75" t="str">
        <f>HYPERLINK(".\links\TSF\EEC05056.1-TSF.txt","30-200 30-200, HSP-70||H|")</f>
        <v>30-200 30-200, HSP-70||H|</v>
      </c>
      <c r="EU77" s="75">
        <v>0</v>
      </c>
      <c r="EV77" s="75">
        <v>100.2</v>
      </c>
      <c r="EW77" s="75" t="s">
        <v>3222</v>
      </c>
      <c r="EX77" s="75" t="s">
        <v>3223</v>
      </c>
      <c r="EY77" s="75" t="s">
        <v>2772</v>
      </c>
      <c r="EZ77" s="75" t="s">
        <v>2808</v>
      </c>
      <c r="FA77" s="75" t="s">
        <v>3224</v>
      </c>
    </row>
    <row r="78" spans="1:157" x14ac:dyDescent="0.2">
      <c r="A78" s="75" t="str">
        <f>HYPERLINK(".\links\PEP\EEC20460.1-PEP.txt","EEC20460.1")</f>
        <v>EEC20460.1</v>
      </c>
      <c r="B78" s="75" t="s">
        <v>2768</v>
      </c>
      <c r="C78" s="75">
        <v>151</v>
      </c>
      <c r="D78" s="75" t="s">
        <v>3215</v>
      </c>
      <c r="E78" s="76" t="s">
        <v>93</v>
      </c>
      <c r="F78" s="75" t="s">
        <v>2771</v>
      </c>
      <c r="G78" s="75" t="str">
        <f>HYPERLINK(".\links\Sigp\EEC20460.1-SigP.txt","CYT")</f>
        <v>CYT</v>
      </c>
      <c r="H78" s="75" t="s">
        <v>2772</v>
      </c>
      <c r="I78" s="75">
        <v>16.847999999999999</v>
      </c>
      <c r="J78" s="75">
        <v>7.05</v>
      </c>
      <c r="K78" s="75" t="s">
        <v>2772</v>
      </c>
      <c r="L78" s="75" t="s">
        <v>2772</v>
      </c>
      <c r="M78" s="75" t="str">
        <f>HYPERLINK(".\links\netoglyc\EEC20460.1-netoglyc.txt","1")</f>
        <v>1</v>
      </c>
      <c r="N78" s="75" t="s">
        <v>3248</v>
      </c>
      <c r="O78" s="75">
        <v>151</v>
      </c>
      <c r="P78" s="75">
        <v>0</v>
      </c>
      <c r="Q78" s="75" t="s">
        <v>2772</v>
      </c>
      <c r="R78" s="75" t="s">
        <v>2772</v>
      </c>
      <c r="S78" s="75" t="s">
        <v>2772</v>
      </c>
      <c r="T78" s="75" t="s">
        <v>2772</v>
      </c>
      <c r="U78" s="75" t="s">
        <v>2772</v>
      </c>
      <c r="V78" s="75" t="s">
        <v>2772</v>
      </c>
      <c r="W78" s="75">
        <v>13.5</v>
      </c>
      <c r="X78" s="75">
        <v>6.5</v>
      </c>
      <c r="Y78" s="75">
        <v>4.5</v>
      </c>
      <c r="Z78" s="75" t="s">
        <v>2774</v>
      </c>
      <c r="AA78" s="77">
        <v>11.2582781456954</v>
      </c>
      <c r="AB78" s="75">
        <v>0.23</v>
      </c>
      <c r="AD78" s="75">
        <v>4</v>
      </c>
      <c r="AE78" s="75" t="s">
        <v>2772</v>
      </c>
      <c r="AF78" s="75" t="s">
        <v>2772</v>
      </c>
      <c r="AG78" s="75" t="s">
        <v>2772</v>
      </c>
      <c r="AH78" s="75" t="s">
        <v>2772</v>
      </c>
      <c r="AI78" s="75" t="s">
        <v>2772</v>
      </c>
      <c r="AJ78" s="75" t="s">
        <v>2772</v>
      </c>
      <c r="AK78" s="75" t="s">
        <v>2772</v>
      </c>
      <c r="AL78" s="75" t="s">
        <v>2772</v>
      </c>
      <c r="AM78" s="75" t="s">
        <v>2772</v>
      </c>
      <c r="AN78" s="75" t="s">
        <v>2772</v>
      </c>
      <c r="AO78" s="78" t="str">
        <f>HYPERLINK(".\links\AAM-CEMENT-2018\EEC20460.1-AAM-CEMENT-2018.txt","Extracted CDS")</f>
        <v>Extracted CDS</v>
      </c>
      <c r="AP78" s="75" t="str">
        <f>HYPERLINK("http://www.ncbi.nlm.nih.gov/sutils/blink.cgi?pid=Aam-211646","2E-67")</f>
        <v>2E-67</v>
      </c>
      <c r="AQ78" s="75" t="str">
        <f>HYPERLINK("http://www.ncbi.nlm.nih.gov/protein/Aam-211646","Aam-211646")</f>
        <v>Aam-211646</v>
      </c>
      <c r="AR78" s="75">
        <v>195</v>
      </c>
      <c r="AS78" s="75">
        <v>109</v>
      </c>
      <c r="AT78" s="75">
        <v>164</v>
      </c>
      <c r="AU78" s="75">
        <v>84</v>
      </c>
      <c r="AV78" s="75">
        <v>88</v>
      </c>
      <c r="AW78" s="75">
        <v>66</v>
      </c>
      <c r="AX78" s="75">
        <v>17</v>
      </c>
      <c r="AY78" s="75">
        <v>0</v>
      </c>
      <c r="AZ78" s="75">
        <v>1</v>
      </c>
      <c r="BA78" s="75">
        <v>1</v>
      </c>
      <c r="BB78" s="75">
        <v>1</v>
      </c>
      <c r="BC78" s="75" t="s">
        <v>2775</v>
      </c>
      <c r="BD78" s="78" t="str">
        <f>HYPERLINK(".\links\CDD\EEC20460.1-CDD.txt","HSPA1-2_6-8-like_NBD Nucleotide-binding domain of HSPA1-A -B -L HSPA-2 -6 -7 -8 and similar proteins")</f>
        <v>HSPA1-2_6-8-like_NBD Nucleotide-binding domain of HSPA1-A -B -L HSPA-2 -6 -7 -8 and similar proteins</v>
      </c>
      <c r="BE78" s="79">
        <v>9.9999999999999997E-73</v>
      </c>
      <c r="BF78" s="75">
        <v>23.9</v>
      </c>
      <c r="BG78" s="75" t="s">
        <v>3239</v>
      </c>
      <c r="BH78" s="75" t="s">
        <v>3249</v>
      </c>
      <c r="BI78" s="75" t="str">
        <f>HYPERLINK(".\links\KOG\EEC20460.1-KOG.txt","CDD:223520 COG0443, DnaK, Molecular chaperone")</f>
        <v>CDD:223520 COG0443, DnaK, Molecular chaperone</v>
      </c>
      <c r="BJ78" s="79">
        <v>7.9999999999999995E-29</v>
      </c>
      <c r="BK78" s="75">
        <v>14.3</v>
      </c>
      <c r="BL78" s="75" t="s">
        <v>3220</v>
      </c>
      <c r="BM78" s="75" t="s">
        <v>2779</v>
      </c>
      <c r="BN78" s="78" t="str">
        <f>HYPERLINK(".\links\PFAM\EEC20460.1-PFAM.txt","HSP70 Hsp70 protein")</f>
        <v>HSP70 Hsp70 protein</v>
      </c>
      <c r="BO78" s="79">
        <v>2E-52</v>
      </c>
      <c r="BP78" s="75">
        <v>15.4</v>
      </c>
      <c r="BQ78" s="75" t="s">
        <v>3221</v>
      </c>
      <c r="BR78" s="75" t="s">
        <v>2772</v>
      </c>
      <c r="BS78" s="78" t="str">
        <f>HYPERLINK(".\links\SMART\EEC20460.1-SMART.txt","CDD:128547 smart00251, SAM_PNT, SAM / Pointed domain")</f>
        <v>CDD:128547 smart00251, SAM_PNT, SAM / Pointed domain</v>
      </c>
      <c r="BT78" s="75">
        <v>0.37</v>
      </c>
      <c r="BU78" s="75">
        <v>32.9</v>
      </c>
      <c r="BV78" s="75" t="s">
        <v>3250</v>
      </c>
      <c r="BW78" s="75" t="s">
        <v>2772</v>
      </c>
      <c r="BX78" s="78" t="str">
        <f>HYPERLINK(".\links\TSF\EEC20460.1-TSF.txt","30-200 30-200, HSP-70||H|")</f>
        <v>30-200 30-200, HSP-70||H|</v>
      </c>
      <c r="BY78" s="79">
        <v>3.0000000000000003E-39</v>
      </c>
      <c r="BZ78" s="75">
        <v>17.3</v>
      </c>
      <c r="CA78" s="75" t="s">
        <v>3222</v>
      </c>
      <c r="CB78" s="75" t="s">
        <v>3223</v>
      </c>
      <c r="CC78" s="75" t="s">
        <v>2772</v>
      </c>
      <c r="CD78" s="75" t="s">
        <v>2808</v>
      </c>
      <c r="CE78" s="75" t="s">
        <v>3224</v>
      </c>
      <c r="CF78" s="75">
        <f>HYPERLINK(".\links\cluster-b\Ixsc-cement-202225-50SimCLU15.txt", 15)</f>
        <v>15</v>
      </c>
      <c r="CG78" s="75">
        <f>HYPERLINK(".\links\cluster-b\Ixsc-cement-202225-50SimCLTL15.txt", 2)</f>
        <v>2</v>
      </c>
      <c r="CH78" s="75">
        <f>HYPERLINK(".\links\cluster-b\Ixsc-cement-202230-50SimCLU14.txt", 14)</f>
        <v>14</v>
      </c>
      <c r="CI78" s="75">
        <f>HYPERLINK(".\links\cluster-b\Ixsc-cement-202230-50SimCLTL14.txt", 2)</f>
        <v>2</v>
      </c>
      <c r="CJ78" s="75">
        <f>HYPERLINK(".\links\cluster-b\Ixsc-cement-202235-50SimCLU14.txt", 14)</f>
        <v>14</v>
      </c>
      <c r="CK78" s="75">
        <f>HYPERLINK(".\links\cluster-b\Ixsc-cement-202235-50SimCLTL14.txt", 2)</f>
        <v>2</v>
      </c>
      <c r="CL78" s="75">
        <f>HYPERLINK(".\links\cluster-b\Ixsc-cement-202240-50SimCLU15.txt", 15)</f>
        <v>15</v>
      </c>
      <c r="CM78" s="75">
        <f>HYPERLINK(".\links\cluster-b\Ixsc-cement-202240-50SimCLTL15.txt", 2)</f>
        <v>2</v>
      </c>
      <c r="CN78" s="75">
        <v>92</v>
      </c>
      <c r="CO78" s="75">
        <v>1</v>
      </c>
      <c r="CP78" s="75">
        <v>94</v>
      </c>
      <c r="CQ78" s="75">
        <v>1</v>
      </c>
      <c r="CR78" s="75">
        <v>95</v>
      </c>
      <c r="CS78" s="75">
        <v>1</v>
      </c>
      <c r="CT78" s="75">
        <v>99</v>
      </c>
      <c r="CU78" s="75">
        <v>1</v>
      </c>
      <c r="CV78" s="75">
        <v>102</v>
      </c>
      <c r="CW78" s="75">
        <v>1</v>
      </c>
      <c r="CX78" s="75">
        <v>106</v>
      </c>
      <c r="CY78" s="75">
        <v>1</v>
      </c>
      <c r="CZ78" s="75">
        <v>109</v>
      </c>
      <c r="DA78" s="75">
        <v>1</v>
      </c>
      <c r="DB78" s="75">
        <v>115</v>
      </c>
      <c r="DC78" s="75">
        <v>1</v>
      </c>
      <c r="DD78" s="75">
        <v>120</v>
      </c>
      <c r="DE78" s="75">
        <v>1</v>
      </c>
      <c r="DF78" s="75">
        <v>122</v>
      </c>
      <c r="DG78" s="75">
        <v>1</v>
      </c>
      <c r="DH78" s="75">
        <v>123</v>
      </c>
      <c r="DI78" s="75">
        <v>1</v>
      </c>
      <c r="DJ78" s="75" t="s">
        <v>165</v>
      </c>
      <c r="DK78" s="75" t="str">
        <f>HYPERLINK(".\links\AAM-CEMENT-2018\EEC20460.1-AAM-CEMENT-2018.txt","Extracted CDS")</f>
        <v>Extracted CDS</v>
      </c>
      <c r="DL78" s="75" t="str">
        <f>HYPERLINK("http://www.ncbi.nlm.nih.gov/sutils/blink.cgi?pid=Aam-211646","2E-67")</f>
        <v>2E-67</v>
      </c>
      <c r="DM78" s="75" t="str">
        <f>HYPERLINK("http://www.ncbi.nlm.nih.gov/protein/Aam-211646","Aam-211646")</f>
        <v>Aam-211646</v>
      </c>
      <c r="DN78" s="75">
        <v>195</v>
      </c>
      <c r="DO78" s="75">
        <v>109</v>
      </c>
      <c r="DP78" s="75">
        <v>164</v>
      </c>
      <c r="DQ78" s="75">
        <v>84</v>
      </c>
      <c r="DR78" s="75">
        <v>88</v>
      </c>
      <c r="DS78" s="75">
        <v>66</v>
      </c>
      <c r="DT78" s="75">
        <v>17</v>
      </c>
      <c r="DU78" s="75">
        <v>0</v>
      </c>
      <c r="DV78" s="75">
        <v>1</v>
      </c>
      <c r="DW78" s="75">
        <v>1</v>
      </c>
      <c r="DX78" s="75">
        <v>1</v>
      </c>
      <c r="DY78" s="75" t="s">
        <v>2775</v>
      </c>
      <c r="DZ78" s="75" t="str">
        <f>HYPERLINK(".\links\CDD\EEC20460.1-CDD.txt","HSPA1-2_6-8-like_NBD Nucleotide-binding domain of HSPA1-A -B -L HSPA-2 -6 -7 -8 and similar proteins")</f>
        <v>HSPA1-2_6-8-like_NBD Nucleotide-binding domain of HSPA1-A -B -L HSPA-2 -6 -7 -8 and similar proteins</v>
      </c>
      <c r="EA78" s="79">
        <v>9.9999999999999997E-73</v>
      </c>
      <c r="EB78" s="75">
        <v>23.9</v>
      </c>
      <c r="EC78" s="75" t="s">
        <v>3239</v>
      </c>
      <c r="ED78" s="75" t="s">
        <v>3249</v>
      </c>
      <c r="EE78" s="75" t="str">
        <f>HYPERLINK(".\links\KOG\EEC20460.1-KOG.txt","CDD:223520 COG0443, DnaK, Molecular chaperone")</f>
        <v>CDD:223520 COG0443, DnaK, Molecular chaperone</v>
      </c>
      <c r="EF78" s="79">
        <v>7.9999999999999995E-29</v>
      </c>
      <c r="EG78" s="75">
        <v>14.3</v>
      </c>
      <c r="EH78" s="75" t="s">
        <v>3220</v>
      </c>
      <c r="EI78" s="75" t="s">
        <v>2779</v>
      </c>
      <c r="EJ78" s="75" t="str">
        <f>HYPERLINK(".\links\PFAM\EEC20460.1-PFAM.txt","HSP70 Hsp70 protein")</f>
        <v>HSP70 Hsp70 protein</v>
      </c>
      <c r="EK78" s="79">
        <v>2E-52</v>
      </c>
      <c r="EL78" s="75">
        <v>15.4</v>
      </c>
      <c r="EM78" s="75" t="s">
        <v>3221</v>
      </c>
      <c r="EN78" s="75" t="s">
        <v>2772</v>
      </c>
      <c r="EO78" s="75" t="str">
        <f>HYPERLINK(".\links\SMART\EEC20460.1-SMART.txt","CDD:128547 smart00251, SAM_PNT, SAM / Pointed domain")</f>
        <v>CDD:128547 smart00251, SAM_PNT, SAM / Pointed domain</v>
      </c>
      <c r="EP78" s="75">
        <v>0.37</v>
      </c>
      <c r="EQ78" s="75">
        <v>32.9</v>
      </c>
      <c r="ER78" s="75" t="s">
        <v>3250</v>
      </c>
      <c r="ES78" s="75" t="s">
        <v>2772</v>
      </c>
      <c r="ET78" s="75" t="str">
        <f>HYPERLINK(".\links\TSF\EEC20460.1-TSF.txt","30-200 30-200, HSP-70||H|")</f>
        <v>30-200 30-200, HSP-70||H|</v>
      </c>
      <c r="EU78" s="79">
        <v>3.0000000000000003E-39</v>
      </c>
      <c r="EV78" s="75">
        <v>17.3</v>
      </c>
      <c r="EW78" s="75" t="s">
        <v>3222</v>
      </c>
      <c r="EX78" s="75" t="s">
        <v>3223</v>
      </c>
      <c r="EY78" s="75" t="s">
        <v>2772</v>
      </c>
      <c r="EZ78" s="75" t="s">
        <v>2808</v>
      </c>
      <c r="FA78" s="75" t="s">
        <v>3224</v>
      </c>
    </row>
    <row r="79" spans="1:157" x14ac:dyDescent="0.2">
      <c r="A79" s="75" t="str">
        <f>HYPERLINK(".\links\PEP\EEC19593.1-PEP.txt","EEC19593.1")</f>
        <v>EEC19593.1</v>
      </c>
      <c r="B79" s="75" t="s">
        <v>3251</v>
      </c>
      <c r="C79" s="75">
        <v>613</v>
      </c>
      <c r="D79" s="75" t="s">
        <v>3243</v>
      </c>
      <c r="E79" s="76" t="s">
        <v>93</v>
      </c>
      <c r="F79" s="75" t="s">
        <v>2771</v>
      </c>
      <c r="G79" s="75" t="str">
        <f>HYPERLINK(".\links\Sigp\EEC19593.1-SigP.txt","CYT")</f>
        <v>CYT</v>
      </c>
      <c r="H79" s="75" t="s">
        <v>2772</v>
      </c>
      <c r="I79" s="75">
        <v>68.179000000000002</v>
      </c>
      <c r="J79" s="75">
        <v>5.6</v>
      </c>
      <c r="K79" s="75" t="s">
        <v>2772</v>
      </c>
      <c r="L79" s="75" t="s">
        <v>2772</v>
      </c>
      <c r="M79" s="75" t="str">
        <f>HYPERLINK(".\links\netoglyc\EEC19593.1-netoglyc.txt","1")</f>
        <v>1</v>
      </c>
      <c r="N79" s="75" t="s">
        <v>2971</v>
      </c>
      <c r="O79" s="75">
        <v>613</v>
      </c>
      <c r="P79" s="75">
        <v>0</v>
      </c>
      <c r="Q79" s="75" t="s">
        <v>2772</v>
      </c>
      <c r="R79" s="75" t="s">
        <v>2772</v>
      </c>
      <c r="S79" s="75" t="s">
        <v>2772</v>
      </c>
      <c r="T79" s="75" t="s">
        <v>2772</v>
      </c>
      <c r="U79" s="75" t="s">
        <v>2772</v>
      </c>
      <c r="V79" s="75" t="s">
        <v>2772</v>
      </c>
      <c r="W79" s="75">
        <v>12.2</v>
      </c>
      <c r="X79" s="75">
        <v>6.7</v>
      </c>
      <c r="Y79" s="75">
        <v>3.4</v>
      </c>
      <c r="Z79" s="75" t="s">
        <v>2774</v>
      </c>
      <c r="AA79" s="77">
        <v>10.2773246329527</v>
      </c>
      <c r="AB79" s="75">
        <v>0.19</v>
      </c>
      <c r="AD79" s="75">
        <v>5</v>
      </c>
      <c r="AE79" s="75" t="s">
        <v>2772</v>
      </c>
      <c r="AF79" s="75" t="s">
        <v>2772</v>
      </c>
      <c r="AG79" s="75" t="s">
        <v>2772</v>
      </c>
      <c r="AH79" s="75" t="s">
        <v>2772</v>
      </c>
      <c r="AI79" s="75">
        <v>3</v>
      </c>
      <c r="AJ79" s="75">
        <v>3</v>
      </c>
      <c r="AK79" s="75" t="s">
        <v>2772</v>
      </c>
      <c r="AL79" s="75" t="s">
        <v>2772</v>
      </c>
      <c r="AM79" s="75" t="s">
        <v>2772</v>
      </c>
      <c r="AN79" s="75" t="s">
        <v>2772</v>
      </c>
      <c r="AO79" s="78" t="str">
        <f>HYPERLINK(".\links\AAM-CEMENT-2018\EEC19593.1-AAM-CEMENT-2018.txt","Extracted CDS")</f>
        <v>Extracted CDS</v>
      </c>
      <c r="AP79" s="75" t="str">
        <f>HYPERLINK("http://www.ncbi.nlm.nih.gov/sutils/blink.cgi?pid=Aam-3221","0.0")</f>
        <v>0.0</v>
      </c>
      <c r="AQ79" s="75" t="str">
        <f>HYPERLINK("http://www.ncbi.nlm.nih.gov/protein/Aam-3221","Aam-3221")</f>
        <v>Aam-3221</v>
      </c>
      <c r="AR79" s="75">
        <v>1049</v>
      </c>
      <c r="AS79" s="75">
        <v>617</v>
      </c>
      <c r="AT79" s="75">
        <v>636</v>
      </c>
      <c r="AU79" s="75">
        <v>81</v>
      </c>
      <c r="AV79" s="75">
        <v>91</v>
      </c>
      <c r="AW79" s="75">
        <v>97</v>
      </c>
      <c r="AX79" s="75">
        <v>114</v>
      </c>
      <c r="AY79" s="75">
        <v>5</v>
      </c>
      <c r="AZ79" s="75">
        <v>21</v>
      </c>
      <c r="BA79" s="75">
        <v>1</v>
      </c>
      <c r="BB79" s="75">
        <v>1</v>
      </c>
      <c r="BC79" s="75" t="s">
        <v>2775</v>
      </c>
      <c r="BD79" s="75" t="str">
        <f>HYPERLINK(".\links\CDD\EEC19593.1-CDD.txt","PTZ00009 heat shock 70 kDa protein")</f>
        <v>PTZ00009 heat shock 70 kDa protein</v>
      </c>
      <c r="BE79" s="75">
        <v>0</v>
      </c>
      <c r="BF79" s="75">
        <v>97.5</v>
      </c>
      <c r="BG79" s="75" t="s">
        <v>3218</v>
      </c>
      <c r="BH79" s="75" t="s">
        <v>3235</v>
      </c>
      <c r="BI79" s="75" t="str">
        <f>HYPERLINK(".\links\KOG\EEC19593.1-KOG.txt","CDD:223520 COG0443, DnaK, Molecular chaperone")</f>
        <v>CDD:223520 COG0443, DnaK, Molecular chaperone</v>
      </c>
      <c r="BJ79" s="75">
        <v>0</v>
      </c>
      <c r="BK79" s="75">
        <v>102.9</v>
      </c>
      <c r="BL79" s="75" t="s">
        <v>3220</v>
      </c>
      <c r="BM79" s="75" t="s">
        <v>2779</v>
      </c>
      <c r="BN79" s="75" t="str">
        <f>HYPERLINK(".\links\PFAM\EEC19593.1-PFAM.txt","HSP70 Hsp70 protein")</f>
        <v>HSP70 Hsp70 protein</v>
      </c>
      <c r="BO79" s="75">
        <v>0</v>
      </c>
      <c r="BP79" s="75">
        <v>100</v>
      </c>
      <c r="BQ79" s="75" t="s">
        <v>3221</v>
      </c>
      <c r="BR79" s="75" t="s">
        <v>2772</v>
      </c>
      <c r="BS79" s="75" t="str">
        <f>HYPERLINK(".\links\SMART\EEC19593.1-SMART.txt","CDD:129031 smart00795, Agro_virD5, Agrobacterium VirD5 protein")</f>
        <v>CDD:129031 smart00795, Agro_virD5, Agrobacterium VirD5 protein</v>
      </c>
      <c r="BT79" s="75">
        <v>2.9000000000000001E-2</v>
      </c>
      <c r="BU79" s="75">
        <v>12.3</v>
      </c>
      <c r="BV79" s="75" t="s">
        <v>3252</v>
      </c>
      <c r="BW79" s="75" t="s">
        <v>2772</v>
      </c>
      <c r="BX79" s="75" t="str">
        <f>HYPERLINK(".\links\TSF\EEC19593.1-TSF.txt","30-200 30-200, HSP-70||H|")</f>
        <v>30-200 30-200, HSP-70||H|</v>
      </c>
      <c r="BY79" s="75">
        <v>0</v>
      </c>
      <c r="BZ79" s="75">
        <v>91</v>
      </c>
      <c r="CA79" s="75" t="s">
        <v>3222</v>
      </c>
      <c r="CB79" s="75" t="s">
        <v>3223</v>
      </c>
      <c r="CC79" s="75" t="s">
        <v>2772</v>
      </c>
      <c r="CD79" s="75" t="s">
        <v>2808</v>
      </c>
      <c r="CE79" s="75" t="s">
        <v>3224</v>
      </c>
      <c r="CF79" s="75">
        <f>HYPERLINK(".\links\cluster-b\Ixsc-cement-202225-50SimCLU4.txt", 4)</f>
        <v>4</v>
      </c>
      <c r="CG79" s="75">
        <f>HYPERLINK(".\links\cluster-b\Ixsc-cement-202225-50SimCLTL4.txt", 6)</f>
        <v>6</v>
      </c>
      <c r="CH79" s="75">
        <f>HYPERLINK(".\links\cluster-b\Ixsc-cement-202230-50SimCLU3.txt", 3)</f>
        <v>3</v>
      </c>
      <c r="CI79" s="75">
        <f>HYPERLINK(".\links\cluster-b\Ixsc-cement-202230-50SimCLTL3.txt", 6)</f>
        <v>6</v>
      </c>
      <c r="CJ79" s="75">
        <f>HYPERLINK(".\links\cluster-b\Ixsc-cement-202235-50SimCLU3.txt", 3)</f>
        <v>3</v>
      </c>
      <c r="CK79" s="75">
        <f>HYPERLINK(".\links\cluster-b\Ixsc-cement-202235-50SimCLTL3.txt", 6)</f>
        <v>6</v>
      </c>
      <c r="CL79" s="75">
        <f>HYPERLINK(".\links\cluster-b\Ixsc-cement-202240-50SimCLU2.txt", 2)</f>
        <v>2</v>
      </c>
      <c r="CM79" s="75">
        <f>HYPERLINK(".\links\cluster-b\Ixsc-cement-202240-50SimCLTL2.txt", 6)</f>
        <v>6</v>
      </c>
      <c r="CN79" s="75">
        <f>HYPERLINK(".\links\cluster-b\Ixsc-cement-202245-50SimCLU2.txt", 2)</f>
        <v>2</v>
      </c>
      <c r="CO79" s="75">
        <f>HYPERLINK(".\links\cluster-b\Ixsc-cement-202245-50SimCLTL2.txt", 6)</f>
        <v>6</v>
      </c>
      <c r="CP79" s="75">
        <f>HYPERLINK(".\links\cluster-b\Ixsc-cement-202250-50SimCLU2.txt", 2)</f>
        <v>2</v>
      </c>
      <c r="CQ79" s="75">
        <f>HYPERLINK(".\links\cluster-b\Ixsc-cement-202250-50SimCLTL2.txt", 6)</f>
        <v>6</v>
      </c>
      <c r="CR79" s="75">
        <f>HYPERLINK(".\links\cluster-b\Ixsc-cement-202255-50SimCLU2.txt", 2)</f>
        <v>2</v>
      </c>
      <c r="CS79" s="75">
        <f>HYPERLINK(".\links\cluster-b\Ixsc-cement-202255-50SimCLTL2.txt", 6)</f>
        <v>6</v>
      </c>
      <c r="CT79" s="75">
        <f>HYPERLINK(".\links\cluster-b\Ixsc-cement-202260-50SimCLU1.txt", 1)</f>
        <v>1</v>
      </c>
      <c r="CU79" s="75">
        <f>HYPERLINK(".\links\cluster-b\Ixsc-cement-202260-50SimCLTL1.txt", 6)</f>
        <v>6</v>
      </c>
      <c r="CV79" s="75">
        <f>HYPERLINK(".\links\cluster-b\Ixsc-cement-202265-50SimCLU1.txt", 1)</f>
        <v>1</v>
      </c>
      <c r="CW79" s="75">
        <f>HYPERLINK(".\links\cluster-b\Ixsc-cement-202265-50SimCLTL1.txt", 6)</f>
        <v>6</v>
      </c>
      <c r="CX79" s="75">
        <f>HYPERLINK(".\links\cluster-b\Ixsc-cement-202270-50SimCLU1.txt", 1)</f>
        <v>1</v>
      </c>
      <c r="CY79" s="75">
        <f>HYPERLINK(".\links\cluster-b\Ixsc-cement-202270-50SimCLTL1.txt", 6)</f>
        <v>6</v>
      </c>
      <c r="CZ79" s="75">
        <f>HYPERLINK(".\links\cluster-b\Ixsc-cement-202275-50SimCLU2.txt", 2)</f>
        <v>2</v>
      </c>
      <c r="DA79" s="75">
        <f>HYPERLINK(".\links\cluster-b\Ixsc-cement-202275-50SimCLTL2.txt", 5)</f>
        <v>5</v>
      </c>
      <c r="DB79" s="75">
        <f>HYPERLINK(".\links\cluster-b\Ixsc-cement-202280-50SimCLU6.txt", 6)</f>
        <v>6</v>
      </c>
      <c r="DC79" s="75">
        <f>HYPERLINK(".\links\cluster-b\Ixsc-cement-202280-50SimCLTL6.txt", 3)</f>
        <v>3</v>
      </c>
      <c r="DD79" s="75">
        <v>119</v>
      </c>
      <c r="DE79" s="75">
        <v>1</v>
      </c>
      <c r="DF79" s="75">
        <v>121</v>
      </c>
      <c r="DG79" s="75">
        <v>1</v>
      </c>
      <c r="DH79" s="75">
        <v>122</v>
      </c>
      <c r="DI79" s="75">
        <v>1</v>
      </c>
      <c r="DJ79" s="75" t="s">
        <v>164</v>
      </c>
      <c r="DK79" s="75" t="str">
        <f>HYPERLINK(".\links\AAM-CEMENT-2018\EEC19593.1-AAM-CEMENT-2018.txt","Extracted CDS")</f>
        <v>Extracted CDS</v>
      </c>
      <c r="DL79" s="75" t="str">
        <f>HYPERLINK("http://www.ncbi.nlm.nih.gov/sutils/blink.cgi?pid=Aam-3221","0.0")</f>
        <v>0.0</v>
      </c>
      <c r="DM79" s="75" t="str">
        <f>HYPERLINK("http://www.ncbi.nlm.nih.gov/protein/Aam-3221","Aam-3221")</f>
        <v>Aam-3221</v>
      </c>
      <c r="DN79" s="75">
        <v>1049</v>
      </c>
      <c r="DO79" s="75">
        <v>617</v>
      </c>
      <c r="DP79" s="75">
        <v>636</v>
      </c>
      <c r="DQ79" s="75">
        <v>81</v>
      </c>
      <c r="DR79" s="75">
        <v>91</v>
      </c>
      <c r="DS79" s="75">
        <v>97</v>
      </c>
      <c r="DT79" s="75">
        <v>114</v>
      </c>
      <c r="DU79" s="75">
        <v>5</v>
      </c>
      <c r="DV79" s="75">
        <v>21</v>
      </c>
      <c r="DW79" s="75">
        <v>1</v>
      </c>
      <c r="DX79" s="75">
        <v>1</v>
      </c>
      <c r="DY79" s="75" t="s">
        <v>2775</v>
      </c>
      <c r="DZ79" s="75" t="str">
        <f>HYPERLINK(".\links\CDD\EEC19593.1-CDD.txt","PTZ00009 heat shock 70 kDa protein")</f>
        <v>PTZ00009 heat shock 70 kDa protein</v>
      </c>
      <c r="EA79" s="75">
        <v>0</v>
      </c>
      <c r="EB79" s="75">
        <v>97.5</v>
      </c>
      <c r="EC79" s="75" t="s">
        <v>3218</v>
      </c>
      <c r="ED79" s="75" t="s">
        <v>3235</v>
      </c>
      <c r="EE79" s="75" t="str">
        <f>HYPERLINK(".\links\KOG\EEC19593.1-KOG.txt","CDD:223520 COG0443, DnaK, Molecular chaperone")</f>
        <v>CDD:223520 COG0443, DnaK, Molecular chaperone</v>
      </c>
      <c r="EF79" s="75">
        <v>0</v>
      </c>
      <c r="EG79" s="75">
        <v>102.9</v>
      </c>
      <c r="EH79" s="75" t="s">
        <v>3220</v>
      </c>
      <c r="EI79" s="75" t="s">
        <v>2779</v>
      </c>
      <c r="EJ79" s="75" t="str">
        <f>HYPERLINK(".\links\PFAM\EEC19593.1-PFAM.txt","HSP70 Hsp70 protein")</f>
        <v>HSP70 Hsp70 protein</v>
      </c>
      <c r="EK79" s="75">
        <v>0</v>
      </c>
      <c r="EL79" s="75">
        <v>100</v>
      </c>
      <c r="EM79" s="75" t="s">
        <v>3221</v>
      </c>
      <c r="EN79" s="75" t="s">
        <v>2772</v>
      </c>
      <c r="EO79" s="75" t="str">
        <f>HYPERLINK(".\links\SMART\EEC19593.1-SMART.txt","CDD:129031 smart00795, Agro_virD5, Agrobacterium VirD5 protein")</f>
        <v>CDD:129031 smart00795, Agro_virD5, Agrobacterium VirD5 protein</v>
      </c>
      <c r="EP79" s="75">
        <v>2.9000000000000001E-2</v>
      </c>
      <c r="EQ79" s="75">
        <v>12.3</v>
      </c>
      <c r="ER79" s="75" t="s">
        <v>3252</v>
      </c>
      <c r="ES79" s="75" t="s">
        <v>2772</v>
      </c>
      <c r="ET79" s="75" t="str">
        <f>HYPERLINK(".\links\TSF\EEC19593.1-TSF.txt","30-200 30-200, HSP-70||H|")</f>
        <v>30-200 30-200, HSP-70||H|</v>
      </c>
      <c r="EU79" s="75">
        <v>0</v>
      </c>
      <c r="EV79" s="75">
        <v>91</v>
      </c>
      <c r="EW79" s="75" t="s">
        <v>3222</v>
      </c>
      <c r="EX79" s="75" t="s">
        <v>3223</v>
      </c>
      <c r="EY79" s="75" t="s">
        <v>2772</v>
      </c>
      <c r="EZ79" s="75" t="s">
        <v>2808</v>
      </c>
      <c r="FA79" s="75" t="s">
        <v>3224</v>
      </c>
    </row>
    <row r="80" spans="1:157" x14ac:dyDescent="0.2">
      <c r="A80" s="75" t="str">
        <f>HYPERLINK(".\links\PEP\AAT75324.1-PEP.txt","AAT75324.1")</f>
        <v>AAT75324.1</v>
      </c>
      <c r="B80" s="75" t="s">
        <v>2990</v>
      </c>
      <c r="C80" s="75">
        <v>460</v>
      </c>
      <c r="D80" s="75" t="s">
        <v>3253</v>
      </c>
      <c r="E80" s="76" t="s">
        <v>93</v>
      </c>
      <c r="F80" s="75" t="s">
        <v>2771</v>
      </c>
      <c r="G80" s="75" t="str">
        <f>HYPERLINK(".\links\Sigp\AAT75324.1-SigP.txt","CYT")</f>
        <v>CYT</v>
      </c>
      <c r="H80" s="75" t="s">
        <v>2772</v>
      </c>
      <c r="I80" s="75">
        <v>50.926000000000002</v>
      </c>
      <c r="J80" s="75">
        <v>5.59</v>
      </c>
      <c r="K80" s="75" t="s">
        <v>2772</v>
      </c>
      <c r="L80" s="75" t="s">
        <v>2772</v>
      </c>
      <c r="M80" s="75" t="str">
        <f>HYPERLINK(".\links\netoglyc\AAT75324.1-netoglyc.txt","1")</f>
        <v>1</v>
      </c>
      <c r="N80" s="75" t="s">
        <v>2826</v>
      </c>
      <c r="O80" s="75">
        <v>460</v>
      </c>
      <c r="P80" s="75">
        <v>0</v>
      </c>
      <c r="Q80" s="75" t="s">
        <v>2772</v>
      </c>
      <c r="R80" s="75" t="s">
        <v>2772</v>
      </c>
      <c r="S80" s="75" t="s">
        <v>2772</v>
      </c>
      <c r="T80" s="75" t="s">
        <v>2772</v>
      </c>
      <c r="U80" s="75" t="s">
        <v>2772</v>
      </c>
      <c r="V80" s="75" t="s">
        <v>2772</v>
      </c>
      <c r="W80" s="75">
        <v>13</v>
      </c>
      <c r="X80" s="75">
        <v>6.8</v>
      </c>
      <c r="Y80" s="75">
        <v>3.2</v>
      </c>
      <c r="Z80" s="75" t="s">
        <v>2774</v>
      </c>
      <c r="AA80" s="77">
        <v>10.2173913043478</v>
      </c>
      <c r="AB80" s="75">
        <v>0.16</v>
      </c>
      <c r="AD80" s="75">
        <v>7</v>
      </c>
      <c r="AE80" s="75" t="s">
        <v>2772</v>
      </c>
      <c r="AF80" s="75" t="s">
        <v>2772</v>
      </c>
      <c r="AG80" s="75" t="s">
        <v>2772</v>
      </c>
      <c r="AH80" s="75" t="s">
        <v>2772</v>
      </c>
      <c r="AI80" s="75">
        <v>2</v>
      </c>
      <c r="AJ80" s="75">
        <v>2</v>
      </c>
      <c r="AK80" s="75" t="s">
        <v>2772</v>
      </c>
      <c r="AL80" s="75" t="s">
        <v>2772</v>
      </c>
      <c r="AM80" s="75" t="s">
        <v>2772</v>
      </c>
      <c r="AN80" s="75" t="s">
        <v>2772</v>
      </c>
      <c r="AO80" s="78" t="str">
        <f>HYPERLINK(".\links\AAM-CEMENT-2018\AAT75324.1-AAM-CEMENT-2018.txt","Extracted CDS")</f>
        <v>Extracted CDS</v>
      </c>
      <c r="AP80" s="75" t="str">
        <f>HYPERLINK("http://www.ncbi.nlm.nih.gov/sutils/blink.cgi?pid=Aam-3221","0.0")</f>
        <v>0.0</v>
      </c>
      <c r="AQ80" s="75" t="str">
        <f>HYPERLINK("http://www.ncbi.nlm.nih.gov/protein/Aam-3221","Aam-3221")</f>
        <v>Aam-3221</v>
      </c>
      <c r="AR80" s="75">
        <v>775</v>
      </c>
      <c r="AS80" s="75">
        <v>464</v>
      </c>
      <c r="AT80" s="75">
        <v>636</v>
      </c>
      <c r="AU80" s="75">
        <v>80</v>
      </c>
      <c r="AV80" s="75">
        <v>91</v>
      </c>
      <c r="AW80" s="75">
        <v>73</v>
      </c>
      <c r="AX80" s="75">
        <v>91</v>
      </c>
      <c r="AY80" s="75">
        <v>4</v>
      </c>
      <c r="AZ80" s="75">
        <v>173</v>
      </c>
      <c r="BA80" s="75">
        <v>1</v>
      </c>
      <c r="BB80" s="75">
        <v>1</v>
      </c>
      <c r="BC80" s="75" t="s">
        <v>2775</v>
      </c>
      <c r="BD80" s="78" t="str">
        <f>HYPERLINK(".\links\CDD\AAT75324.1-CDD.txt","PTZ00009 heat shock 70 kDa protein")</f>
        <v>PTZ00009 heat shock 70 kDa protein</v>
      </c>
      <c r="BE80" s="75">
        <v>0</v>
      </c>
      <c r="BF80" s="75">
        <v>74.099999999999994</v>
      </c>
      <c r="BG80" s="75" t="s">
        <v>3218</v>
      </c>
      <c r="BH80" s="75" t="s">
        <v>3254</v>
      </c>
      <c r="BI80" s="75" t="str">
        <f>HYPERLINK(".\links\KOG\AAT75324.1-KOG.txt","CDD:223520 COG0443, DnaK, Molecular chaperone")</f>
        <v>CDD:223520 COG0443, DnaK, Molecular chaperone</v>
      </c>
      <c r="BJ80" s="75">
        <v>0</v>
      </c>
      <c r="BK80" s="75">
        <v>76.3</v>
      </c>
      <c r="BL80" s="75" t="s">
        <v>3220</v>
      </c>
      <c r="BM80" s="75" t="s">
        <v>2779</v>
      </c>
      <c r="BN80" s="78" t="str">
        <f>HYPERLINK(".\links\PFAM\AAT75324.1-PFAM.txt","HSP70 Hsp70 protein")</f>
        <v>HSP70 Hsp70 protein</v>
      </c>
      <c r="BO80" s="75">
        <v>0</v>
      </c>
      <c r="BP80" s="75">
        <v>74.400000000000006</v>
      </c>
      <c r="BQ80" s="75" t="s">
        <v>3221</v>
      </c>
      <c r="BR80" s="75" t="s">
        <v>2772</v>
      </c>
      <c r="BS80" s="78" t="str">
        <f>HYPERLINK(".\links\SMART\AAT75324.1-SMART.txt","CDD:128705 smart00428, H3, Histone H3")</f>
        <v>CDD:128705 smart00428, H3, Histone H3</v>
      </c>
      <c r="BT80" s="75">
        <v>5.3999999999999999E-2</v>
      </c>
      <c r="BU80" s="75">
        <v>31.4</v>
      </c>
      <c r="BV80" s="75" t="s">
        <v>3255</v>
      </c>
      <c r="BW80" s="75" t="s">
        <v>2772</v>
      </c>
      <c r="BX80" s="78" t="str">
        <f>HYPERLINK(".\links\TSF\AAT75324.1-TSF.txt","30-200 30-200, HSP-70||H|")</f>
        <v>30-200 30-200, HSP-70||H|</v>
      </c>
      <c r="BY80" s="75">
        <v>0</v>
      </c>
      <c r="BZ80" s="75">
        <v>67.7</v>
      </c>
      <c r="CA80" s="75" t="s">
        <v>3222</v>
      </c>
      <c r="CB80" s="75" t="s">
        <v>3223</v>
      </c>
      <c r="CC80" s="75" t="s">
        <v>2772</v>
      </c>
      <c r="CD80" s="75" t="s">
        <v>2808</v>
      </c>
      <c r="CE80" s="75" t="s">
        <v>3224</v>
      </c>
      <c r="CF80" s="75">
        <f>HYPERLINK(".\links\cluster-b\Ixsc-cement-202225-50SimCLU4.txt", 4)</f>
        <v>4</v>
      </c>
      <c r="CG80" s="75">
        <f>HYPERLINK(".\links\cluster-b\Ixsc-cement-202225-50SimCLTL4.txt", 6)</f>
        <v>6</v>
      </c>
      <c r="CH80" s="75">
        <f>HYPERLINK(".\links\cluster-b\Ixsc-cement-202230-50SimCLU3.txt", 3)</f>
        <v>3</v>
      </c>
      <c r="CI80" s="75">
        <f>HYPERLINK(".\links\cluster-b\Ixsc-cement-202230-50SimCLTL3.txt", 6)</f>
        <v>6</v>
      </c>
      <c r="CJ80" s="75">
        <f>HYPERLINK(".\links\cluster-b\Ixsc-cement-202235-50SimCLU3.txt", 3)</f>
        <v>3</v>
      </c>
      <c r="CK80" s="75">
        <f>HYPERLINK(".\links\cluster-b\Ixsc-cement-202235-50SimCLTL3.txt", 6)</f>
        <v>6</v>
      </c>
      <c r="CL80" s="75">
        <f>HYPERLINK(".\links\cluster-b\Ixsc-cement-202240-50SimCLU2.txt", 2)</f>
        <v>2</v>
      </c>
      <c r="CM80" s="75">
        <f>HYPERLINK(".\links\cluster-b\Ixsc-cement-202240-50SimCLTL2.txt", 6)</f>
        <v>6</v>
      </c>
      <c r="CN80" s="75">
        <f>HYPERLINK(".\links\cluster-b\Ixsc-cement-202245-50SimCLU2.txt", 2)</f>
        <v>2</v>
      </c>
      <c r="CO80" s="75">
        <f>HYPERLINK(".\links\cluster-b\Ixsc-cement-202245-50SimCLTL2.txt", 6)</f>
        <v>6</v>
      </c>
      <c r="CP80" s="75">
        <f>HYPERLINK(".\links\cluster-b\Ixsc-cement-202250-50SimCLU2.txt", 2)</f>
        <v>2</v>
      </c>
      <c r="CQ80" s="75">
        <f>HYPERLINK(".\links\cluster-b\Ixsc-cement-202250-50SimCLTL2.txt", 6)</f>
        <v>6</v>
      </c>
      <c r="CR80" s="75">
        <f>HYPERLINK(".\links\cluster-b\Ixsc-cement-202255-50SimCLU2.txt", 2)</f>
        <v>2</v>
      </c>
      <c r="CS80" s="75">
        <f>HYPERLINK(".\links\cluster-b\Ixsc-cement-202255-50SimCLTL2.txt", 6)</f>
        <v>6</v>
      </c>
      <c r="CT80" s="75">
        <f>HYPERLINK(".\links\cluster-b\Ixsc-cement-202260-50SimCLU1.txt", 1)</f>
        <v>1</v>
      </c>
      <c r="CU80" s="75">
        <f>HYPERLINK(".\links\cluster-b\Ixsc-cement-202260-50SimCLTL1.txt", 6)</f>
        <v>6</v>
      </c>
      <c r="CV80" s="75">
        <f>HYPERLINK(".\links\cluster-b\Ixsc-cement-202265-50SimCLU1.txt", 1)</f>
        <v>1</v>
      </c>
      <c r="CW80" s="75">
        <f>HYPERLINK(".\links\cluster-b\Ixsc-cement-202265-50SimCLTL1.txt", 6)</f>
        <v>6</v>
      </c>
      <c r="CX80" s="75">
        <f>HYPERLINK(".\links\cluster-b\Ixsc-cement-202270-50SimCLU1.txt", 1)</f>
        <v>1</v>
      </c>
      <c r="CY80" s="75">
        <f>HYPERLINK(".\links\cluster-b\Ixsc-cement-202270-50SimCLTL1.txt", 6)</f>
        <v>6</v>
      </c>
      <c r="CZ80" s="75">
        <v>18</v>
      </c>
      <c r="DA80" s="75">
        <v>1</v>
      </c>
      <c r="DB80" s="75">
        <v>16</v>
      </c>
      <c r="DC80" s="75">
        <v>1</v>
      </c>
      <c r="DD80" s="75">
        <v>14</v>
      </c>
      <c r="DE80" s="75">
        <v>1</v>
      </c>
      <c r="DF80" s="75">
        <v>13</v>
      </c>
      <c r="DG80" s="75">
        <v>1</v>
      </c>
      <c r="DH80" s="75">
        <v>12</v>
      </c>
      <c r="DI80" s="75">
        <v>1</v>
      </c>
      <c r="DJ80" s="75" t="s">
        <v>160</v>
      </c>
      <c r="DK80" s="75" t="str">
        <f>HYPERLINK(".\links\AAM-CEMENT-2018\AAT75324.1-AAM-CEMENT-2018.txt","Extracted CDS")</f>
        <v>Extracted CDS</v>
      </c>
      <c r="DL80" s="75" t="str">
        <f>HYPERLINK("http://www.ncbi.nlm.nih.gov/sutils/blink.cgi?pid=Aam-3221","0.0")</f>
        <v>0.0</v>
      </c>
      <c r="DM80" s="75" t="str">
        <f>HYPERLINK("http://www.ncbi.nlm.nih.gov/protein/Aam-3221","Aam-3221")</f>
        <v>Aam-3221</v>
      </c>
      <c r="DN80" s="75">
        <v>775</v>
      </c>
      <c r="DO80" s="75">
        <v>464</v>
      </c>
      <c r="DP80" s="75">
        <v>636</v>
      </c>
      <c r="DQ80" s="75">
        <v>80</v>
      </c>
      <c r="DR80" s="75">
        <v>91</v>
      </c>
      <c r="DS80" s="75">
        <v>73</v>
      </c>
      <c r="DT80" s="75">
        <v>91</v>
      </c>
      <c r="DU80" s="75">
        <v>4</v>
      </c>
      <c r="DV80" s="75">
        <v>173</v>
      </c>
      <c r="DW80" s="75">
        <v>1</v>
      </c>
      <c r="DX80" s="75">
        <v>1</v>
      </c>
      <c r="DY80" s="75" t="s">
        <v>2775</v>
      </c>
      <c r="DZ80" s="75" t="str">
        <f>HYPERLINK(".\links\CDD\AAT75324.1-CDD.txt","PTZ00009 heat shock 70 kDa protein")</f>
        <v>PTZ00009 heat shock 70 kDa protein</v>
      </c>
      <c r="EA80" s="75">
        <v>0</v>
      </c>
      <c r="EB80" s="75">
        <v>74.099999999999994</v>
      </c>
      <c r="EC80" s="75" t="s">
        <v>3218</v>
      </c>
      <c r="ED80" s="75" t="s">
        <v>3254</v>
      </c>
      <c r="EE80" s="75" t="str">
        <f>HYPERLINK(".\links\KOG\AAT75324.1-KOG.txt","CDD:223520 COG0443, DnaK, Molecular chaperone")</f>
        <v>CDD:223520 COG0443, DnaK, Molecular chaperone</v>
      </c>
      <c r="EF80" s="75">
        <v>0</v>
      </c>
      <c r="EG80" s="75">
        <v>76.3</v>
      </c>
      <c r="EH80" s="75" t="s">
        <v>3220</v>
      </c>
      <c r="EI80" s="75" t="s">
        <v>2779</v>
      </c>
      <c r="EJ80" s="75" t="str">
        <f>HYPERLINK(".\links\PFAM\AAT75324.1-PFAM.txt","HSP70 Hsp70 protein")</f>
        <v>HSP70 Hsp70 protein</v>
      </c>
      <c r="EK80" s="75">
        <v>0</v>
      </c>
      <c r="EL80" s="75">
        <v>74.400000000000006</v>
      </c>
      <c r="EM80" s="75" t="s">
        <v>3221</v>
      </c>
      <c r="EN80" s="75" t="s">
        <v>2772</v>
      </c>
      <c r="EO80" s="75" t="str">
        <f>HYPERLINK(".\links\SMART\AAT75324.1-SMART.txt","CDD:128705 smart00428, H3, Histone H3")</f>
        <v>CDD:128705 smart00428, H3, Histone H3</v>
      </c>
      <c r="EP80" s="75">
        <v>5.3999999999999999E-2</v>
      </c>
      <c r="EQ80" s="75">
        <v>31.4</v>
      </c>
      <c r="ER80" s="75" t="s">
        <v>3255</v>
      </c>
      <c r="ES80" s="75" t="s">
        <v>2772</v>
      </c>
      <c r="ET80" s="75" t="str">
        <f>HYPERLINK(".\links\TSF\AAT75324.1-TSF.txt","30-200 30-200, HSP-70||H|")</f>
        <v>30-200 30-200, HSP-70||H|</v>
      </c>
      <c r="EU80" s="75">
        <v>0</v>
      </c>
      <c r="EV80" s="75">
        <v>67.7</v>
      </c>
      <c r="EW80" s="75" t="s">
        <v>3222</v>
      </c>
      <c r="EX80" s="75" t="s">
        <v>3223</v>
      </c>
      <c r="EY80" s="75" t="s">
        <v>2772</v>
      </c>
      <c r="EZ80" s="75" t="s">
        <v>2808</v>
      </c>
      <c r="FA80" s="75" t="s">
        <v>3224</v>
      </c>
    </row>
    <row r="81" spans="1:157" x14ac:dyDescent="0.2">
      <c r="A81" s="75" t="str">
        <f>HYPERLINK(".\links\PEP\EEC02656.1-PEP.txt","EEC02656.1")</f>
        <v>EEC02656.1</v>
      </c>
      <c r="B81" s="75" t="s">
        <v>2768</v>
      </c>
      <c r="C81" s="75">
        <v>136</v>
      </c>
      <c r="D81" s="75" t="s">
        <v>3256</v>
      </c>
      <c r="E81" s="75" t="s">
        <v>271</v>
      </c>
      <c r="F81" s="75" t="s">
        <v>2771</v>
      </c>
      <c r="G81" s="75" t="str">
        <f>HYPERLINK(".\links\Sigp\EEC02656.1-SigP.txt","CYT")</f>
        <v>CYT</v>
      </c>
      <c r="H81" s="75" t="s">
        <v>2772</v>
      </c>
      <c r="I81" s="75">
        <v>15.346</v>
      </c>
      <c r="J81" s="75">
        <v>11.27</v>
      </c>
      <c r="K81" s="75" t="s">
        <v>2772</v>
      </c>
      <c r="L81" s="75" t="s">
        <v>2772</v>
      </c>
      <c r="M81" s="75" t="str">
        <f>HYPERLINK(".\links\netoglyc\EEC02656.1-netoglyc.txt","4")</f>
        <v>4</v>
      </c>
      <c r="N81" s="75" t="s">
        <v>3257</v>
      </c>
      <c r="O81" s="75">
        <v>136</v>
      </c>
      <c r="P81" s="75">
        <v>0</v>
      </c>
      <c r="Q81" s="75" t="s">
        <v>2772</v>
      </c>
      <c r="R81" s="75" t="s">
        <v>2772</v>
      </c>
      <c r="S81" s="75" t="s">
        <v>2772</v>
      </c>
      <c r="T81" s="75" t="s">
        <v>2772</v>
      </c>
      <c r="U81" s="75" t="s">
        <v>2772</v>
      </c>
      <c r="V81" s="75" t="s">
        <v>2772</v>
      </c>
      <c r="W81" s="75">
        <v>11.5</v>
      </c>
      <c r="X81" s="75">
        <v>5.8</v>
      </c>
      <c r="Y81" s="75">
        <v>4.3</v>
      </c>
      <c r="Z81" s="75" t="s">
        <v>2774</v>
      </c>
      <c r="AA81" s="77">
        <v>10.294117647058799</v>
      </c>
      <c r="AB81" s="75">
        <v>0.42</v>
      </c>
      <c r="AD81" s="75">
        <v>1</v>
      </c>
      <c r="AE81" s="75" t="s">
        <v>2772</v>
      </c>
      <c r="AF81" s="75" t="s">
        <v>2772</v>
      </c>
      <c r="AG81" s="75" t="s">
        <v>2772</v>
      </c>
      <c r="AH81" s="75" t="s">
        <v>2772</v>
      </c>
      <c r="AI81" s="75" t="s">
        <v>2772</v>
      </c>
      <c r="AJ81" s="75">
        <v>1</v>
      </c>
      <c r="AK81" s="75" t="s">
        <v>2772</v>
      </c>
      <c r="AL81" s="75" t="s">
        <v>2772</v>
      </c>
      <c r="AM81" s="75" t="s">
        <v>2772</v>
      </c>
      <c r="AN81" s="75" t="s">
        <v>2772</v>
      </c>
      <c r="AO81" s="78" t="str">
        <f>HYPERLINK(".\links\AAM-CEMENT-2018\EEC02656.1-AAM-CEMENT-2018.txt","Extracted CDS")</f>
        <v>Extracted CDS</v>
      </c>
      <c r="AP81" s="75" t="str">
        <f>HYPERLINK("http://www.ncbi.nlm.nih.gov/sutils/blink.cgi?pid=Aam-2879","7E-99")</f>
        <v>7E-99</v>
      </c>
      <c r="AQ81" s="75" t="str">
        <f>HYPERLINK("http://www.ncbi.nlm.nih.gov/protein/Aam-2879","Aam-2879")</f>
        <v>Aam-2879</v>
      </c>
      <c r="AR81" s="75">
        <v>273</v>
      </c>
      <c r="AS81" s="75">
        <v>136</v>
      </c>
      <c r="AT81" s="75">
        <v>136</v>
      </c>
      <c r="AU81" s="75">
        <v>100</v>
      </c>
      <c r="AV81" s="75">
        <v>100</v>
      </c>
      <c r="AW81" s="75">
        <v>100</v>
      </c>
      <c r="AX81" s="75">
        <v>0</v>
      </c>
      <c r="AY81" s="75">
        <v>0</v>
      </c>
      <c r="AZ81" s="75">
        <v>1</v>
      </c>
      <c r="BA81" s="75">
        <v>1</v>
      </c>
      <c r="BB81" s="75">
        <v>1</v>
      </c>
      <c r="BC81" s="75" t="s">
        <v>2775</v>
      </c>
      <c r="BD81" s="78" t="str">
        <f>HYPERLINK(".\links\CDD\EEC02656.1-CDD.txt","PTZ00018 histone H3")</f>
        <v>PTZ00018 histone H3</v>
      </c>
      <c r="BE81" s="79">
        <v>1E-89</v>
      </c>
      <c r="BF81" s="75">
        <v>100</v>
      </c>
      <c r="BG81" s="75" t="s">
        <v>3258</v>
      </c>
      <c r="BH81" s="75" t="s">
        <v>3259</v>
      </c>
      <c r="BI81" s="75" t="str">
        <f>HYPERLINK(".\links\KOG\EEC02656.1-KOG.txt","CDD:224947 COG2036, HHT1, Histones H3 and H4")</f>
        <v>CDD:224947 COG2036, HHT1, Histones H3 and H4</v>
      </c>
      <c r="BJ81" s="79">
        <v>2.9999999999999999E-30</v>
      </c>
      <c r="BK81" s="75">
        <v>101.1</v>
      </c>
      <c r="BL81" s="75" t="s">
        <v>3260</v>
      </c>
      <c r="BM81" s="75" t="s">
        <v>2779</v>
      </c>
      <c r="BN81" s="78" t="str">
        <f>HYPERLINK(".\links\PFAM\EEC02656.1-PFAM.txt","Histone Core histone H2A/H2B/H3/H4")</f>
        <v>Histone Core histone H2A/H2B/H3/H4</v>
      </c>
      <c r="BO81" s="79">
        <v>3E-52</v>
      </c>
      <c r="BP81" s="75">
        <v>103.9</v>
      </c>
      <c r="BQ81" s="75" t="s">
        <v>3261</v>
      </c>
      <c r="BR81" s="75" t="s">
        <v>2772</v>
      </c>
      <c r="BS81" s="78" t="str">
        <f>HYPERLINK(".\links\SMART\EEC02656.1-SMART.txt","CDD:128705 smart00428, H3, Histone H3")</f>
        <v>CDD:128705 smart00428, H3, Histone H3</v>
      </c>
      <c r="BT81" s="79">
        <v>2.0000000000000001E-62</v>
      </c>
      <c r="BU81" s="75">
        <v>100</v>
      </c>
      <c r="BV81" s="75" t="s">
        <v>3255</v>
      </c>
      <c r="BW81" s="75" t="s">
        <v>2772</v>
      </c>
      <c r="BX81" s="78" t="str">
        <f>HYPERLINK(".\links\TSF\EEC02656.1-TSF.txt","30-417 30-417, BTSP||S|")</f>
        <v>30-417 30-417, BTSP||S|</v>
      </c>
      <c r="BY81" s="75">
        <v>1.2</v>
      </c>
      <c r="BZ81" s="75">
        <v>7</v>
      </c>
      <c r="CA81" s="75" t="s">
        <v>3056</v>
      </c>
      <c r="CB81" s="75" t="s">
        <v>3057</v>
      </c>
      <c r="CC81" s="75" t="s">
        <v>2772</v>
      </c>
      <c r="CD81" s="75" t="s">
        <v>2785</v>
      </c>
      <c r="CE81" s="75" t="s">
        <v>3058</v>
      </c>
      <c r="CF81" s="75">
        <f>HYPERLINK(".\links\cluster-b\Ixsc-cement-202225-50SimCLU3.txt", 3)</f>
        <v>3</v>
      </c>
      <c r="CG81" s="75">
        <f>HYPERLINK(".\links\cluster-b\Ixsc-cement-202225-50SimCLTL3.txt", 7)</f>
        <v>7</v>
      </c>
      <c r="CH81" s="75">
        <f>HYPERLINK(".\links\cluster-b\Ixsc-cement-202230-50SimCLU17.txt", 17)</f>
        <v>17</v>
      </c>
      <c r="CI81" s="75">
        <f>HYPERLINK(".\links\cluster-b\Ixsc-cement-202230-50SimCLTL17.txt", 2)</f>
        <v>2</v>
      </c>
      <c r="CJ81" s="75">
        <f>HYPERLINK(".\links\cluster-b\Ixsc-cement-202235-50SimCLU16.txt", 16)</f>
        <v>16</v>
      </c>
      <c r="CK81" s="75">
        <f>HYPERLINK(".\links\cluster-b\Ixsc-cement-202235-50SimCLTL16.txt", 2)</f>
        <v>2</v>
      </c>
      <c r="CL81" s="75">
        <f>HYPERLINK(".\links\cluster-b\Ixsc-cement-202240-50SimCLU17.txt", 17)</f>
        <v>17</v>
      </c>
      <c r="CM81" s="75">
        <f>HYPERLINK(".\links\cluster-b\Ixsc-cement-202240-50SimCLTL17.txt", 2)</f>
        <v>2</v>
      </c>
      <c r="CN81" s="75">
        <f>HYPERLINK(".\links\cluster-b\Ixsc-cement-202245-50SimCLU16.txt", 16)</f>
        <v>16</v>
      </c>
      <c r="CO81" s="75">
        <f>HYPERLINK(".\links\cluster-b\Ixsc-cement-202245-50SimCLTL16.txt", 2)</f>
        <v>2</v>
      </c>
      <c r="CP81" s="75">
        <f>HYPERLINK(".\links\cluster-b\Ixsc-cement-202250-50SimCLU16.txt", 16)</f>
        <v>16</v>
      </c>
      <c r="CQ81" s="75">
        <f>HYPERLINK(".\links\cluster-b\Ixsc-cement-202250-50SimCLTL16.txt", 2)</f>
        <v>2</v>
      </c>
      <c r="CR81" s="75">
        <f>HYPERLINK(".\links\cluster-b\Ixsc-cement-202255-50SimCLU17.txt", 17)</f>
        <v>17</v>
      </c>
      <c r="CS81" s="75">
        <f>HYPERLINK(".\links\cluster-b\Ixsc-cement-202255-50SimCLTL17.txt", 2)</f>
        <v>2</v>
      </c>
      <c r="CT81" s="75">
        <f>HYPERLINK(".\links\cluster-b\Ixsc-cement-202260-50SimCLU18.txt", 18)</f>
        <v>18</v>
      </c>
      <c r="CU81" s="75">
        <f>HYPERLINK(".\links\cluster-b\Ixsc-cement-202260-50SimCLTL18.txt", 2)</f>
        <v>2</v>
      </c>
      <c r="CV81" s="75">
        <f>HYPERLINK(".\links\cluster-b\Ixsc-cement-202265-50SimCLU16.txt", 16)</f>
        <v>16</v>
      </c>
      <c r="CW81" s="75">
        <f>HYPERLINK(".\links\cluster-b\Ixsc-cement-202265-50SimCLTL16.txt", 2)</f>
        <v>2</v>
      </c>
      <c r="CX81" s="75">
        <f>HYPERLINK(".\links\cluster-b\Ixsc-cement-202270-50SimCLU15.txt", 15)</f>
        <v>15</v>
      </c>
      <c r="CY81" s="75">
        <f>HYPERLINK(".\links\cluster-b\Ixsc-cement-202270-50SimCLTL15.txt", 2)</f>
        <v>2</v>
      </c>
      <c r="CZ81" s="75">
        <f>HYPERLINK(".\links\cluster-b\Ixsc-cement-202275-50SimCLU13.txt", 13)</f>
        <v>13</v>
      </c>
      <c r="DA81" s="75">
        <f>HYPERLINK(".\links\cluster-b\Ixsc-cement-202275-50SimCLTL13.txt", 2)</f>
        <v>2</v>
      </c>
      <c r="DB81" s="75">
        <f>HYPERLINK(".\links\cluster-b\Ixsc-cement-202280-50SimCLU11.txt", 11)</f>
        <v>11</v>
      </c>
      <c r="DC81" s="75">
        <f>HYPERLINK(".\links\cluster-b\Ixsc-cement-202280-50SimCLTL11.txt", 2)</f>
        <v>2</v>
      </c>
      <c r="DD81" s="75">
        <f>HYPERLINK(".\links\cluster-b\Ixsc-cement-202285-50SimCLU9.txt", 9)</f>
        <v>9</v>
      </c>
      <c r="DE81" s="75">
        <f>HYPERLINK(".\links\cluster-b\Ixsc-cement-202285-50SimCLTL9.txt", 2)</f>
        <v>2</v>
      </c>
      <c r="DF81" s="75">
        <f>HYPERLINK(".\links\cluster-b\Ixsc-cement-202290-50SimCLU9.txt", 9)</f>
        <v>9</v>
      </c>
      <c r="DG81" s="75">
        <f>HYPERLINK(".\links\cluster-b\Ixsc-cement-202290-50SimCLTL9.txt", 2)</f>
        <v>2</v>
      </c>
      <c r="DH81" s="75">
        <f>HYPERLINK(".\links\cluster-b\Ixsc-cement-202295-50SimCLU8.txt", 8)</f>
        <v>8</v>
      </c>
      <c r="DI81" s="75">
        <f>HYPERLINK(".\links\cluster-b\Ixsc-cement-202295-50SimCLTL8.txt", 2)</f>
        <v>2</v>
      </c>
      <c r="DJ81" s="75" t="s">
        <v>229</v>
      </c>
      <c r="DK81" s="75" t="str">
        <f>HYPERLINK(".\links\AAM-CEMENT-2018\EEC02656.1-AAM-CEMENT-2018.txt","Extracted CDS")</f>
        <v>Extracted CDS</v>
      </c>
      <c r="DL81" s="75" t="str">
        <f>HYPERLINK("http://www.ncbi.nlm.nih.gov/sutils/blink.cgi?pid=Aam-2879","7E-99")</f>
        <v>7E-99</v>
      </c>
      <c r="DM81" s="75" t="str">
        <f>HYPERLINK("http://www.ncbi.nlm.nih.gov/protein/Aam-2879","Aam-2879")</f>
        <v>Aam-2879</v>
      </c>
      <c r="DN81" s="75">
        <v>273</v>
      </c>
      <c r="DO81" s="75">
        <v>136</v>
      </c>
      <c r="DP81" s="75">
        <v>136</v>
      </c>
      <c r="DQ81" s="75">
        <v>100</v>
      </c>
      <c r="DR81" s="75">
        <v>100</v>
      </c>
      <c r="DS81" s="75">
        <v>100</v>
      </c>
      <c r="DT81" s="75">
        <v>0</v>
      </c>
      <c r="DU81" s="75">
        <v>0</v>
      </c>
      <c r="DV81" s="75">
        <v>1</v>
      </c>
      <c r="DW81" s="75">
        <v>1</v>
      </c>
      <c r="DX81" s="75">
        <v>1</v>
      </c>
      <c r="DY81" s="75" t="s">
        <v>2775</v>
      </c>
      <c r="DZ81" s="75" t="str">
        <f>HYPERLINK(".\links\CDD\EEC02656.1-CDD.txt","PTZ00018 histone H3")</f>
        <v>PTZ00018 histone H3</v>
      </c>
      <c r="EA81" s="79">
        <v>1E-89</v>
      </c>
      <c r="EB81" s="75">
        <v>100</v>
      </c>
      <c r="EC81" s="75" t="s">
        <v>3258</v>
      </c>
      <c r="ED81" s="75" t="s">
        <v>3259</v>
      </c>
      <c r="EE81" s="75" t="str">
        <f>HYPERLINK(".\links\KOG\EEC02656.1-KOG.txt","CDD:224947 COG2036, HHT1, Histones H3 and H4")</f>
        <v>CDD:224947 COG2036, HHT1, Histones H3 and H4</v>
      </c>
      <c r="EF81" s="79">
        <v>2.9999999999999999E-30</v>
      </c>
      <c r="EG81" s="75">
        <v>101.1</v>
      </c>
      <c r="EH81" s="75" t="s">
        <v>3260</v>
      </c>
      <c r="EI81" s="75" t="s">
        <v>2779</v>
      </c>
      <c r="EJ81" s="75" t="str">
        <f>HYPERLINK(".\links\PFAM\EEC02656.1-PFAM.txt","Histone Core histone H2A/H2B/H3/H4")</f>
        <v>Histone Core histone H2A/H2B/H3/H4</v>
      </c>
      <c r="EK81" s="79">
        <v>3E-52</v>
      </c>
      <c r="EL81" s="75">
        <v>103.9</v>
      </c>
      <c r="EM81" s="75" t="s">
        <v>3261</v>
      </c>
      <c r="EN81" s="75" t="s">
        <v>2772</v>
      </c>
      <c r="EO81" s="75" t="str">
        <f>HYPERLINK(".\links\SMART\EEC02656.1-SMART.txt","CDD:128705 smart00428, H3, Histone H3")</f>
        <v>CDD:128705 smart00428, H3, Histone H3</v>
      </c>
      <c r="EP81" s="79">
        <v>2.0000000000000001E-62</v>
      </c>
      <c r="EQ81" s="75">
        <v>100</v>
      </c>
      <c r="ER81" s="75" t="s">
        <v>3255</v>
      </c>
      <c r="ES81" s="75" t="s">
        <v>2772</v>
      </c>
      <c r="ET81" s="75" t="str">
        <f>HYPERLINK(".\links\TSF\EEC02656.1-TSF.txt","30-417 30-417, BTSP||S|")</f>
        <v>30-417 30-417, BTSP||S|</v>
      </c>
      <c r="EU81" s="75">
        <v>1.2</v>
      </c>
      <c r="EV81" s="75">
        <v>7</v>
      </c>
      <c r="EW81" s="75" t="s">
        <v>3056</v>
      </c>
      <c r="EX81" s="75" t="s">
        <v>3057</v>
      </c>
      <c r="EY81" s="75" t="s">
        <v>2772</v>
      </c>
      <c r="EZ81" s="75" t="s">
        <v>2785</v>
      </c>
      <c r="FA81" s="75" t="s">
        <v>3058</v>
      </c>
    </row>
    <row r="82" spans="1:157" x14ac:dyDescent="0.2">
      <c r="A82" s="75" t="str">
        <f>HYPERLINK(".\links\PEP\EEC09557.1-PEP.txt","EEC09557.1")</f>
        <v>EEC09557.1</v>
      </c>
      <c r="B82" s="75" t="s">
        <v>2768</v>
      </c>
      <c r="C82" s="75">
        <v>124</v>
      </c>
      <c r="D82" s="75" t="s">
        <v>3262</v>
      </c>
      <c r="E82" s="75" t="s">
        <v>271</v>
      </c>
      <c r="F82" s="75" t="s">
        <v>2771</v>
      </c>
      <c r="G82" s="75" t="str">
        <f>HYPERLINK(".\links\Sigp\EEC09557.1-SigP.txt","CYT")</f>
        <v>CYT</v>
      </c>
      <c r="H82" s="75" t="s">
        <v>2772</v>
      </c>
      <c r="I82" s="75">
        <v>13.377000000000001</v>
      </c>
      <c r="J82" s="75">
        <v>10.72</v>
      </c>
      <c r="K82" s="75" t="s">
        <v>2772</v>
      </c>
      <c r="L82" s="75" t="s">
        <v>2772</v>
      </c>
      <c r="M82" s="75" t="str">
        <f>HYPERLINK(".\links\netoglyc\EEC09557.1-netoglyc.txt","0")</f>
        <v>0</v>
      </c>
      <c r="N82" s="75" t="s">
        <v>3263</v>
      </c>
      <c r="O82" s="75">
        <v>124</v>
      </c>
      <c r="P82" s="75">
        <v>0</v>
      </c>
      <c r="Q82" s="75" t="s">
        <v>2772</v>
      </c>
      <c r="R82" s="75" t="s">
        <v>2772</v>
      </c>
      <c r="S82" s="75" t="s">
        <v>2772</v>
      </c>
      <c r="T82" s="75" t="s">
        <v>2772</v>
      </c>
      <c r="U82" s="75" t="s">
        <v>2772</v>
      </c>
      <c r="V82" s="75" t="s">
        <v>2772</v>
      </c>
      <c r="W82" s="75">
        <v>7.9</v>
      </c>
      <c r="X82" s="75">
        <v>11</v>
      </c>
      <c r="Y82" s="75">
        <v>3.9</v>
      </c>
      <c r="Z82" s="75" t="s">
        <v>2774</v>
      </c>
      <c r="AA82" s="77">
        <v>15.322580645161301</v>
      </c>
      <c r="AB82" s="75">
        <v>0.42</v>
      </c>
      <c r="AD82" s="75">
        <v>0</v>
      </c>
      <c r="AE82" s="75" t="s">
        <v>2772</v>
      </c>
      <c r="AF82" s="75" t="s">
        <v>2772</v>
      </c>
      <c r="AG82" s="75" t="s">
        <v>2772</v>
      </c>
      <c r="AH82" s="75" t="s">
        <v>2772</v>
      </c>
      <c r="AI82" s="75">
        <v>3</v>
      </c>
      <c r="AJ82" s="75">
        <v>3</v>
      </c>
      <c r="AK82" s="75" t="s">
        <v>2772</v>
      </c>
      <c r="AL82" s="75" t="s">
        <v>2772</v>
      </c>
      <c r="AM82" s="75" t="s">
        <v>2772</v>
      </c>
      <c r="AN82" s="75" t="s">
        <v>2772</v>
      </c>
      <c r="AO82" s="78" t="str">
        <f>HYPERLINK(".\links\AAM-CEMENT-2018\EEC09557.1-AAM-CEMENT-2018.txt","Extracted CDS")</f>
        <v>Extracted CDS</v>
      </c>
      <c r="AP82" s="75" t="str">
        <f>HYPERLINK("http://www.ncbi.nlm.nih.gov/sutils/blink.cgi?pid=Aam-177250","9E-88")</f>
        <v>9E-88</v>
      </c>
      <c r="AQ82" s="75" t="str">
        <f>HYPERLINK("http://www.ncbi.nlm.nih.gov/protein/Aam-177250","Aam-177250")</f>
        <v>Aam-177250</v>
      </c>
      <c r="AR82" s="75">
        <v>244</v>
      </c>
      <c r="AS82" s="75">
        <v>124</v>
      </c>
      <c r="AT82" s="75">
        <v>124</v>
      </c>
      <c r="AU82" s="75">
        <v>100</v>
      </c>
      <c r="AV82" s="75">
        <v>100</v>
      </c>
      <c r="AW82" s="75">
        <v>100</v>
      </c>
      <c r="AX82" s="75">
        <v>0</v>
      </c>
      <c r="AY82" s="75">
        <v>0</v>
      </c>
      <c r="AZ82" s="75">
        <v>1</v>
      </c>
      <c r="BA82" s="75">
        <v>1</v>
      </c>
      <c r="BB82" s="75">
        <v>1</v>
      </c>
      <c r="BC82" s="75" t="s">
        <v>2775</v>
      </c>
      <c r="BD82" s="78" t="str">
        <f>HYPERLINK(".\links\CDD\EEC09557.1-CDD.txt","PTZ00017 histone H2A")</f>
        <v>PTZ00017 histone H2A</v>
      </c>
      <c r="BE82" s="79">
        <v>2E-70</v>
      </c>
      <c r="BF82" s="75">
        <v>81.3</v>
      </c>
      <c r="BG82" s="75" t="s">
        <v>3264</v>
      </c>
      <c r="BH82" s="75" t="s">
        <v>3265</v>
      </c>
      <c r="BI82" s="75" t="str">
        <f>HYPERLINK(".\links\KOG\EEC09557.1-KOG.txt","CDD:227587 COG5262, HTA1, Histone H2A")</f>
        <v>CDD:227587 COG5262, HTA1, Histone H2A</v>
      </c>
      <c r="BJ82" s="79">
        <v>2.0000000000000001E-56</v>
      </c>
      <c r="BK82" s="75">
        <v>82.6</v>
      </c>
      <c r="BL82" s="75" t="s">
        <v>3266</v>
      </c>
      <c r="BM82" s="75" t="s">
        <v>2779</v>
      </c>
      <c r="BN82" s="78" t="str">
        <f>HYPERLINK(".\links\PFAM\EEC09557.1-PFAM.txt","Histone_H2A_C C-terminus of histone H2A")</f>
        <v>Histone_H2A_C C-terminus of histone H2A</v>
      </c>
      <c r="BO82" s="79">
        <v>4.0000000000000002E-22</v>
      </c>
      <c r="BP82" s="75">
        <v>100</v>
      </c>
      <c r="BQ82" s="75" t="s">
        <v>3267</v>
      </c>
      <c r="BR82" s="75" t="s">
        <v>2772</v>
      </c>
      <c r="BS82" s="78" t="str">
        <f>HYPERLINK(".\links\SMART\EEC09557.1-SMART.txt","CDD:197711 smart00414, H2A, Histone 2A")</f>
        <v>CDD:197711 smart00414, H2A, Histone 2A</v>
      </c>
      <c r="BT82" s="79">
        <v>5E-71</v>
      </c>
      <c r="BU82" s="75">
        <v>100</v>
      </c>
      <c r="BV82" s="75" t="s">
        <v>3268</v>
      </c>
      <c r="BW82" s="75" t="s">
        <v>2772</v>
      </c>
      <c r="BX82" s="78" t="str">
        <f>HYPERLINK(".\links\TSF\EEC09557.1-TSF.txt","25-98 25-98, SPARC/Kazal||S|PI, GPI")</f>
        <v>25-98 25-98, SPARC/Kazal||S|PI, GPI</v>
      </c>
      <c r="BY82" s="75">
        <v>1.9</v>
      </c>
      <c r="BZ82" s="75">
        <v>5.8</v>
      </c>
      <c r="CA82" s="75" t="s">
        <v>3269</v>
      </c>
      <c r="CB82" s="75" t="s">
        <v>3270</v>
      </c>
      <c r="CC82" s="75" t="s">
        <v>2772</v>
      </c>
      <c r="CD82" s="75" t="s">
        <v>2785</v>
      </c>
      <c r="CE82" s="75" t="s">
        <v>3271</v>
      </c>
      <c r="CF82" s="75">
        <f>HYPERLINK(".\links\cluster-b\Ixsc-cement-202225-50SimCLU3.txt", 3)</f>
        <v>3</v>
      </c>
      <c r="CG82" s="75">
        <f>HYPERLINK(".\links\cluster-b\Ixsc-cement-202225-50SimCLTL3.txt", 7)</f>
        <v>7</v>
      </c>
      <c r="CH82" s="75">
        <f>HYPERLINK(".\links\cluster-b\Ixsc-cement-202230-50SimCLU18.txt", 18)</f>
        <v>18</v>
      </c>
      <c r="CI82" s="75">
        <f>HYPERLINK(".\links\cluster-b\Ixsc-cement-202230-50SimCLTL18.txt", 2)</f>
        <v>2</v>
      </c>
      <c r="CJ82" s="75">
        <f>HYPERLINK(".\links\cluster-b\Ixsc-cement-202235-50SimCLU17.txt", 17)</f>
        <v>17</v>
      </c>
      <c r="CK82" s="75">
        <f>HYPERLINK(".\links\cluster-b\Ixsc-cement-202235-50SimCLTL17.txt", 2)</f>
        <v>2</v>
      </c>
      <c r="CL82" s="75">
        <f>HYPERLINK(".\links\cluster-b\Ixsc-cement-202240-50SimCLU18.txt", 18)</f>
        <v>18</v>
      </c>
      <c r="CM82" s="75">
        <f>HYPERLINK(".\links\cluster-b\Ixsc-cement-202240-50SimCLTL18.txt", 2)</f>
        <v>2</v>
      </c>
      <c r="CN82" s="75">
        <f>HYPERLINK(".\links\cluster-b\Ixsc-cement-202245-50SimCLU17.txt", 17)</f>
        <v>17</v>
      </c>
      <c r="CO82" s="75">
        <f>HYPERLINK(".\links\cluster-b\Ixsc-cement-202245-50SimCLTL17.txt", 2)</f>
        <v>2</v>
      </c>
      <c r="CP82" s="75">
        <f>HYPERLINK(".\links\cluster-b\Ixsc-cement-202250-50SimCLU17.txt", 17)</f>
        <v>17</v>
      </c>
      <c r="CQ82" s="75">
        <f>HYPERLINK(".\links\cluster-b\Ixsc-cement-202250-50SimCLTL17.txt", 2)</f>
        <v>2</v>
      </c>
      <c r="CR82" s="75">
        <f>HYPERLINK(".\links\cluster-b\Ixsc-cement-202255-50SimCLU18.txt", 18)</f>
        <v>18</v>
      </c>
      <c r="CS82" s="75">
        <f>HYPERLINK(".\links\cluster-b\Ixsc-cement-202255-50SimCLTL18.txt", 2)</f>
        <v>2</v>
      </c>
      <c r="CT82" s="75">
        <f>HYPERLINK(".\links\cluster-b\Ixsc-cement-202260-50SimCLU19.txt", 19)</f>
        <v>19</v>
      </c>
      <c r="CU82" s="75">
        <f>HYPERLINK(".\links\cluster-b\Ixsc-cement-202260-50SimCLTL19.txt", 2)</f>
        <v>2</v>
      </c>
      <c r="CV82" s="75">
        <f>HYPERLINK(".\links\cluster-b\Ixsc-cement-202265-50SimCLU17.txt", 17)</f>
        <v>17</v>
      </c>
      <c r="CW82" s="75">
        <f>HYPERLINK(".\links\cluster-b\Ixsc-cement-202265-50SimCLTL17.txt", 2)</f>
        <v>2</v>
      </c>
      <c r="CX82" s="75">
        <f>HYPERLINK(".\links\cluster-b\Ixsc-cement-202270-50SimCLU16.txt", 16)</f>
        <v>16</v>
      </c>
      <c r="CY82" s="75">
        <f>HYPERLINK(".\links\cluster-b\Ixsc-cement-202270-50SimCLTL16.txt", 2)</f>
        <v>2</v>
      </c>
      <c r="CZ82" s="75">
        <f>HYPERLINK(".\links\cluster-b\Ixsc-cement-202275-50SimCLU14.txt", 14)</f>
        <v>14</v>
      </c>
      <c r="DA82" s="75">
        <f>HYPERLINK(".\links\cluster-b\Ixsc-cement-202275-50SimCLTL14.txt", 2)</f>
        <v>2</v>
      </c>
      <c r="DB82" s="75">
        <f>HYPERLINK(".\links\cluster-b\Ixsc-cement-202280-50SimCLU12.txt", 12)</f>
        <v>12</v>
      </c>
      <c r="DC82" s="75">
        <f>HYPERLINK(".\links\cluster-b\Ixsc-cement-202280-50SimCLTL12.txt", 2)</f>
        <v>2</v>
      </c>
      <c r="DD82" s="75">
        <f>HYPERLINK(".\links\cluster-b\Ixsc-cement-202285-50SimCLU10.txt", 10)</f>
        <v>10</v>
      </c>
      <c r="DE82" s="75">
        <f>HYPERLINK(".\links\cluster-b\Ixsc-cement-202285-50SimCLTL10.txt", 2)</f>
        <v>2</v>
      </c>
      <c r="DF82" s="75">
        <v>73</v>
      </c>
      <c r="DG82" s="75">
        <v>1</v>
      </c>
      <c r="DH82" s="75">
        <v>74</v>
      </c>
      <c r="DI82" s="75">
        <v>1</v>
      </c>
      <c r="DJ82" s="75" t="s">
        <v>232</v>
      </c>
      <c r="DK82" s="75" t="str">
        <f>HYPERLINK(".\links\AAM-CEMENT-2018\EEC09557.1-AAM-CEMENT-2018.txt","Extracted CDS")</f>
        <v>Extracted CDS</v>
      </c>
      <c r="DL82" s="75" t="str">
        <f>HYPERLINK("http://www.ncbi.nlm.nih.gov/sutils/blink.cgi?pid=Aam-177250","9E-88")</f>
        <v>9E-88</v>
      </c>
      <c r="DM82" s="75" t="str">
        <f>HYPERLINK("http://www.ncbi.nlm.nih.gov/protein/Aam-177250","Aam-177250")</f>
        <v>Aam-177250</v>
      </c>
      <c r="DN82" s="75">
        <v>244</v>
      </c>
      <c r="DO82" s="75">
        <v>124</v>
      </c>
      <c r="DP82" s="75">
        <v>124</v>
      </c>
      <c r="DQ82" s="75">
        <v>100</v>
      </c>
      <c r="DR82" s="75">
        <v>100</v>
      </c>
      <c r="DS82" s="75">
        <v>100</v>
      </c>
      <c r="DT82" s="75">
        <v>0</v>
      </c>
      <c r="DU82" s="75">
        <v>0</v>
      </c>
      <c r="DV82" s="75">
        <v>1</v>
      </c>
      <c r="DW82" s="75">
        <v>1</v>
      </c>
      <c r="DX82" s="75">
        <v>1</v>
      </c>
      <c r="DY82" s="75" t="s">
        <v>2775</v>
      </c>
      <c r="DZ82" s="75" t="str">
        <f>HYPERLINK(".\links\CDD\EEC09557.1-CDD.txt","PTZ00017 histone H2A")</f>
        <v>PTZ00017 histone H2A</v>
      </c>
      <c r="EA82" s="79">
        <v>2E-70</v>
      </c>
      <c r="EB82" s="75">
        <v>81.3</v>
      </c>
      <c r="EC82" s="75" t="s">
        <v>3264</v>
      </c>
      <c r="ED82" s="75" t="s">
        <v>3265</v>
      </c>
      <c r="EE82" s="75" t="str">
        <f>HYPERLINK(".\links\KOG\EEC09557.1-KOG.txt","CDD:227587 COG5262, HTA1, Histone H2A")</f>
        <v>CDD:227587 COG5262, HTA1, Histone H2A</v>
      </c>
      <c r="EF82" s="79">
        <v>2.0000000000000001E-56</v>
      </c>
      <c r="EG82" s="75">
        <v>82.6</v>
      </c>
      <c r="EH82" s="75" t="s">
        <v>3266</v>
      </c>
      <c r="EI82" s="75" t="s">
        <v>2779</v>
      </c>
      <c r="EJ82" s="75" t="str">
        <f>HYPERLINK(".\links\PFAM\EEC09557.1-PFAM.txt","Histone_H2A_C C-terminus of histone H2A")</f>
        <v>Histone_H2A_C C-terminus of histone H2A</v>
      </c>
      <c r="EK82" s="79">
        <v>4.0000000000000002E-22</v>
      </c>
      <c r="EL82" s="75">
        <v>100</v>
      </c>
      <c r="EM82" s="75" t="s">
        <v>3267</v>
      </c>
      <c r="EN82" s="75" t="s">
        <v>2772</v>
      </c>
      <c r="EO82" s="75" t="str">
        <f>HYPERLINK(".\links\SMART\EEC09557.1-SMART.txt","CDD:197711 smart00414, H2A, Histone 2A")</f>
        <v>CDD:197711 smart00414, H2A, Histone 2A</v>
      </c>
      <c r="EP82" s="79">
        <v>5E-71</v>
      </c>
      <c r="EQ82" s="75">
        <v>100</v>
      </c>
      <c r="ER82" s="75" t="s">
        <v>3268</v>
      </c>
      <c r="ES82" s="75" t="s">
        <v>2772</v>
      </c>
      <c r="ET82" s="75" t="str">
        <f>HYPERLINK(".\links\TSF\EEC09557.1-TSF.txt","25-98 25-98, SPARC/Kazal||S|PI, GPI")</f>
        <v>25-98 25-98, SPARC/Kazal||S|PI, GPI</v>
      </c>
      <c r="EU82" s="75">
        <v>1.9</v>
      </c>
      <c r="EV82" s="75">
        <v>5.8</v>
      </c>
      <c r="EW82" s="75" t="s">
        <v>3269</v>
      </c>
      <c r="EX82" s="75" t="s">
        <v>3270</v>
      </c>
      <c r="EY82" s="75" t="s">
        <v>2772</v>
      </c>
      <c r="EZ82" s="75" t="s">
        <v>2785</v>
      </c>
      <c r="FA82" s="75" t="s">
        <v>3271</v>
      </c>
    </row>
    <row r="83" spans="1:157" x14ac:dyDescent="0.2">
      <c r="A83" s="75" t="str">
        <f>HYPERLINK(".\links\PEP\EEC09558.1-PEP.txt","EEC09558.1")</f>
        <v>EEC09558.1</v>
      </c>
      <c r="B83" s="75" t="s">
        <v>2768</v>
      </c>
      <c r="C83" s="75">
        <v>103</v>
      </c>
      <c r="D83" s="75" t="s">
        <v>3272</v>
      </c>
      <c r="E83" s="75" t="s">
        <v>271</v>
      </c>
      <c r="F83" s="75" t="s">
        <v>2771</v>
      </c>
      <c r="G83" s="75" t="str">
        <f>HYPERLINK(".\links\Sigp\EEC09558.1-SigP.txt","CYT")</f>
        <v>CYT</v>
      </c>
      <c r="H83" s="75" t="s">
        <v>2772</v>
      </c>
      <c r="I83" s="75">
        <v>11.381</v>
      </c>
      <c r="J83" s="75">
        <v>11.36</v>
      </c>
      <c r="K83" s="75" t="s">
        <v>2772</v>
      </c>
      <c r="L83" s="75" t="s">
        <v>2772</v>
      </c>
      <c r="M83" s="75" t="str">
        <f>HYPERLINK(".\links\netoglyc\EEC09558.1-netoglyc.txt","0")</f>
        <v>0</v>
      </c>
      <c r="N83" s="75" t="s">
        <v>2817</v>
      </c>
      <c r="O83" s="75">
        <v>103</v>
      </c>
      <c r="P83" s="75">
        <v>0</v>
      </c>
      <c r="Q83" s="75" t="s">
        <v>2772</v>
      </c>
      <c r="R83" s="75" t="s">
        <v>2772</v>
      </c>
      <c r="S83" s="75" t="s">
        <v>2772</v>
      </c>
      <c r="T83" s="75" t="s">
        <v>2772</v>
      </c>
      <c r="U83" s="75" t="s">
        <v>2772</v>
      </c>
      <c r="V83" s="75" t="s">
        <v>2772</v>
      </c>
      <c r="W83" s="75">
        <v>8.5</v>
      </c>
      <c r="X83" s="75">
        <v>16</v>
      </c>
      <c r="Y83" s="75">
        <v>0.9</v>
      </c>
      <c r="Z83" s="75" t="s">
        <v>2774</v>
      </c>
      <c r="AA83" s="77">
        <v>17.475728155339802</v>
      </c>
      <c r="AB83" s="75">
        <v>0.55000000000000004</v>
      </c>
      <c r="AD83" s="75">
        <v>0</v>
      </c>
      <c r="AE83" s="75" t="s">
        <v>2772</v>
      </c>
      <c r="AF83" s="75" t="s">
        <v>2772</v>
      </c>
      <c r="AG83" s="75" t="s">
        <v>2772</v>
      </c>
      <c r="AH83" s="75" t="s">
        <v>2772</v>
      </c>
      <c r="AI83" s="75">
        <v>3</v>
      </c>
      <c r="AJ83" s="75">
        <v>3</v>
      </c>
      <c r="AK83" s="75" t="s">
        <v>2772</v>
      </c>
      <c r="AL83" s="75" t="s">
        <v>2772</v>
      </c>
      <c r="AM83" s="75" t="s">
        <v>2772</v>
      </c>
      <c r="AN83" s="75" t="s">
        <v>2772</v>
      </c>
      <c r="AO83" s="78" t="str">
        <f>HYPERLINK(".\links\AAM-CEMENT-2018\EEC09558.1-AAM-CEMENT-2018.txt","Extracted CDS")</f>
        <v>Extracted CDS</v>
      </c>
      <c r="AP83" s="75" t="str">
        <f>HYPERLINK("http://www.ncbi.nlm.nih.gov/sutils/blink.cgi?pid=Aam-978","7E-71")</f>
        <v>7E-71</v>
      </c>
      <c r="AQ83" s="75" t="str">
        <f>HYPERLINK("http://www.ncbi.nlm.nih.gov/protein/Aam-978","Aam-978")</f>
        <v>Aam-978</v>
      </c>
      <c r="AR83" s="75">
        <v>200</v>
      </c>
      <c r="AS83" s="75">
        <v>103</v>
      </c>
      <c r="AT83" s="75">
        <v>109</v>
      </c>
      <c r="AU83" s="75">
        <v>100</v>
      </c>
      <c r="AV83" s="75">
        <v>100</v>
      </c>
      <c r="AW83" s="75">
        <v>94</v>
      </c>
      <c r="AX83" s="75">
        <v>0</v>
      </c>
      <c r="AY83" s="75">
        <v>0</v>
      </c>
      <c r="AZ83" s="75">
        <v>7</v>
      </c>
      <c r="BA83" s="75">
        <v>1</v>
      </c>
      <c r="BB83" s="75">
        <v>1</v>
      </c>
      <c r="BC83" s="75" t="s">
        <v>2775</v>
      </c>
      <c r="BD83" s="78" t="str">
        <f>HYPERLINK(".\links\CDD\EEC09558.1-CDD.txt","PLN00035 histone H4")</f>
        <v>PLN00035 histone H4</v>
      </c>
      <c r="BE83" s="79">
        <v>5.0000000000000002E-54</v>
      </c>
      <c r="BF83" s="75">
        <v>100</v>
      </c>
      <c r="BG83" s="75" t="s">
        <v>3273</v>
      </c>
      <c r="BH83" s="75" t="s">
        <v>3274</v>
      </c>
      <c r="BI83" s="75" t="str">
        <f>HYPERLINK(".\links\KOG\EEC09558.1-KOG.txt","CDD:224947 COG2036, HHT1, Histones H3 and H4")</f>
        <v>CDD:224947 COG2036, HHT1, Histones H3 and H4</v>
      </c>
      <c r="BJ83" s="79">
        <v>1E-26</v>
      </c>
      <c r="BK83" s="75">
        <v>92.3</v>
      </c>
      <c r="BL83" s="75" t="s">
        <v>3260</v>
      </c>
      <c r="BM83" s="75" t="s">
        <v>2779</v>
      </c>
      <c r="BN83" s="78" t="str">
        <f>HYPERLINK(".\links\PFAM\EEC09558.1-PFAM.txt","CENP-T_C Centromere kinetochore component CENP-T histone fold")</f>
        <v>CENP-T_C Centromere kinetochore component CENP-T histone fold</v>
      </c>
      <c r="BO83" s="79">
        <v>3.0000000000000001E-6</v>
      </c>
      <c r="BP83" s="75">
        <v>65.7</v>
      </c>
      <c r="BQ83" s="75" t="s">
        <v>3275</v>
      </c>
      <c r="BR83" s="75" t="s">
        <v>2772</v>
      </c>
      <c r="BS83" s="78" t="str">
        <f>HYPERLINK(".\links\SMART\EEC09558.1-SMART.txt","CDD:128694 smart00417, H4, Histone H4")</f>
        <v>CDD:128694 smart00417, H4, Histone H4</v>
      </c>
      <c r="BT83" s="79">
        <v>7E-39</v>
      </c>
      <c r="BU83" s="75">
        <v>98.6</v>
      </c>
      <c r="BV83" s="75" t="s">
        <v>3276</v>
      </c>
      <c r="BW83" s="75" t="s">
        <v>2772</v>
      </c>
      <c r="BX83" s="78" t="str">
        <f>HYPERLINK(".\links\TSF\EEC09558.1-TSF.txt","35-583 35-583, Prich||S|")</f>
        <v>35-583 35-583, Prich||S|</v>
      </c>
      <c r="BY83" s="75">
        <v>5.7000000000000002E-2</v>
      </c>
      <c r="BZ83" s="75">
        <v>9.3000000000000007</v>
      </c>
      <c r="CA83" s="75" t="s">
        <v>3277</v>
      </c>
      <c r="CB83" s="75" t="s">
        <v>3278</v>
      </c>
      <c r="CC83" s="75" t="s">
        <v>2772</v>
      </c>
      <c r="CD83" s="75" t="s">
        <v>2785</v>
      </c>
      <c r="CE83" s="75" t="s">
        <v>3279</v>
      </c>
      <c r="CF83" s="75">
        <f>HYPERLINK(".\links\cluster-b\Ixsc-cement-202225-50SimCLU3.txt", 3)</f>
        <v>3</v>
      </c>
      <c r="CG83" s="75">
        <f>HYPERLINK(".\links\cluster-b\Ixsc-cement-202225-50SimCLTL3.txt", 7)</f>
        <v>7</v>
      </c>
      <c r="CH83" s="75">
        <v>44</v>
      </c>
      <c r="CI83" s="75">
        <v>1</v>
      </c>
      <c r="CJ83" s="75">
        <v>45</v>
      </c>
      <c r="CK83" s="75">
        <v>1</v>
      </c>
      <c r="CL83" s="75">
        <v>49</v>
      </c>
      <c r="CM83" s="75">
        <v>1</v>
      </c>
      <c r="CN83" s="75">
        <v>51</v>
      </c>
      <c r="CO83" s="75">
        <v>1</v>
      </c>
      <c r="CP83" s="75">
        <v>52</v>
      </c>
      <c r="CQ83" s="75">
        <v>1</v>
      </c>
      <c r="CR83" s="75">
        <v>53</v>
      </c>
      <c r="CS83" s="75">
        <v>1</v>
      </c>
      <c r="CT83" s="75">
        <v>57</v>
      </c>
      <c r="CU83" s="75">
        <v>1</v>
      </c>
      <c r="CV83" s="75">
        <v>59</v>
      </c>
      <c r="CW83" s="75">
        <v>1</v>
      </c>
      <c r="CX83" s="75">
        <v>63</v>
      </c>
      <c r="CY83" s="75">
        <v>1</v>
      </c>
      <c r="CZ83" s="75">
        <v>65</v>
      </c>
      <c r="DA83" s="75">
        <v>1</v>
      </c>
      <c r="DB83" s="75">
        <v>69</v>
      </c>
      <c r="DC83" s="75">
        <v>1</v>
      </c>
      <c r="DD83" s="75">
        <v>72</v>
      </c>
      <c r="DE83" s="75">
        <v>1</v>
      </c>
      <c r="DF83" s="75">
        <v>74</v>
      </c>
      <c r="DG83" s="75">
        <v>1</v>
      </c>
      <c r="DH83" s="75">
        <v>75</v>
      </c>
      <c r="DI83" s="75">
        <v>1</v>
      </c>
      <c r="DJ83" s="75" t="s">
        <v>233</v>
      </c>
      <c r="DK83" s="75" t="str">
        <f>HYPERLINK(".\links\AAM-CEMENT-2018\EEC09558.1-AAM-CEMENT-2018.txt","Extracted CDS")</f>
        <v>Extracted CDS</v>
      </c>
      <c r="DL83" s="75" t="str">
        <f>HYPERLINK("http://www.ncbi.nlm.nih.gov/sutils/blink.cgi?pid=Aam-978","7E-71")</f>
        <v>7E-71</v>
      </c>
      <c r="DM83" s="75" t="str">
        <f>HYPERLINK("http://www.ncbi.nlm.nih.gov/protein/Aam-978","Aam-978")</f>
        <v>Aam-978</v>
      </c>
      <c r="DN83" s="75">
        <v>200</v>
      </c>
      <c r="DO83" s="75">
        <v>103</v>
      </c>
      <c r="DP83" s="75">
        <v>109</v>
      </c>
      <c r="DQ83" s="75">
        <v>100</v>
      </c>
      <c r="DR83" s="75">
        <v>100</v>
      </c>
      <c r="DS83" s="75">
        <v>94</v>
      </c>
      <c r="DT83" s="75">
        <v>0</v>
      </c>
      <c r="DU83" s="75">
        <v>0</v>
      </c>
      <c r="DV83" s="75">
        <v>7</v>
      </c>
      <c r="DW83" s="75">
        <v>1</v>
      </c>
      <c r="DX83" s="75">
        <v>1</v>
      </c>
      <c r="DY83" s="75" t="s">
        <v>2775</v>
      </c>
      <c r="DZ83" s="75" t="str">
        <f>HYPERLINK(".\links\CDD\EEC09558.1-CDD.txt","PLN00035 histone H4")</f>
        <v>PLN00035 histone H4</v>
      </c>
      <c r="EA83" s="79">
        <v>5.0000000000000002E-54</v>
      </c>
      <c r="EB83" s="75">
        <v>100</v>
      </c>
      <c r="EC83" s="75" t="s">
        <v>3273</v>
      </c>
      <c r="ED83" s="75" t="s">
        <v>3274</v>
      </c>
      <c r="EE83" s="75" t="str">
        <f>HYPERLINK(".\links\KOG\EEC09558.1-KOG.txt","CDD:224947 COG2036, HHT1, Histones H3 and H4")</f>
        <v>CDD:224947 COG2036, HHT1, Histones H3 and H4</v>
      </c>
      <c r="EF83" s="79">
        <v>1E-26</v>
      </c>
      <c r="EG83" s="75">
        <v>92.3</v>
      </c>
      <c r="EH83" s="75" t="s">
        <v>3260</v>
      </c>
      <c r="EI83" s="75" t="s">
        <v>2779</v>
      </c>
      <c r="EJ83" s="75" t="str">
        <f>HYPERLINK(".\links\PFAM\EEC09558.1-PFAM.txt","CENP-T_C Centromere kinetochore component CENP-T histone fold")</f>
        <v>CENP-T_C Centromere kinetochore component CENP-T histone fold</v>
      </c>
      <c r="EK83" s="79">
        <v>3.0000000000000001E-6</v>
      </c>
      <c r="EL83" s="75">
        <v>65.7</v>
      </c>
      <c r="EM83" s="75" t="s">
        <v>3275</v>
      </c>
      <c r="EN83" s="75" t="s">
        <v>2772</v>
      </c>
      <c r="EO83" s="75" t="str">
        <f>HYPERLINK(".\links\SMART\EEC09558.1-SMART.txt","CDD:128694 smart00417, H4, Histone H4")</f>
        <v>CDD:128694 smart00417, H4, Histone H4</v>
      </c>
      <c r="EP83" s="79">
        <v>7E-39</v>
      </c>
      <c r="EQ83" s="75">
        <v>98.6</v>
      </c>
      <c r="ER83" s="75" t="s">
        <v>3276</v>
      </c>
      <c r="ES83" s="75" t="s">
        <v>2772</v>
      </c>
      <c r="ET83" s="75" t="str">
        <f>HYPERLINK(".\links\TSF\EEC09558.1-TSF.txt","35-583 35-583, Prich||S|")</f>
        <v>35-583 35-583, Prich||S|</v>
      </c>
      <c r="EU83" s="75">
        <v>5.7000000000000002E-2</v>
      </c>
      <c r="EV83" s="75">
        <v>9.3000000000000007</v>
      </c>
      <c r="EW83" s="75" t="s">
        <v>3277</v>
      </c>
      <c r="EX83" s="75" t="s">
        <v>3278</v>
      </c>
      <c r="EY83" s="75" t="s">
        <v>2772</v>
      </c>
      <c r="EZ83" s="75" t="s">
        <v>2785</v>
      </c>
      <c r="FA83" s="75" t="s">
        <v>3279</v>
      </c>
    </row>
    <row r="84" spans="1:157" x14ac:dyDescent="0.2">
      <c r="A84" s="75" t="str">
        <f>HYPERLINK(".\links\PEP\EEC09556.1-PEP.txt","EEC09556.1")</f>
        <v>EEC09556.1</v>
      </c>
      <c r="B84" s="75" t="s">
        <v>2768</v>
      </c>
      <c r="C84" s="75">
        <v>124</v>
      </c>
      <c r="D84" s="75" t="s">
        <v>3280</v>
      </c>
      <c r="E84" s="75" t="s">
        <v>271</v>
      </c>
      <c r="F84" s="75" t="s">
        <v>2771</v>
      </c>
      <c r="G84" s="75" t="str">
        <f>HYPERLINK(".\links\Sigp\EEC09556.1-SigP.txt","CYT")</f>
        <v>CYT</v>
      </c>
      <c r="H84" s="75" t="s">
        <v>2772</v>
      </c>
      <c r="I84" s="75">
        <v>13.83</v>
      </c>
      <c r="J84" s="75">
        <v>10.52</v>
      </c>
      <c r="K84" s="75" t="s">
        <v>2772</v>
      </c>
      <c r="L84" s="75" t="s">
        <v>2772</v>
      </c>
      <c r="M84" s="75" t="str">
        <f>HYPERLINK(".\links\netoglyc\EEC09556.1-netoglyc.txt","3")</f>
        <v>3</v>
      </c>
      <c r="N84" s="75" t="s">
        <v>2817</v>
      </c>
      <c r="O84" s="75">
        <v>124</v>
      </c>
      <c r="P84" s="75">
        <v>0</v>
      </c>
      <c r="Q84" s="75" t="s">
        <v>2772</v>
      </c>
      <c r="R84" s="75" t="s">
        <v>2772</v>
      </c>
      <c r="S84" s="75" t="s">
        <v>2772</v>
      </c>
      <c r="T84" s="75" t="s">
        <v>2772</v>
      </c>
      <c r="U84" s="75" t="s">
        <v>2772</v>
      </c>
      <c r="V84" s="75" t="s">
        <v>2772</v>
      </c>
      <c r="W84" s="75">
        <v>17.3</v>
      </c>
      <c r="X84" s="75">
        <v>3.9</v>
      </c>
      <c r="Y84" s="75">
        <v>3.9</v>
      </c>
      <c r="Z84" s="75" t="s">
        <v>2774</v>
      </c>
      <c r="AA84" s="77">
        <v>8.0645161290322598</v>
      </c>
      <c r="AB84" s="75">
        <v>0.42</v>
      </c>
      <c r="AD84" s="75">
        <v>0</v>
      </c>
      <c r="AE84" s="75" t="s">
        <v>2772</v>
      </c>
      <c r="AF84" s="75" t="s">
        <v>2772</v>
      </c>
      <c r="AG84" s="75" t="s">
        <v>2772</v>
      </c>
      <c r="AH84" s="75">
        <v>1</v>
      </c>
      <c r="AI84" s="75" t="s">
        <v>2772</v>
      </c>
      <c r="AJ84" s="75">
        <v>1</v>
      </c>
      <c r="AK84" s="75" t="s">
        <v>2772</v>
      </c>
      <c r="AL84" s="75" t="s">
        <v>2772</v>
      </c>
      <c r="AM84" s="75" t="s">
        <v>2772</v>
      </c>
      <c r="AN84" s="75" t="s">
        <v>2772</v>
      </c>
      <c r="AO84" s="78" t="str">
        <f>HYPERLINK(".\links\AAM-CEMENT-2018\EEC09556.1-AAM-CEMENT-2018.txt","Extracted CDS")</f>
        <v>Extracted CDS</v>
      </c>
      <c r="AP84" s="75" t="str">
        <f>HYPERLINK("http://www.ncbi.nlm.nih.gov/sutils/blink.cgi?pid=Aam-175834","9E-90")</f>
        <v>9E-90</v>
      </c>
      <c r="AQ84" s="75" t="str">
        <f>HYPERLINK("http://www.ncbi.nlm.nih.gov/protein/Aam-175834","Aam-175834")</f>
        <v>Aam-175834</v>
      </c>
      <c r="AR84" s="75">
        <v>249</v>
      </c>
      <c r="AS84" s="75">
        <v>124</v>
      </c>
      <c r="AT84" s="75">
        <v>124</v>
      </c>
      <c r="AU84" s="75">
        <v>99</v>
      </c>
      <c r="AV84" s="75">
        <v>100</v>
      </c>
      <c r="AW84" s="75">
        <v>100</v>
      </c>
      <c r="AX84" s="75">
        <v>1</v>
      </c>
      <c r="AY84" s="75">
        <v>0</v>
      </c>
      <c r="AZ84" s="75">
        <v>1</v>
      </c>
      <c r="BA84" s="75">
        <v>1</v>
      </c>
      <c r="BB84" s="75">
        <v>1</v>
      </c>
      <c r="BC84" s="75" t="s">
        <v>2775</v>
      </c>
      <c r="BD84" s="78" t="str">
        <f>HYPERLINK(".\links\CDD\EEC09556.1-CDD.txt","H2B Histone H2B")</f>
        <v>H2B Histone H2B</v>
      </c>
      <c r="BE84" s="79">
        <v>6E-52</v>
      </c>
      <c r="BF84" s="75">
        <v>91.8</v>
      </c>
      <c r="BG84" s="75" t="s">
        <v>3281</v>
      </c>
      <c r="BH84" s="75" t="s">
        <v>3282</v>
      </c>
      <c r="BI84" s="75" t="str">
        <f>HYPERLINK(".\links\KOG\EEC09556.1-KOG.txt","CDD:224947 COG2036, HHT1, Histones H3 and H4")</f>
        <v>CDD:224947 COG2036, HHT1, Histones H3 and H4</v>
      </c>
      <c r="BJ84" s="75">
        <v>4.0000000000000001E-3</v>
      </c>
      <c r="BK84" s="75">
        <v>56</v>
      </c>
      <c r="BL84" s="75" t="s">
        <v>3260</v>
      </c>
      <c r="BM84" s="75" t="s">
        <v>2779</v>
      </c>
      <c r="BN84" s="78" t="str">
        <f>HYPERLINK(".\links\PFAM\EEC09556.1-PFAM.txt","Histone Core histone H2A/H2B/H3/H4")</f>
        <v>Histone Core histone H2A/H2B/H3/H4</v>
      </c>
      <c r="BO84" s="79">
        <v>2.0000000000000001E-17</v>
      </c>
      <c r="BP84" s="75">
        <v>55.9</v>
      </c>
      <c r="BQ84" s="75" t="s">
        <v>3261</v>
      </c>
      <c r="BR84" s="75" t="s">
        <v>2772</v>
      </c>
      <c r="BS84" s="78" t="str">
        <f>HYPERLINK(".\links\SMART\EEC09556.1-SMART.txt","CDD:197718 smart00427, H2B, Histone H2B")</f>
        <v>CDD:197718 smart00427, H2B, Histone H2B</v>
      </c>
      <c r="BT84" s="79">
        <v>6.0000000000000002E-54</v>
      </c>
      <c r="BU84" s="75">
        <v>91.8</v>
      </c>
      <c r="BV84" s="75" t="s">
        <v>3281</v>
      </c>
      <c r="BW84" s="75" t="s">
        <v>2772</v>
      </c>
      <c r="BX84" s="78" t="str">
        <f>HYPERLINK(".\links\TSF\EEC09556.1-TSF.txt","30-202 30-202, Glycosyltransferase|glycosyltransferase|H|E")</f>
        <v>30-202 30-202, Glycosyltransferase|glycosyltransferase|H|E</v>
      </c>
      <c r="BY84" s="75">
        <v>5.7</v>
      </c>
      <c r="BZ84" s="75">
        <v>7.9</v>
      </c>
      <c r="CA84" s="75" t="s">
        <v>3283</v>
      </c>
      <c r="CB84" s="75" t="s">
        <v>3284</v>
      </c>
      <c r="CC84" s="75" t="s">
        <v>3285</v>
      </c>
      <c r="CD84" s="75" t="s">
        <v>2808</v>
      </c>
      <c r="CE84" s="75" t="s">
        <v>3286</v>
      </c>
      <c r="CF84" s="75">
        <f>HYPERLINK(".\links\cluster-b\Ixsc-cement-202225-50SimCLU3.txt", 3)</f>
        <v>3</v>
      </c>
      <c r="CG84" s="75">
        <f>HYPERLINK(".\links\cluster-b\Ixsc-cement-202225-50SimCLTL3.txt", 7)</f>
        <v>7</v>
      </c>
      <c r="CH84" s="75">
        <v>43</v>
      </c>
      <c r="CI84" s="75">
        <v>1</v>
      </c>
      <c r="CJ84" s="75">
        <v>44</v>
      </c>
      <c r="CK84" s="75">
        <v>1</v>
      </c>
      <c r="CL84" s="75">
        <v>48</v>
      </c>
      <c r="CM84" s="75">
        <v>1</v>
      </c>
      <c r="CN84" s="75">
        <v>50</v>
      </c>
      <c r="CO84" s="75">
        <v>1</v>
      </c>
      <c r="CP84" s="75">
        <v>51</v>
      </c>
      <c r="CQ84" s="75">
        <v>1</v>
      </c>
      <c r="CR84" s="75">
        <v>52</v>
      </c>
      <c r="CS84" s="75">
        <v>1</v>
      </c>
      <c r="CT84" s="75">
        <v>56</v>
      </c>
      <c r="CU84" s="75">
        <v>1</v>
      </c>
      <c r="CV84" s="75">
        <v>58</v>
      </c>
      <c r="CW84" s="75">
        <v>1</v>
      </c>
      <c r="CX84" s="75">
        <v>62</v>
      </c>
      <c r="CY84" s="75">
        <v>1</v>
      </c>
      <c r="CZ84" s="75">
        <v>64</v>
      </c>
      <c r="DA84" s="75">
        <v>1</v>
      </c>
      <c r="DB84" s="75">
        <v>68</v>
      </c>
      <c r="DC84" s="75">
        <v>1</v>
      </c>
      <c r="DD84" s="75">
        <v>71</v>
      </c>
      <c r="DE84" s="75">
        <v>1</v>
      </c>
      <c r="DF84" s="75">
        <v>72</v>
      </c>
      <c r="DG84" s="75">
        <v>1</v>
      </c>
      <c r="DH84" s="75">
        <v>73</v>
      </c>
      <c r="DI84" s="75">
        <v>1</v>
      </c>
      <c r="DJ84" s="75" t="s">
        <v>231</v>
      </c>
      <c r="DK84" s="75" t="str">
        <f>HYPERLINK(".\links\AAM-CEMENT-2018\EEC09556.1-AAM-CEMENT-2018.txt","Extracted CDS")</f>
        <v>Extracted CDS</v>
      </c>
      <c r="DL84" s="75" t="str">
        <f>HYPERLINK("http://www.ncbi.nlm.nih.gov/sutils/blink.cgi?pid=Aam-175834","9E-90")</f>
        <v>9E-90</v>
      </c>
      <c r="DM84" s="75" t="str">
        <f>HYPERLINK("http://www.ncbi.nlm.nih.gov/protein/Aam-175834","Aam-175834")</f>
        <v>Aam-175834</v>
      </c>
      <c r="DN84" s="75">
        <v>249</v>
      </c>
      <c r="DO84" s="75">
        <v>124</v>
      </c>
      <c r="DP84" s="75">
        <v>124</v>
      </c>
      <c r="DQ84" s="75">
        <v>99</v>
      </c>
      <c r="DR84" s="75">
        <v>100</v>
      </c>
      <c r="DS84" s="75">
        <v>100</v>
      </c>
      <c r="DT84" s="75">
        <v>1</v>
      </c>
      <c r="DU84" s="75">
        <v>0</v>
      </c>
      <c r="DV84" s="75">
        <v>1</v>
      </c>
      <c r="DW84" s="75">
        <v>1</v>
      </c>
      <c r="DX84" s="75">
        <v>1</v>
      </c>
      <c r="DY84" s="75" t="s">
        <v>2775</v>
      </c>
      <c r="DZ84" s="75" t="str">
        <f>HYPERLINK(".\links\CDD\EEC09556.1-CDD.txt","H2B Histone H2B")</f>
        <v>H2B Histone H2B</v>
      </c>
      <c r="EA84" s="79">
        <v>6E-52</v>
      </c>
      <c r="EB84" s="75">
        <v>91.8</v>
      </c>
      <c r="EC84" s="75" t="s">
        <v>3281</v>
      </c>
      <c r="ED84" s="75" t="s">
        <v>3282</v>
      </c>
      <c r="EE84" s="75" t="str">
        <f>HYPERLINK(".\links\KOG\EEC09556.1-KOG.txt","CDD:224947 COG2036, HHT1, Histones H3 and H4")</f>
        <v>CDD:224947 COG2036, HHT1, Histones H3 and H4</v>
      </c>
      <c r="EF84" s="75">
        <v>4.0000000000000001E-3</v>
      </c>
      <c r="EG84" s="75">
        <v>56</v>
      </c>
      <c r="EH84" s="75" t="s">
        <v>3260</v>
      </c>
      <c r="EI84" s="75" t="s">
        <v>2779</v>
      </c>
      <c r="EJ84" s="75" t="str">
        <f>HYPERLINK(".\links\PFAM\EEC09556.1-PFAM.txt","Histone Core histone H2A/H2B/H3/H4")</f>
        <v>Histone Core histone H2A/H2B/H3/H4</v>
      </c>
      <c r="EK84" s="79">
        <v>2.0000000000000001E-17</v>
      </c>
      <c r="EL84" s="75">
        <v>55.9</v>
      </c>
      <c r="EM84" s="75" t="s">
        <v>3261</v>
      </c>
      <c r="EN84" s="75" t="s">
        <v>2772</v>
      </c>
      <c r="EO84" s="75" t="str">
        <f>HYPERLINK(".\links\SMART\EEC09556.1-SMART.txt","CDD:197718 smart00427, H2B, Histone H2B")</f>
        <v>CDD:197718 smart00427, H2B, Histone H2B</v>
      </c>
      <c r="EP84" s="79">
        <v>6.0000000000000002E-54</v>
      </c>
      <c r="EQ84" s="75">
        <v>91.8</v>
      </c>
      <c r="ER84" s="75" t="s">
        <v>3281</v>
      </c>
      <c r="ES84" s="75" t="s">
        <v>2772</v>
      </c>
      <c r="ET84" s="75" t="str">
        <f>HYPERLINK(".\links\TSF\EEC09556.1-TSF.txt","30-202 30-202, Glycosyltransferase|glycosyltransferase|H|E")</f>
        <v>30-202 30-202, Glycosyltransferase|glycosyltransferase|H|E</v>
      </c>
      <c r="EU84" s="75">
        <v>5.7</v>
      </c>
      <c r="EV84" s="75">
        <v>7.9</v>
      </c>
      <c r="EW84" s="75" t="s">
        <v>3283</v>
      </c>
      <c r="EX84" s="75" t="s">
        <v>3284</v>
      </c>
      <c r="EY84" s="75" t="s">
        <v>3285</v>
      </c>
      <c r="EZ84" s="75" t="s">
        <v>2808</v>
      </c>
      <c r="FA84" s="75" t="s">
        <v>3286</v>
      </c>
    </row>
    <row r="85" spans="1:157" x14ac:dyDescent="0.2">
      <c r="A85" s="75" t="str">
        <f>HYPERLINK(".\links\PEP\EEC06154.1-PEP.txt","EEC06154.1")</f>
        <v>EEC06154.1</v>
      </c>
      <c r="B85" s="75" t="s">
        <v>2768</v>
      </c>
      <c r="C85" s="75">
        <v>139</v>
      </c>
      <c r="D85" s="75" t="s">
        <v>3262</v>
      </c>
      <c r="E85" s="76" t="s">
        <v>271</v>
      </c>
      <c r="F85" s="75" t="s">
        <v>2771</v>
      </c>
      <c r="G85" s="75" t="str">
        <f>HYPERLINK(".\links\Sigp\EEC06154.1-SigP.txt","CYT")</f>
        <v>CYT</v>
      </c>
      <c r="H85" s="75" t="s">
        <v>2772</v>
      </c>
      <c r="I85" s="75">
        <v>14.717000000000001</v>
      </c>
      <c r="J85" s="75">
        <v>10.75</v>
      </c>
      <c r="K85" s="75" t="s">
        <v>2772</v>
      </c>
      <c r="L85" s="75" t="s">
        <v>2772</v>
      </c>
      <c r="M85" s="75" t="str">
        <f>HYPERLINK(".\links\netoglyc\EEC06154.1-netoglyc.txt","0")</f>
        <v>0</v>
      </c>
      <c r="N85" s="75" t="s">
        <v>3287</v>
      </c>
      <c r="O85" s="75">
        <v>139</v>
      </c>
      <c r="P85" s="75">
        <v>0</v>
      </c>
      <c r="Q85" s="75" t="s">
        <v>2772</v>
      </c>
      <c r="R85" s="75" t="s">
        <v>2772</v>
      </c>
      <c r="S85" s="75" t="s">
        <v>2772</v>
      </c>
      <c r="T85" s="75" t="s">
        <v>2772</v>
      </c>
      <c r="U85" s="75" t="s">
        <v>2772</v>
      </c>
      <c r="V85" s="75" t="s">
        <v>2772</v>
      </c>
      <c r="W85" s="75">
        <v>9.9</v>
      </c>
      <c r="X85" s="75">
        <v>13.4</v>
      </c>
      <c r="Y85" s="75">
        <v>4.2</v>
      </c>
      <c r="Z85" s="75" t="s">
        <v>2774</v>
      </c>
      <c r="AA85" s="77">
        <v>17.985611510791401</v>
      </c>
      <c r="AB85" s="75">
        <v>0.39</v>
      </c>
      <c r="AD85" s="75">
        <v>0</v>
      </c>
      <c r="AE85" s="75" t="s">
        <v>2772</v>
      </c>
      <c r="AF85" s="75" t="s">
        <v>2772</v>
      </c>
      <c r="AG85" s="75" t="s">
        <v>2772</v>
      </c>
      <c r="AH85" s="75" t="s">
        <v>2772</v>
      </c>
      <c r="AI85" s="75">
        <v>4</v>
      </c>
      <c r="AJ85" s="75">
        <v>4</v>
      </c>
      <c r="AK85" s="75" t="s">
        <v>2772</v>
      </c>
      <c r="AL85" s="75" t="s">
        <v>2772</v>
      </c>
      <c r="AM85" s="75" t="s">
        <v>2772</v>
      </c>
      <c r="AN85" s="75" t="s">
        <v>2772</v>
      </c>
      <c r="AO85" s="78" t="str">
        <f>HYPERLINK(".\links\AAM-CEMENT-2018\EEC06154.1-AAM-CEMENT-2018.txt","Extracted CDS")</f>
        <v>Extracted CDS</v>
      </c>
      <c r="AP85" s="75" t="str">
        <f>HYPERLINK("http://www.ncbi.nlm.nih.gov/sutils/blink.cgi?pid=Aam-655","8E-98")</f>
        <v>8E-98</v>
      </c>
      <c r="AQ85" s="75" t="str">
        <f>HYPERLINK("http://www.ncbi.nlm.nih.gov/protein/Aam-655","Aam-655")</f>
        <v>Aam-655</v>
      </c>
      <c r="AR85" s="75">
        <v>271</v>
      </c>
      <c r="AS85" s="75">
        <v>139</v>
      </c>
      <c r="AT85" s="75">
        <v>139</v>
      </c>
      <c r="AU85" s="75">
        <v>98</v>
      </c>
      <c r="AV85" s="75">
        <v>99</v>
      </c>
      <c r="AW85" s="75">
        <v>100</v>
      </c>
      <c r="AX85" s="75">
        <v>2</v>
      </c>
      <c r="AY85" s="75">
        <v>0</v>
      </c>
      <c r="AZ85" s="75">
        <v>1</v>
      </c>
      <c r="BA85" s="75">
        <v>1</v>
      </c>
      <c r="BB85" s="75">
        <v>1</v>
      </c>
      <c r="BC85" s="75" t="s">
        <v>2775</v>
      </c>
      <c r="BD85" s="78" t="str">
        <f>HYPERLINK(".\links\CDD\EEC06154.1-CDD.txt","H2A Histone 2A")</f>
        <v>H2A Histone 2A</v>
      </c>
      <c r="BE85" s="79">
        <v>6.0000000000000003E-70</v>
      </c>
      <c r="BF85" s="75">
        <v>100</v>
      </c>
      <c r="BG85" s="75" t="s">
        <v>3268</v>
      </c>
      <c r="BH85" s="75" t="s">
        <v>3288</v>
      </c>
      <c r="BI85" s="75" t="str">
        <f>HYPERLINK(".\links\KOG\EEC06154.1-KOG.txt","CDD:227587 COG5262, HTA1, Histone H2A")</f>
        <v>CDD:227587 COG5262, HTA1, Histone H2A</v>
      </c>
      <c r="BJ85" s="79">
        <v>2E-55</v>
      </c>
      <c r="BK85" s="75">
        <v>84.1</v>
      </c>
      <c r="BL85" s="75" t="s">
        <v>3266</v>
      </c>
      <c r="BM85" s="75" t="s">
        <v>2779</v>
      </c>
      <c r="BN85" s="78" t="str">
        <f>HYPERLINK(".\links\PFAM\EEC06154.1-PFAM.txt","Histone_H2A_C C-terminus of histone H2A")</f>
        <v>Histone_H2A_C C-terminus of histone H2A</v>
      </c>
      <c r="BO85" s="79">
        <v>6.0000000000000006E-20</v>
      </c>
      <c r="BP85" s="75">
        <v>100</v>
      </c>
      <c r="BQ85" s="75" t="s">
        <v>3267</v>
      </c>
      <c r="BR85" s="75" t="s">
        <v>2772</v>
      </c>
      <c r="BS85" s="78" t="str">
        <f>HYPERLINK(".\links\SMART\EEC06154.1-SMART.txt","CDD:197711 smart00414, H2A, Histone 2A")</f>
        <v>CDD:197711 smart00414, H2A, Histone 2A</v>
      </c>
      <c r="BT85" s="79">
        <v>6.0000000000000003E-72</v>
      </c>
      <c r="BU85" s="75">
        <v>100</v>
      </c>
      <c r="BV85" s="75" t="s">
        <v>3268</v>
      </c>
      <c r="BW85" s="75" t="s">
        <v>2772</v>
      </c>
      <c r="BX85" s="78" t="str">
        <f>HYPERLINK(".\links\TSF\EEC06154.1-TSF.txt","25-98 25-98, SPARC/Kazal||S|PI, GPI")</f>
        <v>25-98 25-98, SPARC/Kazal||S|PI, GPI</v>
      </c>
      <c r="BY85" s="75">
        <v>2.9</v>
      </c>
      <c r="BZ85" s="75">
        <v>5.8</v>
      </c>
      <c r="CA85" s="75" t="s">
        <v>3269</v>
      </c>
      <c r="CB85" s="75" t="s">
        <v>3270</v>
      </c>
      <c r="CC85" s="75" t="s">
        <v>2772</v>
      </c>
      <c r="CD85" s="75" t="s">
        <v>2785</v>
      </c>
      <c r="CE85" s="75" t="s">
        <v>3271</v>
      </c>
      <c r="CF85" s="75">
        <f>HYPERLINK(".\links\cluster-b\Ixsc-cement-202225-50SimCLU3.txt", 3)</f>
        <v>3</v>
      </c>
      <c r="CG85" s="75">
        <f>HYPERLINK(".\links\cluster-b\Ixsc-cement-202225-50SimCLTL3.txt", 7)</f>
        <v>7</v>
      </c>
      <c r="CH85" s="75">
        <f>HYPERLINK(".\links\cluster-b\Ixsc-cement-202230-50SimCLU18.txt", 18)</f>
        <v>18</v>
      </c>
      <c r="CI85" s="75">
        <f>HYPERLINK(".\links\cluster-b\Ixsc-cement-202230-50SimCLTL18.txt", 2)</f>
        <v>2</v>
      </c>
      <c r="CJ85" s="75">
        <f>HYPERLINK(".\links\cluster-b\Ixsc-cement-202235-50SimCLU17.txt", 17)</f>
        <v>17</v>
      </c>
      <c r="CK85" s="75">
        <f>HYPERLINK(".\links\cluster-b\Ixsc-cement-202235-50SimCLTL17.txt", 2)</f>
        <v>2</v>
      </c>
      <c r="CL85" s="75">
        <f>HYPERLINK(".\links\cluster-b\Ixsc-cement-202240-50SimCLU18.txt", 18)</f>
        <v>18</v>
      </c>
      <c r="CM85" s="75">
        <f>HYPERLINK(".\links\cluster-b\Ixsc-cement-202240-50SimCLTL18.txt", 2)</f>
        <v>2</v>
      </c>
      <c r="CN85" s="75">
        <f>HYPERLINK(".\links\cluster-b\Ixsc-cement-202245-50SimCLU17.txt", 17)</f>
        <v>17</v>
      </c>
      <c r="CO85" s="75">
        <f>HYPERLINK(".\links\cluster-b\Ixsc-cement-202245-50SimCLTL17.txt", 2)</f>
        <v>2</v>
      </c>
      <c r="CP85" s="75">
        <f>HYPERLINK(".\links\cluster-b\Ixsc-cement-202250-50SimCLU17.txt", 17)</f>
        <v>17</v>
      </c>
      <c r="CQ85" s="75">
        <f>HYPERLINK(".\links\cluster-b\Ixsc-cement-202250-50SimCLTL17.txt", 2)</f>
        <v>2</v>
      </c>
      <c r="CR85" s="75">
        <f>HYPERLINK(".\links\cluster-b\Ixsc-cement-202255-50SimCLU18.txt", 18)</f>
        <v>18</v>
      </c>
      <c r="CS85" s="75">
        <f>HYPERLINK(".\links\cluster-b\Ixsc-cement-202255-50SimCLTL18.txt", 2)</f>
        <v>2</v>
      </c>
      <c r="CT85" s="75">
        <f>HYPERLINK(".\links\cluster-b\Ixsc-cement-202260-50SimCLU19.txt", 19)</f>
        <v>19</v>
      </c>
      <c r="CU85" s="75">
        <f>HYPERLINK(".\links\cluster-b\Ixsc-cement-202260-50SimCLTL19.txt", 2)</f>
        <v>2</v>
      </c>
      <c r="CV85" s="75">
        <f>HYPERLINK(".\links\cluster-b\Ixsc-cement-202265-50SimCLU17.txt", 17)</f>
        <v>17</v>
      </c>
      <c r="CW85" s="75">
        <f>HYPERLINK(".\links\cluster-b\Ixsc-cement-202265-50SimCLTL17.txt", 2)</f>
        <v>2</v>
      </c>
      <c r="CX85" s="75">
        <f>HYPERLINK(".\links\cluster-b\Ixsc-cement-202270-50SimCLU16.txt", 16)</f>
        <v>16</v>
      </c>
      <c r="CY85" s="75">
        <f>HYPERLINK(".\links\cluster-b\Ixsc-cement-202270-50SimCLTL16.txt", 2)</f>
        <v>2</v>
      </c>
      <c r="CZ85" s="75">
        <f>HYPERLINK(".\links\cluster-b\Ixsc-cement-202275-50SimCLU14.txt", 14)</f>
        <v>14</v>
      </c>
      <c r="DA85" s="75">
        <f>HYPERLINK(".\links\cluster-b\Ixsc-cement-202275-50SimCLTL14.txt", 2)</f>
        <v>2</v>
      </c>
      <c r="DB85" s="75">
        <f>HYPERLINK(".\links\cluster-b\Ixsc-cement-202280-50SimCLU12.txt", 12)</f>
        <v>12</v>
      </c>
      <c r="DC85" s="75">
        <f>HYPERLINK(".\links\cluster-b\Ixsc-cement-202280-50SimCLTL12.txt", 2)</f>
        <v>2</v>
      </c>
      <c r="DD85" s="75">
        <f>HYPERLINK(".\links\cluster-b\Ixsc-cement-202285-50SimCLU10.txt", 10)</f>
        <v>10</v>
      </c>
      <c r="DE85" s="75">
        <f>HYPERLINK(".\links\cluster-b\Ixsc-cement-202285-50SimCLTL10.txt", 2)</f>
        <v>2</v>
      </c>
      <c r="DF85" s="75">
        <v>58</v>
      </c>
      <c r="DG85" s="75">
        <v>1</v>
      </c>
      <c r="DH85" s="75">
        <v>59</v>
      </c>
      <c r="DI85" s="75">
        <v>1</v>
      </c>
      <c r="DJ85" s="75" t="s">
        <v>230</v>
      </c>
      <c r="DK85" s="75" t="str">
        <f>HYPERLINK(".\links\AAM-CEMENT-2018\EEC06154.1-AAM-CEMENT-2018.txt","Extracted CDS")</f>
        <v>Extracted CDS</v>
      </c>
      <c r="DL85" s="75" t="str">
        <f>HYPERLINK("http://www.ncbi.nlm.nih.gov/sutils/blink.cgi?pid=Aam-655","8E-98")</f>
        <v>8E-98</v>
      </c>
      <c r="DM85" s="75" t="str">
        <f>HYPERLINK("http://www.ncbi.nlm.nih.gov/protein/Aam-655","Aam-655")</f>
        <v>Aam-655</v>
      </c>
      <c r="DN85" s="75">
        <v>271</v>
      </c>
      <c r="DO85" s="75">
        <v>139</v>
      </c>
      <c r="DP85" s="75">
        <v>139</v>
      </c>
      <c r="DQ85" s="75">
        <v>98</v>
      </c>
      <c r="DR85" s="75">
        <v>99</v>
      </c>
      <c r="DS85" s="75">
        <v>100</v>
      </c>
      <c r="DT85" s="75">
        <v>2</v>
      </c>
      <c r="DU85" s="75">
        <v>0</v>
      </c>
      <c r="DV85" s="75">
        <v>1</v>
      </c>
      <c r="DW85" s="75">
        <v>1</v>
      </c>
      <c r="DX85" s="75">
        <v>1</v>
      </c>
      <c r="DY85" s="75" t="s">
        <v>2775</v>
      </c>
      <c r="DZ85" s="75" t="str">
        <f>HYPERLINK(".\links\CDD\EEC06154.1-CDD.txt","H2A Histone 2A")</f>
        <v>H2A Histone 2A</v>
      </c>
      <c r="EA85" s="79">
        <v>6.0000000000000003E-70</v>
      </c>
      <c r="EB85" s="75">
        <v>100</v>
      </c>
      <c r="EC85" s="75" t="s">
        <v>3268</v>
      </c>
      <c r="ED85" s="75" t="s">
        <v>3288</v>
      </c>
      <c r="EE85" s="75" t="str">
        <f>HYPERLINK(".\links\KOG\EEC06154.1-KOG.txt","CDD:227587 COG5262, HTA1, Histone H2A")</f>
        <v>CDD:227587 COG5262, HTA1, Histone H2A</v>
      </c>
      <c r="EF85" s="79">
        <v>2E-55</v>
      </c>
      <c r="EG85" s="75">
        <v>84.1</v>
      </c>
      <c r="EH85" s="75" t="s">
        <v>3266</v>
      </c>
      <c r="EI85" s="75" t="s">
        <v>2779</v>
      </c>
      <c r="EJ85" s="75" t="str">
        <f>HYPERLINK(".\links\PFAM\EEC06154.1-PFAM.txt","Histone_H2A_C C-terminus of histone H2A")</f>
        <v>Histone_H2A_C C-terminus of histone H2A</v>
      </c>
      <c r="EK85" s="79">
        <v>6.0000000000000006E-20</v>
      </c>
      <c r="EL85" s="75">
        <v>100</v>
      </c>
      <c r="EM85" s="75" t="s">
        <v>3267</v>
      </c>
      <c r="EN85" s="75" t="s">
        <v>2772</v>
      </c>
      <c r="EO85" s="75" t="str">
        <f>HYPERLINK(".\links\SMART\EEC06154.1-SMART.txt","CDD:197711 smart00414, H2A, Histone 2A")</f>
        <v>CDD:197711 smart00414, H2A, Histone 2A</v>
      </c>
      <c r="EP85" s="79">
        <v>6.0000000000000003E-72</v>
      </c>
      <c r="EQ85" s="75">
        <v>100</v>
      </c>
      <c r="ER85" s="75" t="s">
        <v>3268</v>
      </c>
      <c r="ES85" s="75" t="s">
        <v>2772</v>
      </c>
      <c r="ET85" s="75" t="str">
        <f>HYPERLINK(".\links\TSF\EEC06154.1-TSF.txt","25-98 25-98, SPARC/Kazal||S|PI, GPI")</f>
        <v>25-98 25-98, SPARC/Kazal||S|PI, GPI</v>
      </c>
      <c r="EU85" s="75">
        <v>2.9</v>
      </c>
      <c r="EV85" s="75">
        <v>5.8</v>
      </c>
      <c r="EW85" s="75" t="s">
        <v>3269</v>
      </c>
      <c r="EX85" s="75" t="s">
        <v>3270</v>
      </c>
      <c r="EY85" s="75" t="s">
        <v>2772</v>
      </c>
      <c r="EZ85" s="75" t="s">
        <v>2785</v>
      </c>
      <c r="FA85" s="75" t="s">
        <v>3271</v>
      </c>
    </row>
    <row r="86" spans="1:157" x14ac:dyDescent="0.2">
      <c r="A86" s="75" t="str">
        <f>HYPERLINK(".\links\PEP\EEC03614.1-PEP.txt","EEC03614.1")</f>
        <v>EEC03614.1</v>
      </c>
      <c r="B86" s="75" t="s">
        <v>2768</v>
      </c>
      <c r="C86" s="75">
        <v>136</v>
      </c>
      <c r="D86" s="75" t="s">
        <v>3289</v>
      </c>
      <c r="E86" s="76" t="s">
        <v>271</v>
      </c>
      <c r="F86" s="75" t="s">
        <v>2771</v>
      </c>
      <c r="G86" s="75" t="str">
        <f>HYPERLINK(".\links\Sigp\EEC03614.1-SigP.txt","CYT")</f>
        <v>CYT</v>
      </c>
      <c r="H86" s="75" t="s">
        <v>2772</v>
      </c>
      <c r="I86" s="75">
        <v>15.552</v>
      </c>
      <c r="J86" s="75">
        <v>10.98</v>
      </c>
      <c r="K86" s="75" t="s">
        <v>2772</v>
      </c>
      <c r="L86" s="75" t="s">
        <v>2772</v>
      </c>
      <c r="M86" s="75" t="str">
        <f>HYPERLINK(".\links\netoglyc\EEC03614.1-netoglyc.txt","4")</f>
        <v>4</v>
      </c>
      <c r="N86" s="75" t="s">
        <v>3290</v>
      </c>
      <c r="O86" s="75">
        <v>136</v>
      </c>
      <c r="P86" s="75">
        <v>0</v>
      </c>
      <c r="Q86" s="75" t="s">
        <v>2772</v>
      </c>
      <c r="R86" s="75" t="s">
        <v>2772</v>
      </c>
      <c r="S86" s="75" t="s">
        <v>2772</v>
      </c>
      <c r="T86" s="75" t="s">
        <v>2772</v>
      </c>
      <c r="U86" s="75" t="s">
        <v>2772</v>
      </c>
      <c r="V86" s="75" t="s">
        <v>2772</v>
      </c>
      <c r="W86" s="75">
        <v>11.5</v>
      </c>
      <c r="X86" s="75">
        <v>4.3</v>
      </c>
      <c r="Y86" s="75">
        <v>4.3</v>
      </c>
      <c r="Z86" s="75" t="s">
        <v>2774</v>
      </c>
      <c r="AA86" s="77">
        <v>8.8235294117647101</v>
      </c>
      <c r="AB86" s="75">
        <v>0.41</v>
      </c>
      <c r="AD86" s="75">
        <v>3</v>
      </c>
      <c r="AE86" s="75" t="s">
        <v>2772</v>
      </c>
      <c r="AF86" s="75" t="s">
        <v>2772</v>
      </c>
      <c r="AG86" s="75" t="s">
        <v>2772</v>
      </c>
      <c r="AH86" s="75" t="s">
        <v>2772</v>
      </c>
      <c r="AI86" s="75" t="s">
        <v>2772</v>
      </c>
      <c r="AJ86" s="75">
        <v>1</v>
      </c>
      <c r="AK86" s="75" t="s">
        <v>2772</v>
      </c>
      <c r="AL86" s="75" t="s">
        <v>2772</v>
      </c>
      <c r="AM86" s="75" t="s">
        <v>2772</v>
      </c>
      <c r="AN86" s="75" t="s">
        <v>2772</v>
      </c>
      <c r="AO86" s="78" t="str">
        <f>HYPERLINK(".\links\AAM-CEMENT-2018\EEC03614.1-AAM-CEMENT-2018.txt","Extracted CDS")</f>
        <v>Extracted CDS</v>
      </c>
      <c r="AP86" s="75" t="str">
        <f>HYPERLINK("http://www.ncbi.nlm.nih.gov/sutils/blink.cgi?pid=Aam-16932","3E-93")</f>
        <v>3E-93</v>
      </c>
      <c r="AQ86" s="75" t="str">
        <f>HYPERLINK("http://www.ncbi.nlm.nih.gov/protein/Aam-16932","Aam-16932")</f>
        <v>Aam-16932</v>
      </c>
      <c r="AR86" s="75">
        <v>259</v>
      </c>
      <c r="AS86" s="75">
        <v>133</v>
      </c>
      <c r="AT86" s="75">
        <v>133</v>
      </c>
      <c r="AU86" s="75">
        <v>94</v>
      </c>
      <c r="AV86" s="75">
        <v>97</v>
      </c>
      <c r="AW86" s="75">
        <v>100</v>
      </c>
      <c r="AX86" s="75">
        <v>7</v>
      </c>
      <c r="AY86" s="75">
        <v>0</v>
      </c>
      <c r="AZ86" s="75">
        <v>1</v>
      </c>
      <c r="BA86" s="75">
        <v>4</v>
      </c>
      <c r="BB86" s="75">
        <v>1</v>
      </c>
      <c r="BC86" s="75" t="s">
        <v>2775</v>
      </c>
      <c r="BD86" s="78" t="str">
        <f>HYPERLINK(".\links\CDD\EEC03614.1-CDD.txt","PTZ00018 histone H3")</f>
        <v>PTZ00018 histone H3</v>
      </c>
      <c r="BE86" s="79">
        <v>2.0000000000000001E-89</v>
      </c>
      <c r="BF86" s="75">
        <v>100</v>
      </c>
      <c r="BG86" s="75" t="s">
        <v>3258</v>
      </c>
      <c r="BH86" s="75" t="s">
        <v>3291</v>
      </c>
      <c r="BI86" s="75" t="str">
        <f>HYPERLINK(".\links\KOG\EEC03614.1-KOG.txt","CDD:224947 COG2036, HHT1, Histones H3 and H4")</f>
        <v>CDD:224947 COG2036, HHT1, Histones H3 and H4</v>
      </c>
      <c r="BJ86" s="79">
        <v>2.0000000000000002E-30</v>
      </c>
      <c r="BK86" s="75">
        <v>102.2</v>
      </c>
      <c r="BL86" s="75" t="s">
        <v>3260</v>
      </c>
      <c r="BM86" s="75" t="s">
        <v>2779</v>
      </c>
      <c r="BN86" s="78" t="str">
        <f>HYPERLINK(".\links\PFAM\EEC03614.1-PFAM.txt","Histone Core histone H2A/H2B/H3/H4")</f>
        <v>Histone Core histone H2A/H2B/H3/H4</v>
      </c>
      <c r="BO86" s="79">
        <v>5E-53</v>
      </c>
      <c r="BP86" s="75">
        <v>103.9</v>
      </c>
      <c r="BQ86" s="75" t="s">
        <v>3261</v>
      </c>
      <c r="BR86" s="75" t="s">
        <v>2772</v>
      </c>
      <c r="BS86" s="78" t="str">
        <f>HYPERLINK(".\links\SMART\EEC03614.1-SMART.txt","CDD:128705 smart00428, H3, Histone H3")</f>
        <v>CDD:128705 smart00428, H3, Histone H3</v>
      </c>
      <c r="BT86" s="79">
        <v>8.0000000000000003E-62</v>
      </c>
      <c r="BU86" s="75">
        <v>99</v>
      </c>
      <c r="BV86" s="75" t="s">
        <v>3255</v>
      </c>
      <c r="BW86" s="75" t="s">
        <v>2772</v>
      </c>
      <c r="BX86" s="78" t="str">
        <f>HYPERLINK(".\links\TSF\EEC03614.1-TSF.txt","25-441 25-441, TIL||S|PI")</f>
        <v>25-441 25-441, TIL||S|PI</v>
      </c>
      <c r="BY86" s="75">
        <v>0.95</v>
      </c>
      <c r="BZ86" s="75">
        <v>0.7</v>
      </c>
      <c r="CA86" s="75" t="s">
        <v>3292</v>
      </c>
      <c r="CB86" s="75" t="s">
        <v>3293</v>
      </c>
      <c r="CC86" s="75" t="s">
        <v>2772</v>
      </c>
      <c r="CD86" s="75" t="s">
        <v>2785</v>
      </c>
      <c r="CE86" s="75" t="s">
        <v>3294</v>
      </c>
      <c r="CF86" s="75">
        <f>HYPERLINK(".\links\cluster-b\Ixsc-cement-202225-50SimCLU3.txt", 3)</f>
        <v>3</v>
      </c>
      <c r="CG86" s="75">
        <f>HYPERLINK(".\links\cluster-b\Ixsc-cement-202225-50SimCLTL3.txt", 7)</f>
        <v>7</v>
      </c>
      <c r="CH86" s="75">
        <f>HYPERLINK(".\links\cluster-b\Ixsc-cement-202230-50SimCLU17.txt", 17)</f>
        <v>17</v>
      </c>
      <c r="CI86" s="75">
        <f>HYPERLINK(".\links\cluster-b\Ixsc-cement-202230-50SimCLTL17.txt", 2)</f>
        <v>2</v>
      </c>
      <c r="CJ86" s="75">
        <f>HYPERLINK(".\links\cluster-b\Ixsc-cement-202235-50SimCLU16.txt", 16)</f>
        <v>16</v>
      </c>
      <c r="CK86" s="75">
        <f>HYPERLINK(".\links\cluster-b\Ixsc-cement-202235-50SimCLTL16.txt", 2)</f>
        <v>2</v>
      </c>
      <c r="CL86" s="75">
        <f>HYPERLINK(".\links\cluster-b\Ixsc-cement-202240-50SimCLU17.txt", 17)</f>
        <v>17</v>
      </c>
      <c r="CM86" s="75">
        <f>HYPERLINK(".\links\cluster-b\Ixsc-cement-202240-50SimCLTL17.txt", 2)</f>
        <v>2</v>
      </c>
      <c r="CN86" s="75">
        <f>HYPERLINK(".\links\cluster-b\Ixsc-cement-202245-50SimCLU16.txt", 16)</f>
        <v>16</v>
      </c>
      <c r="CO86" s="75">
        <f>HYPERLINK(".\links\cluster-b\Ixsc-cement-202245-50SimCLTL16.txt", 2)</f>
        <v>2</v>
      </c>
      <c r="CP86" s="75">
        <f>HYPERLINK(".\links\cluster-b\Ixsc-cement-202250-50SimCLU16.txt", 16)</f>
        <v>16</v>
      </c>
      <c r="CQ86" s="75">
        <f>HYPERLINK(".\links\cluster-b\Ixsc-cement-202250-50SimCLTL16.txt", 2)</f>
        <v>2</v>
      </c>
      <c r="CR86" s="75">
        <f>HYPERLINK(".\links\cluster-b\Ixsc-cement-202255-50SimCLU17.txt", 17)</f>
        <v>17</v>
      </c>
      <c r="CS86" s="75">
        <f>HYPERLINK(".\links\cluster-b\Ixsc-cement-202255-50SimCLTL17.txt", 2)</f>
        <v>2</v>
      </c>
      <c r="CT86" s="75">
        <f>HYPERLINK(".\links\cluster-b\Ixsc-cement-202260-50SimCLU18.txt", 18)</f>
        <v>18</v>
      </c>
      <c r="CU86" s="75">
        <f>HYPERLINK(".\links\cluster-b\Ixsc-cement-202260-50SimCLTL18.txt", 2)</f>
        <v>2</v>
      </c>
      <c r="CV86" s="75">
        <f>HYPERLINK(".\links\cluster-b\Ixsc-cement-202265-50SimCLU16.txt", 16)</f>
        <v>16</v>
      </c>
      <c r="CW86" s="75">
        <f>HYPERLINK(".\links\cluster-b\Ixsc-cement-202265-50SimCLTL16.txt", 2)</f>
        <v>2</v>
      </c>
      <c r="CX86" s="75">
        <f>HYPERLINK(".\links\cluster-b\Ixsc-cement-202270-50SimCLU15.txt", 15)</f>
        <v>15</v>
      </c>
      <c r="CY86" s="75">
        <f>HYPERLINK(".\links\cluster-b\Ixsc-cement-202270-50SimCLTL15.txt", 2)</f>
        <v>2</v>
      </c>
      <c r="CZ86" s="75">
        <f>HYPERLINK(".\links\cluster-b\Ixsc-cement-202275-50SimCLU13.txt", 13)</f>
        <v>13</v>
      </c>
      <c r="DA86" s="75">
        <f>HYPERLINK(".\links\cluster-b\Ixsc-cement-202275-50SimCLTL13.txt", 2)</f>
        <v>2</v>
      </c>
      <c r="DB86" s="75">
        <f>HYPERLINK(".\links\cluster-b\Ixsc-cement-202280-50SimCLU11.txt", 11)</f>
        <v>11</v>
      </c>
      <c r="DC86" s="75">
        <f>HYPERLINK(".\links\cluster-b\Ixsc-cement-202280-50SimCLTL11.txt", 2)</f>
        <v>2</v>
      </c>
      <c r="DD86" s="75">
        <f>HYPERLINK(".\links\cluster-b\Ixsc-cement-202285-50SimCLU9.txt", 9)</f>
        <v>9</v>
      </c>
      <c r="DE86" s="75">
        <f>HYPERLINK(".\links\cluster-b\Ixsc-cement-202285-50SimCLTL9.txt", 2)</f>
        <v>2</v>
      </c>
      <c r="DF86" s="75">
        <f>HYPERLINK(".\links\cluster-b\Ixsc-cement-202290-50SimCLU9.txt", 9)</f>
        <v>9</v>
      </c>
      <c r="DG86" s="75">
        <f>HYPERLINK(".\links\cluster-b\Ixsc-cement-202290-50SimCLTL9.txt", 2)</f>
        <v>2</v>
      </c>
      <c r="DH86" s="75">
        <f>HYPERLINK(".\links\cluster-b\Ixsc-cement-202295-50SimCLU8.txt", 8)</f>
        <v>8</v>
      </c>
      <c r="DI86" s="75">
        <f>HYPERLINK(".\links\cluster-b\Ixsc-cement-202295-50SimCLTL8.txt", 2)</f>
        <v>2</v>
      </c>
      <c r="DJ86" s="75" t="s">
        <v>158</v>
      </c>
      <c r="DK86" s="75" t="str">
        <f>HYPERLINK(".\links\AAM-CEMENT-2018\EEC03614.1-AAM-CEMENT-2018.txt","Extracted CDS")</f>
        <v>Extracted CDS</v>
      </c>
      <c r="DL86" s="75" t="str">
        <f>HYPERLINK("http://www.ncbi.nlm.nih.gov/sutils/blink.cgi?pid=Aam-16932","3E-93")</f>
        <v>3E-93</v>
      </c>
      <c r="DM86" s="75" t="str">
        <f>HYPERLINK("http://www.ncbi.nlm.nih.gov/protein/Aam-16932","Aam-16932")</f>
        <v>Aam-16932</v>
      </c>
      <c r="DN86" s="75">
        <v>259</v>
      </c>
      <c r="DO86" s="75">
        <v>133</v>
      </c>
      <c r="DP86" s="75">
        <v>133</v>
      </c>
      <c r="DQ86" s="75">
        <v>94</v>
      </c>
      <c r="DR86" s="75">
        <v>97</v>
      </c>
      <c r="DS86" s="75">
        <v>100</v>
      </c>
      <c r="DT86" s="75">
        <v>7</v>
      </c>
      <c r="DU86" s="75">
        <v>0</v>
      </c>
      <c r="DV86" s="75">
        <v>1</v>
      </c>
      <c r="DW86" s="75">
        <v>4</v>
      </c>
      <c r="DX86" s="75">
        <v>1</v>
      </c>
      <c r="DY86" s="75" t="s">
        <v>2775</v>
      </c>
      <c r="DZ86" s="75" t="str">
        <f>HYPERLINK(".\links\CDD\EEC03614.1-CDD.txt","PTZ00018 histone H3")</f>
        <v>PTZ00018 histone H3</v>
      </c>
      <c r="EA86" s="79">
        <v>2.0000000000000001E-89</v>
      </c>
      <c r="EB86" s="75">
        <v>100</v>
      </c>
      <c r="EC86" s="75" t="s">
        <v>3258</v>
      </c>
      <c r="ED86" s="75" t="s">
        <v>3291</v>
      </c>
      <c r="EE86" s="75" t="str">
        <f>HYPERLINK(".\links\KOG\EEC03614.1-KOG.txt","CDD:224947 COG2036, HHT1, Histones H3 and H4")</f>
        <v>CDD:224947 COG2036, HHT1, Histones H3 and H4</v>
      </c>
      <c r="EF86" s="79">
        <v>2.0000000000000002E-30</v>
      </c>
      <c r="EG86" s="75">
        <v>102.2</v>
      </c>
      <c r="EH86" s="75" t="s">
        <v>3260</v>
      </c>
      <c r="EI86" s="75" t="s">
        <v>2779</v>
      </c>
      <c r="EJ86" s="75" t="str">
        <f>HYPERLINK(".\links\PFAM\EEC03614.1-PFAM.txt","Histone Core histone H2A/H2B/H3/H4")</f>
        <v>Histone Core histone H2A/H2B/H3/H4</v>
      </c>
      <c r="EK86" s="79">
        <v>5E-53</v>
      </c>
      <c r="EL86" s="75">
        <v>103.9</v>
      </c>
      <c r="EM86" s="75" t="s">
        <v>3261</v>
      </c>
      <c r="EN86" s="75" t="s">
        <v>2772</v>
      </c>
      <c r="EO86" s="75" t="str">
        <f>HYPERLINK(".\links\SMART\EEC03614.1-SMART.txt","CDD:128705 smart00428, H3, Histone H3")</f>
        <v>CDD:128705 smart00428, H3, Histone H3</v>
      </c>
      <c r="EP86" s="79">
        <v>8.0000000000000003E-62</v>
      </c>
      <c r="EQ86" s="75">
        <v>99</v>
      </c>
      <c r="ER86" s="75" t="s">
        <v>3255</v>
      </c>
      <c r="ES86" s="75" t="s">
        <v>2772</v>
      </c>
      <c r="ET86" s="75" t="str">
        <f>HYPERLINK(".\links\TSF\EEC03614.1-TSF.txt","25-441 25-441, TIL||S|PI")</f>
        <v>25-441 25-441, TIL||S|PI</v>
      </c>
      <c r="EU86" s="75">
        <v>0.95</v>
      </c>
      <c r="EV86" s="75">
        <v>0.7</v>
      </c>
      <c r="EW86" s="75" t="s">
        <v>3292</v>
      </c>
      <c r="EX86" s="75" t="s">
        <v>3293</v>
      </c>
      <c r="EY86" s="75" t="s">
        <v>2772</v>
      </c>
      <c r="EZ86" s="75" t="s">
        <v>2785</v>
      </c>
      <c r="FA86" s="75" t="s">
        <v>3294</v>
      </c>
    </row>
    <row r="87" spans="1:157" x14ac:dyDescent="0.2">
      <c r="A87" s="75" t="str">
        <f>HYPERLINK(".\links\PEP\EEC06563.1-PEP.txt","EEC06563.1")</f>
        <v>EEC06563.1</v>
      </c>
      <c r="B87" s="75" t="s">
        <v>2574</v>
      </c>
      <c r="C87" s="75">
        <v>446</v>
      </c>
      <c r="D87" s="75" t="s">
        <v>3295</v>
      </c>
      <c r="E87" s="76" t="s">
        <v>3296</v>
      </c>
      <c r="F87" s="75" t="s">
        <v>2771</v>
      </c>
      <c r="G87" s="75" t="str">
        <f>HYPERLINK(".\links\Sigp\EEC06563.1-SigP.txt","CYT")</f>
        <v>CYT</v>
      </c>
      <c r="H87" s="75" t="s">
        <v>2772</v>
      </c>
      <c r="I87" s="75">
        <v>50.319000000000003</v>
      </c>
      <c r="J87" s="75">
        <v>5.32</v>
      </c>
      <c r="K87" s="75" t="s">
        <v>2772</v>
      </c>
      <c r="L87" s="75" t="s">
        <v>2772</v>
      </c>
      <c r="M87" s="75" t="str">
        <f>HYPERLINK(".\links\netoglyc\EEC06563.1-netoglyc.txt","0")</f>
        <v>0</v>
      </c>
      <c r="N87" s="75" t="s">
        <v>3297</v>
      </c>
      <c r="O87" s="75">
        <v>446</v>
      </c>
      <c r="P87" s="75">
        <v>0</v>
      </c>
      <c r="Q87" s="75" t="s">
        <v>2772</v>
      </c>
      <c r="R87" s="75" t="s">
        <v>2772</v>
      </c>
      <c r="S87" s="75" t="s">
        <v>2772</v>
      </c>
      <c r="T87" s="75" t="s">
        <v>2772</v>
      </c>
      <c r="U87" s="75" t="s">
        <v>2772</v>
      </c>
      <c r="V87" s="75" t="s">
        <v>2772</v>
      </c>
      <c r="W87" s="75">
        <v>11.9</v>
      </c>
      <c r="X87" s="75">
        <v>7.5</v>
      </c>
      <c r="Y87" s="75">
        <v>4</v>
      </c>
      <c r="Z87" s="75" t="s">
        <v>2774</v>
      </c>
      <c r="AA87" s="77">
        <v>11.6591928251121</v>
      </c>
      <c r="AB87" s="75">
        <v>0.21</v>
      </c>
      <c r="AD87" s="75">
        <v>8</v>
      </c>
      <c r="AE87" s="75" t="str">
        <f>HYPERLINK(".\links\pep\EEC06563.1-sulf.txt","2")</f>
        <v>2</v>
      </c>
      <c r="AF87" s="75" t="str">
        <f>HYPERLINK(".\links\pep\EEC06563.1-tyr-sulf.txt","Fasta with y")</f>
        <v>Fasta with y</v>
      </c>
      <c r="AG87" s="75" t="s">
        <v>2772</v>
      </c>
      <c r="AH87" s="75" t="s">
        <v>2772</v>
      </c>
      <c r="AI87" s="75">
        <v>1</v>
      </c>
      <c r="AJ87" s="75">
        <v>2</v>
      </c>
      <c r="AK87" s="75" t="s">
        <v>2772</v>
      </c>
      <c r="AL87" s="75" t="s">
        <v>2772</v>
      </c>
      <c r="AM87" s="75" t="s">
        <v>2772</v>
      </c>
      <c r="AN87" s="75" t="s">
        <v>2772</v>
      </c>
      <c r="AO87" s="78" t="str">
        <f>HYPERLINK(".\links\AAM-CEMENT-2018\EEC06563.1-AAM-CEMENT-2018.txt","Extracted CDS")</f>
        <v>Extracted CDS</v>
      </c>
      <c r="AP87" s="75" t="str">
        <f>HYPERLINK("http://www.ncbi.nlm.nih.gov/sutils/blink.cgi?pid=Aam-989","0.0")</f>
        <v>0.0</v>
      </c>
      <c r="AQ87" s="75" t="str">
        <f>HYPERLINK("http://www.ncbi.nlm.nih.gov/protein/Aam-989","Aam-989")</f>
        <v>Aam-989</v>
      </c>
      <c r="AR87" s="75">
        <v>814</v>
      </c>
      <c r="AS87" s="75">
        <v>445</v>
      </c>
      <c r="AT87" s="75">
        <v>443</v>
      </c>
      <c r="AU87" s="75">
        <v>87</v>
      </c>
      <c r="AV87" s="75">
        <v>94</v>
      </c>
      <c r="AW87" s="75">
        <v>100</v>
      </c>
      <c r="AX87" s="75">
        <v>57</v>
      </c>
      <c r="AY87" s="75">
        <v>2</v>
      </c>
      <c r="AZ87" s="75">
        <v>1</v>
      </c>
      <c r="BA87" s="75">
        <v>2</v>
      </c>
      <c r="BB87" s="75">
        <v>1</v>
      </c>
      <c r="BC87" s="75" t="s">
        <v>2775</v>
      </c>
      <c r="BD87" s="78" t="str">
        <f>HYPERLINK(".\links\CDD\EEC06563.1-CDD.txt","GDI GDP dissociation inhibitor")</f>
        <v>GDI GDP dissociation inhibitor</v>
      </c>
      <c r="BE87" s="75">
        <v>0</v>
      </c>
      <c r="BF87" s="75">
        <v>100.5</v>
      </c>
      <c r="BG87" s="75" t="s">
        <v>3298</v>
      </c>
      <c r="BH87" s="75" t="s">
        <v>3299</v>
      </c>
      <c r="BI87" s="75" t="str">
        <f>HYPERLINK(".\links\KOG\EEC06563.1-KOG.txt","CDD:227377 COG5044, MRS6, RAB proteins geranylgeranyltransferase component A")</f>
        <v>CDD:227377 COG5044, MRS6, RAB proteins geranylgeranyltransferase component A</v>
      </c>
      <c r="BJ87" s="79">
        <v>1.9999999999999998E-145</v>
      </c>
      <c r="BK87" s="75">
        <v>101.2</v>
      </c>
      <c r="BL87" s="75" t="s">
        <v>3300</v>
      </c>
      <c r="BM87" s="75" t="s">
        <v>2779</v>
      </c>
      <c r="BN87" s="78" t="str">
        <f>HYPERLINK(".\links\PFAM\EEC06563.1-PFAM.txt","GDI GDP dissociation inhibitor")</f>
        <v>GDI GDP dissociation inhibitor</v>
      </c>
      <c r="BO87" s="75">
        <v>0</v>
      </c>
      <c r="BP87" s="75">
        <v>100.5</v>
      </c>
      <c r="BQ87" s="75" t="s">
        <v>3298</v>
      </c>
      <c r="BR87" s="75" t="s">
        <v>2772</v>
      </c>
      <c r="BS87" s="78" t="str">
        <f>HYPERLINK(".\links\SMART\EEC06563.1-SMART.txt","CDD:214575 smart00234, START, in StAR and phosphatidylcholine transfer protein")</f>
        <v>CDD:214575 smart00234, START, in StAR and phosphatidylcholine transfer protein</v>
      </c>
      <c r="BT87" s="75">
        <v>2.9000000000000001E-2</v>
      </c>
      <c r="BU87" s="75">
        <v>15.1</v>
      </c>
      <c r="BV87" s="75" t="s">
        <v>3301</v>
      </c>
      <c r="BW87" s="75" t="s">
        <v>2772</v>
      </c>
      <c r="BX87" s="78" t="str">
        <f>HYPERLINK(".\links\TSF\EEC06563.1-TSF.txt","35-251 35-251, Lipocalin||S|")</f>
        <v>35-251 35-251, Lipocalin||S|</v>
      </c>
      <c r="BY87" s="75">
        <v>4.1000000000000002E-2</v>
      </c>
      <c r="BZ87" s="75">
        <v>19.899999999999999</v>
      </c>
      <c r="CA87" s="75" t="s">
        <v>3302</v>
      </c>
      <c r="CB87" s="75" t="s">
        <v>3004</v>
      </c>
      <c r="CC87" s="75" t="s">
        <v>2772</v>
      </c>
      <c r="CD87" s="75" t="s">
        <v>2785</v>
      </c>
      <c r="CE87" s="75" t="s">
        <v>3303</v>
      </c>
      <c r="CF87" s="75">
        <v>33</v>
      </c>
      <c r="CG87" s="75">
        <v>1</v>
      </c>
      <c r="CH87" s="75">
        <v>38</v>
      </c>
      <c r="CI87" s="75">
        <v>1</v>
      </c>
      <c r="CJ87" s="75">
        <v>39</v>
      </c>
      <c r="CK87" s="75">
        <v>1</v>
      </c>
      <c r="CL87" s="75">
        <v>43</v>
      </c>
      <c r="CM87" s="75">
        <v>1</v>
      </c>
      <c r="CN87" s="75">
        <v>44</v>
      </c>
      <c r="CO87" s="75">
        <v>1</v>
      </c>
      <c r="CP87" s="75">
        <v>45</v>
      </c>
      <c r="CQ87" s="75">
        <v>1</v>
      </c>
      <c r="CR87" s="75">
        <v>46</v>
      </c>
      <c r="CS87" s="75">
        <v>1</v>
      </c>
      <c r="CT87" s="75">
        <v>50</v>
      </c>
      <c r="CU87" s="75">
        <v>1</v>
      </c>
      <c r="CV87" s="75">
        <v>52</v>
      </c>
      <c r="CW87" s="75">
        <v>1</v>
      </c>
      <c r="CX87" s="75">
        <v>55</v>
      </c>
      <c r="CY87" s="75">
        <v>1</v>
      </c>
      <c r="CZ87" s="75">
        <v>57</v>
      </c>
      <c r="DA87" s="75">
        <v>1</v>
      </c>
      <c r="DB87" s="75">
        <v>58</v>
      </c>
      <c r="DC87" s="75">
        <v>1</v>
      </c>
      <c r="DD87" s="75">
        <v>59</v>
      </c>
      <c r="DE87" s="75">
        <v>1</v>
      </c>
      <c r="DF87" s="75">
        <v>60</v>
      </c>
      <c r="DG87" s="75">
        <v>1</v>
      </c>
      <c r="DH87" s="75">
        <v>61</v>
      </c>
      <c r="DI87" s="75">
        <v>1</v>
      </c>
      <c r="DJ87" s="75" t="s">
        <v>136</v>
      </c>
      <c r="DK87" s="75" t="str">
        <f>HYPERLINK(".\links\AAM-CEMENT-2018\EEC06563.1-AAM-CEMENT-2018.txt","Extracted CDS")</f>
        <v>Extracted CDS</v>
      </c>
      <c r="DL87" s="75" t="str">
        <f>HYPERLINK("http://www.ncbi.nlm.nih.gov/sutils/blink.cgi?pid=Aam-989","0.0")</f>
        <v>0.0</v>
      </c>
      <c r="DM87" s="75" t="str">
        <f>HYPERLINK("http://www.ncbi.nlm.nih.gov/protein/Aam-989","Aam-989")</f>
        <v>Aam-989</v>
      </c>
      <c r="DN87" s="75">
        <v>814</v>
      </c>
      <c r="DO87" s="75">
        <v>445</v>
      </c>
      <c r="DP87" s="75">
        <v>443</v>
      </c>
      <c r="DQ87" s="75">
        <v>87</v>
      </c>
      <c r="DR87" s="75">
        <v>94</v>
      </c>
      <c r="DS87" s="75">
        <v>100</v>
      </c>
      <c r="DT87" s="75">
        <v>57</v>
      </c>
      <c r="DU87" s="75">
        <v>2</v>
      </c>
      <c r="DV87" s="75">
        <v>1</v>
      </c>
      <c r="DW87" s="75">
        <v>2</v>
      </c>
      <c r="DX87" s="75">
        <v>1</v>
      </c>
      <c r="DY87" s="75" t="s">
        <v>2775</v>
      </c>
      <c r="DZ87" s="75" t="str">
        <f>HYPERLINK(".\links\CDD\EEC06563.1-CDD.txt","GDI GDP dissociation inhibitor")</f>
        <v>GDI GDP dissociation inhibitor</v>
      </c>
      <c r="EA87" s="75">
        <v>0</v>
      </c>
      <c r="EB87" s="75">
        <v>100.5</v>
      </c>
      <c r="EC87" s="75" t="s">
        <v>3298</v>
      </c>
      <c r="ED87" s="75" t="s">
        <v>3299</v>
      </c>
      <c r="EE87" s="75" t="str">
        <f>HYPERLINK(".\links\KOG\EEC06563.1-KOG.txt","CDD:227377 COG5044, MRS6, RAB proteins geranylgeranyltransferase component A")</f>
        <v>CDD:227377 COG5044, MRS6, RAB proteins geranylgeranyltransferase component A</v>
      </c>
      <c r="EF87" s="79">
        <v>1.9999999999999998E-145</v>
      </c>
      <c r="EG87" s="75">
        <v>101.2</v>
      </c>
      <c r="EH87" s="75" t="s">
        <v>3300</v>
      </c>
      <c r="EI87" s="75" t="s">
        <v>2779</v>
      </c>
      <c r="EJ87" s="75" t="str">
        <f>HYPERLINK(".\links\PFAM\EEC06563.1-PFAM.txt","GDI GDP dissociation inhibitor")</f>
        <v>GDI GDP dissociation inhibitor</v>
      </c>
      <c r="EK87" s="75">
        <v>0</v>
      </c>
      <c r="EL87" s="75">
        <v>100.5</v>
      </c>
      <c r="EM87" s="75" t="s">
        <v>3298</v>
      </c>
      <c r="EN87" s="75" t="s">
        <v>2772</v>
      </c>
      <c r="EO87" s="75" t="str">
        <f>HYPERLINK(".\links\SMART\EEC06563.1-SMART.txt","CDD:214575 smart00234, START, in StAR and phosphatidylcholine transfer protein")</f>
        <v>CDD:214575 smart00234, START, in StAR and phosphatidylcholine transfer protein</v>
      </c>
      <c r="EP87" s="75">
        <v>2.9000000000000001E-2</v>
      </c>
      <c r="EQ87" s="75">
        <v>15.1</v>
      </c>
      <c r="ER87" s="75" t="s">
        <v>3301</v>
      </c>
      <c r="ES87" s="75" t="s">
        <v>2772</v>
      </c>
      <c r="ET87" s="75" t="str">
        <f>HYPERLINK(".\links\TSF\EEC06563.1-TSF.txt","35-251 35-251, Lipocalin||S|")</f>
        <v>35-251 35-251, Lipocalin||S|</v>
      </c>
      <c r="EU87" s="75">
        <v>4.1000000000000002E-2</v>
      </c>
      <c r="EV87" s="75">
        <v>19.899999999999999</v>
      </c>
      <c r="EW87" s="75" t="s">
        <v>3302</v>
      </c>
      <c r="EX87" s="75" t="s">
        <v>3004</v>
      </c>
      <c r="EY87" s="75" t="s">
        <v>2772</v>
      </c>
      <c r="EZ87" s="75" t="s">
        <v>2785</v>
      </c>
      <c r="FA87" s="75" t="s">
        <v>3303</v>
      </c>
    </row>
    <row r="88" spans="1:157" x14ac:dyDescent="0.2">
      <c r="A88" s="75" t="str">
        <f>HYPERLINK(".\links\PEP\EEC14187.1-PEP.txt","EEC14187.1")</f>
        <v>EEC14187.1</v>
      </c>
      <c r="B88" s="75" t="s">
        <v>2768</v>
      </c>
      <c r="C88" s="75">
        <v>230</v>
      </c>
      <c r="D88" s="75" t="s">
        <v>3304</v>
      </c>
      <c r="E88" s="76" t="s">
        <v>3296</v>
      </c>
      <c r="F88" s="75" t="s">
        <v>2771</v>
      </c>
      <c r="G88" s="75" t="str">
        <f>HYPERLINK(".\links\Sigp\EEC14187.1-SigP.txt","CYT")</f>
        <v>CYT</v>
      </c>
      <c r="H88" s="75" t="s">
        <v>2772</v>
      </c>
      <c r="I88" s="75">
        <v>25.01</v>
      </c>
      <c r="J88" s="75">
        <v>9.7200000000000006</v>
      </c>
      <c r="K88" s="75" t="s">
        <v>2772</v>
      </c>
      <c r="L88" s="75" t="s">
        <v>2772</v>
      </c>
      <c r="M88" s="75" t="str">
        <f>HYPERLINK(".\links\netoglyc\EEC14187.1-netoglyc.txt","5")</f>
        <v>5</v>
      </c>
      <c r="N88" s="75" t="s">
        <v>3305</v>
      </c>
      <c r="O88" s="75">
        <v>230</v>
      </c>
      <c r="P88" s="75">
        <v>0</v>
      </c>
      <c r="Q88" s="75" t="s">
        <v>2772</v>
      </c>
      <c r="R88" s="75" t="s">
        <v>2772</v>
      </c>
      <c r="S88" s="75" t="s">
        <v>2772</v>
      </c>
      <c r="T88" s="75" t="s">
        <v>2772</v>
      </c>
      <c r="U88" s="75" t="s">
        <v>2772</v>
      </c>
      <c r="V88" s="75" t="s">
        <v>2772</v>
      </c>
      <c r="W88" s="75">
        <v>15.3</v>
      </c>
      <c r="X88" s="75">
        <v>10.6</v>
      </c>
      <c r="Y88" s="75">
        <v>4.7</v>
      </c>
      <c r="Z88" s="75" t="s">
        <v>2774</v>
      </c>
      <c r="AA88" s="77">
        <v>15.6521739130435</v>
      </c>
      <c r="AB88" s="75">
        <v>0.23</v>
      </c>
      <c r="AD88" s="75">
        <v>0</v>
      </c>
      <c r="AE88" s="75" t="s">
        <v>2772</v>
      </c>
      <c r="AF88" s="75" t="s">
        <v>2772</v>
      </c>
      <c r="AG88" s="75" t="s">
        <v>2772</v>
      </c>
      <c r="AH88" s="75">
        <v>2</v>
      </c>
      <c r="AI88" s="75">
        <v>1</v>
      </c>
      <c r="AJ88" s="75">
        <v>2</v>
      </c>
      <c r="AK88" s="75" t="s">
        <v>2772</v>
      </c>
      <c r="AL88" s="75" t="s">
        <v>2772</v>
      </c>
      <c r="AM88" s="75" t="s">
        <v>2772</v>
      </c>
      <c r="AN88" s="75" t="s">
        <v>2772</v>
      </c>
      <c r="AO88" s="78" t="str">
        <f>HYPERLINK(".\links\AAM-CEMENT-2018\EEC14187.1-AAM-CEMENT-2018.txt","Extracted CDS")</f>
        <v>Extracted CDS</v>
      </c>
      <c r="AP88" s="75" t="str">
        <f>HYPERLINK("http://www.ncbi.nlm.nih.gov/sutils/blink.cgi?pid=Aam-1524","2.6")</f>
        <v>2.6</v>
      </c>
      <c r="AQ88" s="75" t="str">
        <f>HYPERLINK("http://www.ncbi.nlm.nih.gov/protein/Aam-1524","Aam-1524")</f>
        <v>Aam-1524</v>
      </c>
      <c r="AR88" s="75">
        <v>21.9</v>
      </c>
      <c r="AS88" s="75">
        <v>42</v>
      </c>
      <c r="AT88" s="75">
        <v>791</v>
      </c>
      <c r="AU88" s="75">
        <v>33</v>
      </c>
      <c r="AV88" s="75">
        <v>50</v>
      </c>
      <c r="AW88" s="75">
        <v>5</v>
      </c>
      <c r="AX88" s="75">
        <v>28</v>
      </c>
      <c r="AY88" s="75">
        <v>3</v>
      </c>
      <c r="AZ88" s="75">
        <v>331</v>
      </c>
      <c r="BA88" s="75">
        <v>76</v>
      </c>
      <c r="BB88" s="75">
        <v>1</v>
      </c>
      <c r="BC88" s="75" t="s">
        <v>2775</v>
      </c>
      <c r="BD88" s="78" t="str">
        <f>HYPERLINK(".\links\CDD\EEC14187.1-CDD.txt","DCX Domain in the Doublecortin")</f>
        <v>DCX Domain in the Doublecortin</v>
      </c>
      <c r="BE88" s="79">
        <v>9.9999999999999991E-22</v>
      </c>
      <c r="BF88" s="75">
        <v>100</v>
      </c>
      <c r="BG88" s="75" t="s">
        <v>3306</v>
      </c>
      <c r="BH88" s="75" t="s">
        <v>3307</v>
      </c>
      <c r="BI88" s="75" t="str">
        <f>HYPERLINK(".\links\KOG\EEC14187.1-KOG.txt","CDD:226799 COG4353, COG4353, Uncharacterized conserved protein")</f>
        <v>CDD:226799 COG4353, COG4353, Uncharacterized conserved protein</v>
      </c>
      <c r="BJ88" s="75">
        <v>0.51</v>
      </c>
      <c r="BK88" s="75">
        <v>26.6</v>
      </c>
      <c r="BL88" s="75" t="s">
        <v>3308</v>
      </c>
      <c r="BM88" s="75" t="s">
        <v>2779</v>
      </c>
      <c r="BN88" s="78" t="str">
        <f>HYPERLINK(".\links\PFAM\EEC14187.1-PFAM.txt","DCX Doublecortin")</f>
        <v>DCX Doublecortin</v>
      </c>
      <c r="BO88" s="79">
        <v>1.0000000000000001E-17</v>
      </c>
      <c r="BP88" s="75">
        <v>100</v>
      </c>
      <c r="BQ88" s="75" t="s">
        <v>3309</v>
      </c>
      <c r="BR88" s="75" t="s">
        <v>2772</v>
      </c>
      <c r="BS88" s="78" t="str">
        <f>HYPERLINK(".\links\SMART\EEC14187.1-SMART.txt","CDD:214711 smart00537, DCX, Domain in the Doublecortin")</f>
        <v>CDD:214711 smart00537, DCX, Domain in the Doublecortin</v>
      </c>
      <c r="BT88" s="79">
        <v>9.9999999999999996E-24</v>
      </c>
      <c r="BU88" s="75">
        <v>100</v>
      </c>
      <c r="BV88" s="75" t="s">
        <v>3306</v>
      </c>
      <c r="BW88" s="75" t="s">
        <v>2772</v>
      </c>
      <c r="BX88" s="78" t="str">
        <f>HYPERLINK(".\links\TSF\EEC14187.1-TSF.txt","35-26 35-26, Lipocalin|His binding|S|")</f>
        <v>35-26 35-26, Lipocalin|His binding|S|</v>
      </c>
      <c r="BY88" s="75">
        <v>0.12</v>
      </c>
      <c r="BZ88" s="75">
        <v>21.7</v>
      </c>
      <c r="CA88" s="75" t="s">
        <v>3310</v>
      </c>
      <c r="CB88" s="75" t="s">
        <v>3004</v>
      </c>
      <c r="CC88" s="75" t="s">
        <v>3311</v>
      </c>
      <c r="CD88" s="75" t="s">
        <v>2785</v>
      </c>
      <c r="CE88" s="75" t="s">
        <v>3312</v>
      </c>
      <c r="CF88" s="75">
        <v>57</v>
      </c>
      <c r="CG88" s="75">
        <v>1</v>
      </c>
      <c r="CH88" s="75">
        <v>66</v>
      </c>
      <c r="CI88" s="75">
        <v>1</v>
      </c>
      <c r="CJ88" s="75">
        <v>67</v>
      </c>
      <c r="CK88" s="75">
        <v>1</v>
      </c>
      <c r="CL88" s="75">
        <v>71</v>
      </c>
      <c r="CM88" s="75">
        <v>1</v>
      </c>
      <c r="CN88" s="75">
        <v>75</v>
      </c>
      <c r="CO88" s="75">
        <v>1</v>
      </c>
      <c r="CP88" s="75">
        <v>77</v>
      </c>
      <c r="CQ88" s="75">
        <v>1</v>
      </c>
      <c r="CR88" s="75">
        <v>78</v>
      </c>
      <c r="CS88" s="75">
        <v>1</v>
      </c>
      <c r="CT88" s="75">
        <v>82</v>
      </c>
      <c r="CU88" s="75">
        <v>1</v>
      </c>
      <c r="CV88" s="75">
        <v>85</v>
      </c>
      <c r="CW88" s="75">
        <v>1</v>
      </c>
      <c r="CX88" s="75">
        <v>89</v>
      </c>
      <c r="CY88" s="75">
        <v>1</v>
      </c>
      <c r="CZ88" s="75">
        <v>91</v>
      </c>
      <c r="DA88" s="75">
        <v>1</v>
      </c>
      <c r="DB88" s="75">
        <v>97</v>
      </c>
      <c r="DC88" s="75">
        <v>1</v>
      </c>
      <c r="DD88" s="75">
        <v>100</v>
      </c>
      <c r="DE88" s="75">
        <v>1</v>
      </c>
      <c r="DF88" s="75">
        <v>102</v>
      </c>
      <c r="DG88" s="75">
        <v>1</v>
      </c>
      <c r="DH88" s="75">
        <v>103</v>
      </c>
      <c r="DI88" s="75">
        <v>1</v>
      </c>
      <c r="DJ88" s="75" t="s">
        <v>10</v>
      </c>
      <c r="DK88" s="75" t="str">
        <f>HYPERLINK(".\links\AAM-CEMENT-2018\EEC14187.1-AAM-CEMENT-2018.txt","Extracted CDS")</f>
        <v>Extracted CDS</v>
      </c>
      <c r="DL88" s="75" t="str">
        <f>HYPERLINK("http://www.ncbi.nlm.nih.gov/sutils/blink.cgi?pid=Aam-1524","2.6")</f>
        <v>2.6</v>
      </c>
      <c r="DM88" s="75" t="str">
        <f>HYPERLINK("http://www.ncbi.nlm.nih.gov/protein/Aam-1524","Aam-1524")</f>
        <v>Aam-1524</v>
      </c>
      <c r="DN88" s="75">
        <v>21.9</v>
      </c>
      <c r="DO88" s="75">
        <v>42</v>
      </c>
      <c r="DP88" s="75">
        <v>791</v>
      </c>
      <c r="DQ88" s="75">
        <v>33</v>
      </c>
      <c r="DR88" s="75">
        <v>50</v>
      </c>
      <c r="DS88" s="75">
        <v>5</v>
      </c>
      <c r="DT88" s="75">
        <v>28</v>
      </c>
      <c r="DU88" s="75">
        <v>3</v>
      </c>
      <c r="DV88" s="75">
        <v>331</v>
      </c>
      <c r="DW88" s="75">
        <v>76</v>
      </c>
      <c r="DX88" s="75">
        <v>1</v>
      </c>
      <c r="DY88" s="75" t="s">
        <v>2775</v>
      </c>
      <c r="DZ88" s="75" t="str">
        <f>HYPERLINK(".\links\CDD\EEC14187.1-CDD.txt","DCX Domain in the Doublecortin")</f>
        <v>DCX Domain in the Doublecortin</v>
      </c>
      <c r="EA88" s="79">
        <v>9.9999999999999991E-22</v>
      </c>
      <c r="EB88" s="75">
        <v>100</v>
      </c>
      <c r="EC88" s="75" t="s">
        <v>3306</v>
      </c>
      <c r="ED88" s="75" t="s">
        <v>3307</v>
      </c>
      <c r="EE88" s="75" t="str">
        <f>HYPERLINK(".\links\KOG\EEC14187.1-KOG.txt","CDD:226799 COG4353, COG4353, Uncharacterized conserved protein")</f>
        <v>CDD:226799 COG4353, COG4353, Uncharacterized conserved protein</v>
      </c>
      <c r="EF88" s="75">
        <v>0.51</v>
      </c>
      <c r="EG88" s="75">
        <v>26.6</v>
      </c>
      <c r="EH88" s="75" t="s">
        <v>3308</v>
      </c>
      <c r="EI88" s="75" t="s">
        <v>2779</v>
      </c>
      <c r="EJ88" s="75" t="str">
        <f>HYPERLINK(".\links\PFAM\EEC14187.1-PFAM.txt","DCX Doublecortin")</f>
        <v>DCX Doublecortin</v>
      </c>
      <c r="EK88" s="79">
        <v>1.0000000000000001E-17</v>
      </c>
      <c r="EL88" s="75">
        <v>100</v>
      </c>
      <c r="EM88" s="75" t="s">
        <v>3309</v>
      </c>
      <c r="EN88" s="75" t="s">
        <v>2772</v>
      </c>
      <c r="EO88" s="75" t="str">
        <f>HYPERLINK(".\links\SMART\EEC14187.1-SMART.txt","CDD:214711 smart00537, DCX, Domain in the Doublecortin")</f>
        <v>CDD:214711 smart00537, DCX, Domain in the Doublecortin</v>
      </c>
      <c r="EP88" s="79">
        <v>9.9999999999999996E-24</v>
      </c>
      <c r="EQ88" s="75">
        <v>100</v>
      </c>
      <c r="ER88" s="75" t="s">
        <v>3306</v>
      </c>
      <c r="ES88" s="75" t="s">
        <v>2772</v>
      </c>
      <c r="ET88" s="75" t="str">
        <f>HYPERLINK(".\links\TSF\EEC14187.1-TSF.txt","35-26 35-26, Lipocalin|His binding|S|")</f>
        <v>35-26 35-26, Lipocalin|His binding|S|</v>
      </c>
      <c r="EU88" s="75">
        <v>0.12</v>
      </c>
      <c r="EV88" s="75">
        <v>21.7</v>
      </c>
      <c r="EW88" s="75" t="s">
        <v>3310</v>
      </c>
      <c r="EX88" s="75" t="s">
        <v>3004</v>
      </c>
      <c r="EY88" s="75" t="s">
        <v>3311</v>
      </c>
      <c r="EZ88" s="75" t="s">
        <v>2785</v>
      </c>
      <c r="FA88" s="75" t="s">
        <v>3312</v>
      </c>
    </row>
    <row r="89" spans="1:157" x14ac:dyDescent="0.2">
      <c r="A89" s="75" t="str">
        <f>HYPERLINK(".\links\PEP\AAY66716.1-PEP.txt","AAY66716.1")</f>
        <v>AAY66716.1</v>
      </c>
      <c r="B89" s="75" t="s">
        <v>2768</v>
      </c>
      <c r="C89" s="75">
        <v>124</v>
      </c>
      <c r="D89" s="75" t="s">
        <v>3313</v>
      </c>
      <c r="E89" s="76" t="s">
        <v>3314</v>
      </c>
      <c r="F89" s="75" t="s">
        <v>2771</v>
      </c>
      <c r="G89" s="75" t="str">
        <f>HYPERLINK(".\links\Sigp\AAY66716.1-SigP.txt","SIG")</f>
        <v>SIG</v>
      </c>
      <c r="H89" s="75" t="s">
        <v>3208</v>
      </c>
      <c r="I89" s="75">
        <v>13.435</v>
      </c>
      <c r="J89" s="75">
        <v>5.2</v>
      </c>
      <c r="K89" s="75">
        <v>11.448</v>
      </c>
      <c r="L89" s="75">
        <v>5.07</v>
      </c>
      <c r="M89" s="75" t="str">
        <f>HYPERLINK(".\links\netoglyc\AAY66716.1-netoglyc.txt","6")</f>
        <v>6</v>
      </c>
      <c r="N89" s="75" t="s">
        <v>3315</v>
      </c>
      <c r="O89" s="75">
        <v>124</v>
      </c>
      <c r="P89" s="75">
        <v>0</v>
      </c>
      <c r="Q89" s="75" t="s">
        <v>2772</v>
      </c>
      <c r="R89" s="75" t="s">
        <v>2772</v>
      </c>
      <c r="S89" s="75" t="s">
        <v>2772</v>
      </c>
      <c r="T89" s="75" t="s">
        <v>2772</v>
      </c>
      <c r="U89" s="75" t="s">
        <v>2772</v>
      </c>
      <c r="V89" s="75" t="s">
        <v>2772</v>
      </c>
      <c r="W89" s="75">
        <v>18.899999999999999</v>
      </c>
      <c r="X89" s="75">
        <v>3.1</v>
      </c>
      <c r="Y89" s="75">
        <v>5.5</v>
      </c>
      <c r="Z89" s="75" t="s">
        <v>2774</v>
      </c>
      <c r="AA89" s="77">
        <v>8.8709677419354804</v>
      </c>
      <c r="AB89" s="75">
        <v>0.52</v>
      </c>
      <c r="AC89" s="75" t="s">
        <v>3316</v>
      </c>
      <c r="AD89" s="75">
        <v>9</v>
      </c>
      <c r="AE89" s="75" t="s">
        <v>2772</v>
      </c>
      <c r="AF89" s="75" t="s">
        <v>2772</v>
      </c>
      <c r="AG89" s="75" t="s">
        <v>2772</v>
      </c>
      <c r="AH89" s="75" t="s">
        <v>2772</v>
      </c>
      <c r="AI89" s="75" t="s">
        <v>2772</v>
      </c>
      <c r="AJ89" s="75" t="s">
        <v>2772</v>
      </c>
      <c r="AK89" s="75" t="s">
        <v>2772</v>
      </c>
      <c r="AL89" s="75" t="s">
        <v>2772</v>
      </c>
      <c r="AM89" s="75" t="s">
        <v>2772</v>
      </c>
      <c r="AN89" s="75" t="s">
        <v>2772</v>
      </c>
      <c r="AO89" s="78" t="str">
        <f>HYPERLINK(".\links\AAM-CEMENT-2018\AAY66716.1-AAM-CEMENT-2018.txt","Extracted CDS")</f>
        <v>Extracted CDS</v>
      </c>
      <c r="AP89" s="75" t="str">
        <f>HYPERLINK("http://www.ncbi.nlm.nih.gov/sutils/blink.cgi?pid=Aam-179803","3.5")</f>
        <v>3.5</v>
      </c>
      <c r="AQ89" s="75" t="str">
        <f>HYPERLINK("http://www.ncbi.nlm.nih.gov/protein/Aam-179803","Aam-179803")</f>
        <v>Aam-179803</v>
      </c>
      <c r="AR89" s="75">
        <v>20</v>
      </c>
      <c r="AS89" s="75">
        <v>22</v>
      </c>
      <c r="AT89" s="75">
        <v>446</v>
      </c>
      <c r="AU89" s="75">
        <v>36</v>
      </c>
      <c r="AV89" s="75">
        <v>54</v>
      </c>
      <c r="AW89" s="75">
        <v>5</v>
      </c>
      <c r="AX89" s="75">
        <v>14</v>
      </c>
      <c r="AY89" s="75">
        <v>0</v>
      </c>
      <c r="AZ89" s="75">
        <v>219</v>
      </c>
      <c r="BA89" s="75">
        <v>30</v>
      </c>
      <c r="BB89" s="75">
        <v>1</v>
      </c>
      <c r="BC89" s="75" t="s">
        <v>2775</v>
      </c>
      <c r="BD89" s="78" t="str">
        <f>HYPERLINK(".\links\CDD\AAY66716.1-CDD.txt","MYO10_CC Unconventional myosin-X coiled coil domain")</f>
        <v>MYO10_CC Unconventional myosin-X coiled coil domain</v>
      </c>
      <c r="BE89" s="75">
        <v>11</v>
      </c>
      <c r="BF89" s="75">
        <v>52.9</v>
      </c>
      <c r="BG89" s="75" t="s">
        <v>3317</v>
      </c>
      <c r="BH89" s="75" t="s">
        <v>3318</v>
      </c>
      <c r="BI89" s="75" t="str">
        <f>HYPERLINK(".\links\KOG\AAY66716.1-KOG.txt","CDD:225467 COG2915, COG2915, Uncharacterized protein involved in purine metabolism")</f>
        <v>CDD:225467 COG2915, COG2915, Uncharacterized protein involved in purine metabolism</v>
      </c>
      <c r="BJ89" s="75">
        <v>4.5</v>
      </c>
      <c r="BK89" s="75">
        <v>23.2</v>
      </c>
      <c r="BL89" s="75" t="s">
        <v>3319</v>
      </c>
      <c r="BM89" s="75" t="s">
        <v>2779</v>
      </c>
      <c r="BN89" s="78" t="str">
        <f>HYPERLINK(".\links\PFAM\AAY66716.1-PFAM.txt","MYO10_CC Unconventional myosin-X coiled coil domain")</f>
        <v>MYO10_CC Unconventional myosin-X coiled coil domain</v>
      </c>
      <c r="BO89" s="75">
        <v>2.5</v>
      </c>
      <c r="BP89" s="75">
        <v>52.9</v>
      </c>
      <c r="BQ89" s="75" t="s">
        <v>3317</v>
      </c>
      <c r="BR89" s="75" t="s">
        <v>2772</v>
      </c>
      <c r="BS89" s="78" t="str">
        <f>HYPERLINK(".\links\SMART\AAY66716.1-SMART.txt","CDD:197991 smart00923, MbtH, MbtH-like protein")</f>
        <v>CDD:197991 smart00923, MbtH, MbtH-like protein</v>
      </c>
      <c r="BT89" s="75">
        <v>0.78</v>
      </c>
      <c r="BU89" s="75">
        <v>40.799999999999997</v>
      </c>
      <c r="BV89" s="75" t="s">
        <v>3320</v>
      </c>
      <c r="BW89" s="75" t="s">
        <v>2772</v>
      </c>
      <c r="BX89" s="78" t="str">
        <f>HYPERLINK(".\links\TSF\AAY66716.1-TSF.txt","40-451 40-451, Microplusin||S|AM")</f>
        <v>40-451 40-451, Microplusin||S|AM</v>
      </c>
      <c r="BY89" s="79">
        <v>9.9999999999999992E-66</v>
      </c>
      <c r="BZ89" s="75">
        <v>100</v>
      </c>
      <c r="CA89" s="75" t="s">
        <v>3321</v>
      </c>
      <c r="CB89" s="75" t="s">
        <v>3322</v>
      </c>
      <c r="CC89" s="75" t="s">
        <v>2772</v>
      </c>
      <c r="CD89" s="75" t="s">
        <v>2785</v>
      </c>
      <c r="CE89" s="75" t="s">
        <v>3323</v>
      </c>
      <c r="CF89" s="75">
        <f>HYPERLINK(".\links\cluster-b\Ixsc-cement-202225-50SimCLU10.txt", 10)</f>
        <v>10</v>
      </c>
      <c r="CG89" s="75">
        <f>HYPERLINK(".\links\cluster-b\Ixsc-cement-202225-50SimCLTL10.txt", 3)</f>
        <v>3</v>
      </c>
      <c r="CH89" s="75">
        <f>HYPERLINK(".\links\cluster-b\Ixsc-cement-202230-50SimCLU9.txt", 9)</f>
        <v>9</v>
      </c>
      <c r="CI89" s="75">
        <f>HYPERLINK(".\links\cluster-b\Ixsc-cement-202230-50SimCLTL9.txt", 3)</f>
        <v>3</v>
      </c>
      <c r="CJ89" s="75">
        <f>HYPERLINK(".\links\cluster-b\Ixsc-cement-202235-50SimCLU13.txt", 13)</f>
        <v>13</v>
      </c>
      <c r="CK89" s="75">
        <f>HYPERLINK(".\links\cluster-b\Ixsc-cement-202235-50SimCLTL13.txt", 2)</f>
        <v>2</v>
      </c>
      <c r="CL89" s="75">
        <f>HYPERLINK(".\links\cluster-b\Ixsc-cement-202240-50SimCLU14.txt", 14)</f>
        <v>14</v>
      </c>
      <c r="CM89" s="75">
        <f>HYPERLINK(".\links\cluster-b\Ixsc-cement-202240-50SimCLTL14.txt", 2)</f>
        <v>2</v>
      </c>
      <c r="CN89" s="75">
        <f>HYPERLINK(".\links\cluster-b\Ixsc-cement-202245-50SimCLU14.txt", 14)</f>
        <v>14</v>
      </c>
      <c r="CO89" s="75">
        <f>HYPERLINK(".\links\cluster-b\Ixsc-cement-202245-50SimCLTL14.txt", 2)</f>
        <v>2</v>
      </c>
      <c r="CP89" s="75">
        <f>HYPERLINK(".\links\cluster-b\Ixsc-cement-202250-50SimCLU13.txt", 13)</f>
        <v>13</v>
      </c>
      <c r="CQ89" s="75">
        <f>HYPERLINK(".\links\cluster-b\Ixsc-cement-202250-50SimCLTL13.txt", 2)</f>
        <v>2</v>
      </c>
      <c r="CR89" s="75">
        <f>HYPERLINK(".\links\cluster-b\Ixsc-cement-202255-50SimCLU13.txt", 13)</f>
        <v>13</v>
      </c>
      <c r="CS89" s="75">
        <f>HYPERLINK(".\links\cluster-b\Ixsc-cement-202255-50SimCLTL13.txt", 2)</f>
        <v>2</v>
      </c>
      <c r="CT89" s="75">
        <f>HYPERLINK(".\links\cluster-b\Ixsc-cement-202260-50SimCLU13.txt", 13)</f>
        <v>13</v>
      </c>
      <c r="CU89" s="75">
        <f>HYPERLINK(".\links\cluster-b\Ixsc-cement-202260-50SimCLTL13.txt", 2)</f>
        <v>2</v>
      </c>
      <c r="CV89" s="75">
        <f>HYPERLINK(".\links\cluster-b\Ixsc-cement-202265-50SimCLU12.txt", 12)</f>
        <v>12</v>
      </c>
      <c r="CW89" s="75">
        <f>HYPERLINK(".\links\cluster-b\Ixsc-cement-202265-50SimCLTL12.txt", 2)</f>
        <v>2</v>
      </c>
      <c r="CX89" s="75">
        <f>HYPERLINK(".\links\cluster-b\Ixsc-cement-202270-50SimCLU12.txt", 12)</f>
        <v>12</v>
      </c>
      <c r="CY89" s="75">
        <f>HYPERLINK(".\links\cluster-b\Ixsc-cement-202270-50SimCLTL12.txt", 2)</f>
        <v>2</v>
      </c>
      <c r="CZ89" s="75">
        <f>HYPERLINK(".\links\cluster-b\Ixsc-cement-202275-50SimCLU11.txt", 11)</f>
        <v>11</v>
      </c>
      <c r="DA89" s="75">
        <f>HYPERLINK(".\links\cluster-b\Ixsc-cement-202275-50SimCLTL11.txt", 2)</f>
        <v>2</v>
      </c>
      <c r="DB89" s="75">
        <f>HYPERLINK(".\links\cluster-b\Ixsc-cement-202280-50SimCLU9.txt", 9)</f>
        <v>9</v>
      </c>
      <c r="DC89" s="75">
        <f>HYPERLINK(".\links\cluster-b\Ixsc-cement-202280-50SimCLTL9.txt", 2)</f>
        <v>2</v>
      </c>
      <c r="DD89" s="75">
        <f>HYPERLINK(".\links\cluster-b\Ixsc-cement-202285-50SimCLU7.txt", 7)</f>
        <v>7</v>
      </c>
      <c r="DE89" s="75">
        <f>HYPERLINK(".\links\cluster-b\Ixsc-cement-202285-50SimCLTL7.txt", 2)</f>
        <v>2</v>
      </c>
      <c r="DF89" s="75">
        <f>HYPERLINK(".\links\cluster-b\Ixsc-cement-202290-50SimCLU7.txt", 7)</f>
        <v>7</v>
      </c>
      <c r="DG89" s="75">
        <f>HYPERLINK(".\links\cluster-b\Ixsc-cement-202290-50SimCLTL7.txt", 2)</f>
        <v>2</v>
      </c>
      <c r="DH89" s="75">
        <f>HYPERLINK(".\links\cluster-b\Ixsc-cement-202295-50SimCLU7.txt", 7)</f>
        <v>7</v>
      </c>
      <c r="DI89" s="75">
        <f>HYPERLINK(".\links\cluster-b\Ixsc-cement-202295-50SimCLTL7.txt", 2)</f>
        <v>2</v>
      </c>
      <c r="DJ89" s="75" t="s">
        <v>182</v>
      </c>
      <c r="DK89" s="75" t="str">
        <f>HYPERLINK(".\links\AAM-CEMENT-2018\AAY66716.1-AAM-CEMENT-2018.txt","Extracted CDS")</f>
        <v>Extracted CDS</v>
      </c>
      <c r="DL89" s="75" t="str">
        <f>HYPERLINK("http://www.ncbi.nlm.nih.gov/sutils/blink.cgi?pid=Aam-179803","3.5")</f>
        <v>3.5</v>
      </c>
      <c r="DM89" s="75" t="str">
        <f>HYPERLINK("http://www.ncbi.nlm.nih.gov/protein/Aam-179803","Aam-179803")</f>
        <v>Aam-179803</v>
      </c>
      <c r="DN89" s="75">
        <v>20</v>
      </c>
      <c r="DO89" s="75">
        <v>22</v>
      </c>
      <c r="DP89" s="75">
        <v>446</v>
      </c>
      <c r="DQ89" s="75">
        <v>36</v>
      </c>
      <c r="DR89" s="75">
        <v>54</v>
      </c>
      <c r="DS89" s="75">
        <v>5</v>
      </c>
      <c r="DT89" s="75">
        <v>14</v>
      </c>
      <c r="DU89" s="75">
        <v>0</v>
      </c>
      <c r="DV89" s="75">
        <v>219</v>
      </c>
      <c r="DW89" s="75">
        <v>30</v>
      </c>
      <c r="DX89" s="75">
        <v>1</v>
      </c>
      <c r="DY89" s="75" t="s">
        <v>2775</v>
      </c>
      <c r="DZ89" s="75" t="str">
        <f>HYPERLINK(".\links\CDD\AAY66716.1-CDD.txt","MYO10_CC Unconventional myosin-X coiled coil domain")</f>
        <v>MYO10_CC Unconventional myosin-X coiled coil domain</v>
      </c>
      <c r="EA89" s="75">
        <v>11</v>
      </c>
      <c r="EB89" s="75">
        <v>52.9</v>
      </c>
      <c r="EC89" s="75" t="s">
        <v>3317</v>
      </c>
      <c r="ED89" s="75" t="s">
        <v>3318</v>
      </c>
      <c r="EE89" s="75" t="str">
        <f>HYPERLINK(".\links\KOG\AAY66716.1-KOG.txt","CDD:225467 COG2915, COG2915, Uncharacterized protein involved in purine metabolism")</f>
        <v>CDD:225467 COG2915, COG2915, Uncharacterized protein involved in purine metabolism</v>
      </c>
      <c r="EF89" s="75">
        <v>4.5</v>
      </c>
      <c r="EG89" s="75">
        <v>23.2</v>
      </c>
      <c r="EH89" s="75" t="s">
        <v>3319</v>
      </c>
      <c r="EI89" s="75" t="s">
        <v>2779</v>
      </c>
      <c r="EJ89" s="75" t="str">
        <f>HYPERLINK(".\links\PFAM\AAY66716.1-PFAM.txt","MYO10_CC Unconventional myosin-X coiled coil domain")</f>
        <v>MYO10_CC Unconventional myosin-X coiled coil domain</v>
      </c>
      <c r="EK89" s="75">
        <v>2.5</v>
      </c>
      <c r="EL89" s="75">
        <v>52.9</v>
      </c>
      <c r="EM89" s="75" t="s">
        <v>3317</v>
      </c>
      <c r="EN89" s="75" t="s">
        <v>2772</v>
      </c>
      <c r="EO89" s="75" t="str">
        <f>HYPERLINK(".\links\SMART\AAY66716.1-SMART.txt","CDD:197991 smart00923, MbtH, MbtH-like protein")</f>
        <v>CDD:197991 smart00923, MbtH, MbtH-like protein</v>
      </c>
      <c r="EP89" s="75">
        <v>0.78</v>
      </c>
      <c r="EQ89" s="75">
        <v>40.799999999999997</v>
      </c>
      <c r="ER89" s="75" t="s">
        <v>3320</v>
      </c>
      <c r="ES89" s="75" t="s">
        <v>2772</v>
      </c>
      <c r="ET89" s="75" t="str">
        <f>HYPERLINK(".\links\TSF\AAY66716.1-TSF.txt","40-451 40-451, Microplusin||S|AM")</f>
        <v>40-451 40-451, Microplusin||S|AM</v>
      </c>
      <c r="EU89" s="79">
        <v>9.9999999999999992E-66</v>
      </c>
      <c r="EV89" s="75">
        <v>100</v>
      </c>
      <c r="EW89" s="75" t="s">
        <v>3321</v>
      </c>
      <c r="EX89" s="75" t="s">
        <v>3322</v>
      </c>
      <c r="EY89" s="75" t="s">
        <v>2772</v>
      </c>
      <c r="EZ89" s="75" t="s">
        <v>2785</v>
      </c>
      <c r="FA89" s="75" t="s">
        <v>3323</v>
      </c>
    </row>
    <row r="90" spans="1:157" x14ac:dyDescent="0.2">
      <c r="A90" s="75" t="str">
        <f>HYPERLINK(".\links\PEP\EEC20127.1-PEP.txt","EEC20127.1")</f>
        <v>EEC20127.1</v>
      </c>
      <c r="B90" s="75" t="s">
        <v>2768</v>
      </c>
      <c r="C90" s="75">
        <v>124</v>
      </c>
      <c r="D90" s="75" t="s">
        <v>3324</v>
      </c>
      <c r="E90" s="76" t="s">
        <v>3314</v>
      </c>
      <c r="F90" s="75" t="s">
        <v>2771</v>
      </c>
      <c r="G90" s="75" t="str">
        <f>HYPERLINK(".\links\Sigp\EEC20127.1-SigP.txt","SIG")</f>
        <v>SIG</v>
      </c>
      <c r="H90" s="75" t="s">
        <v>3208</v>
      </c>
      <c r="I90" s="75">
        <v>13.427</v>
      </c>
      <c r="J90" s="75">
        <v>5.33</v>
      </c>
      <c r="K90" s="75">
        <v>11.39</v>
      </c>
      <c r="L90" s="75">
        <v>5.19</v>
      </c>
      <c r="M90" s="75" t="str">
        <f>HYPERLINK(".\links\netoglyc\EEC20127.1-netoglyc.txt","6")</f>
        <v>6</v>
      </c>
      <c r="N90" s="75" t="s">
        <v>3315</v>
      </c>
      <c r="O90" s="75">
        <v>124</v>
      </c>
      <c r="P90" s="75">
        <v>0</v>
      </c>
      <c r="Q90" s="75" t="s">
        <v>2772</v>
      </c>
      <c r="R90" s="75" t="s">
        <v>2772</v>
      </c>
      <c r="S90" s="75" t="s">
        <v>2772</v>
      </c>
      <c r="T90" s="75" t="s">
        <v>2772</v>
      </c>
      <c r="U90" s="75" t="s">
        <v>2772</v>
      </c>
      <c r="V90" s="75" t="s">
        <v>2772</v>
      </c>
      <c r="W90" s="75">
        <v>18.899999999999999</v>
      </c>
      <c r="X90" s="75">
        <v>3.1</v>
      </c>
      <c r="Y90" s="75">
        <v>5.5</v>
      </c>
      <c r="Z90" s="75" t="s">
        <v>2774</v>
      </c>
      <c r="AA90" s="77">
        <v>8.8709677419354804</v>
      </c>
      <c r="AB90" s="75">
        <v>0.52</v>
      </c>
      <c r="AC90" s="75" t="s">
        <v>3316</v>
      </c>
      <c r="AD90" s="75">
        <v>9</v>
      </c>
      <c r="AE90" s="75" t="s">
        <v>2772</v>
      </c>
      <c r="AF90" s="75" t="s">
        <v>2772</v>
      </c>
      <c r="AG90" s="75" t="s">
        <v>2772</v>
      </c>
      <c r="AH90" s="75" t="s">
        <v>2772</v>
      </c>
      <c r="AI90" s="75" t="s">
        <v>2772</v>
      </c>
      <c r="AJ90" s="75" t="s">
        <v>2772</v>
      </c>
      <c r="AK90" s="75" t="s">
        <v>2772</v>
      </c>
      <c r="AL90" s="75" t="s">
        <v>2772</v>
      </c>
      <c r="AM90" s="75" t="s">
        <v>2772</v>
      </c>
      <c r="AN90" s="75" t="s">
        <v>2772</v>
      </c>
      <c r="AO90" s="78" t="str">
        <f>HYPERLINK(".\links\AAM-CEMENT-2018\EEC20127.1-AAM-CEMENT-2018.txt","Extracted CDS")</f>
        <v>Extracted CDS</v>
      </c>
      <c r="AP90" s="75" t="str">
        <f>HYPERLINK("http://www.ncbi.nlm.nih.gov/sutils/blink.cgi?pid=Aam-179803","3.5")</f>
        <v>3.5</v>
      </c>
      <c r="AQ90" s="75" t="str">
        <f>HYPERLINK("http://www.ncbi.nlm.nih.gov/protein/Aam-179803","Aam-179803")</f>
        <v>Aam-179803</v>
      </c>
      <c r="AR90" s="75">
        <v>20</v>
      </c>
      <c r="AS90" s="75">
        <v>22</v>
      </c>
      <c r="AT90" s="75">
        <v>446</v>
      </c>
      <c r="AU90" s="75">
        <v>36</v>
      </c>
      <c r="AV90" s="75">
        <v>54</v>
      </c>
      <c r="AW90" s="75">
        <v>5</v>
      </c>
      <c r="AX90" s="75">
        <v>14</v>
      </c>
      <c r="AY90" s="75">
        <v>0</v>
      </c>
      <c r="AZ90" s="75">
        <v>219</v>
      </c>
      <c r="BA90" s="75">
        <v>30</v>
      </c>
      <c r="BB90" s="75">
        <v>1</v>
      </c>
      <c r="BC90" s="75" t="s">
        <v>2775</v>
      </c>
      <c r="BD90" s="78" t="str">
        <f>HYPERLINK(".\links\CDD\EEC20127.1-CDD.txt","hsFATP4_like Fatty acid transport proteins")</f>
        <v>hsFATP4_like Fatty acid transport proteins</v>
      </c>
      <c r="BE90" s="75">
        <v>5.8</v>
      </c>
      <c r="BF90" s="75">
        <v>13.3</v>
      </c>
      <c r="BG90" s="75" t="s">
        <v>3325</v>
      </c>
      <c r="BH90" s="75" t="s">
        <v>3326</v>
      </c>
      <c r="BI90" s="75" t="str">
        <f>HYPERLINK(".\links\KOG\EEC20127.1-KOG.txt","CDD:225467 COG2915, COG2915, Uncharacterized protein involved in purine metabolism")</f>
        <v>CDD:225467 COG2915, COG2915, Uncharacterized protein involved in purine metabolism</v>
      </c>
      <c r="BJ90" s="75">
        <v>6.6</v>
      </c>
      <c r="BK90" s="75">
        <v>23.2</v>
      </c>
      <c r="BL90" s="75" t="s">
        <v>3319</v>
      </c>
      <c r="BM90" s="75" t="s">
        <v>2779</v>
      </c>
      <c r="BN90" s="78" t="str">
        <f>HYPERLINK(".\links\PFAM\EEC20127.1-PFAM.txt","YrbL-PhoP_reg PhoP regulatory network protein YrbL")</f>
        <v>YrbL-PhoP_reg PhoP regulatory network protein YrbL</v>
      </c>
      <c r="BO90" s="75">
        <v>7.7</v>
      </c>
      <c r="BP90" s="75">
        <v>21.5</v>
      </c>
      <c r="BQ90" s="75" t="s">
        <v>3327</v>
      </c>
      <c r="BR90" s="75" t="s">
        <v>2772</v>
      </c>
      <c r="BS90" s="78" t="str">
        <f>HYPERLINK(".\links\SMART\EEC20127.1-SMART.txt","CDD:197991 smart00923, MbtH, MbtH-like protein")</f>
        <v>CDD:197991 smart00923, MbtH, MbtH-like protein</v>
      </c>
      <c r="BT90" s="75">
        <v>0.78</v>
      </c>
      <c r="BU90" s="75">
        <v>40.799999999999997</v>
      </c>
      <c r="BV90" s="75" t="s">
        <v>3320</v>
      </c>
      <c r="BW90" s="75" t="s">
        <v>2772</v>
      </c>
      <c r="BX90" s="78" t="str">
        <f>HYPERLINK(".\links\TSF\EEC20127.1-TSF.txt","40-451 40-451, Microplusin||S|AM")</f>
        <v>40-451 40-451, Microplusin||S|AM</v>
      </c>
      <c r="BY90" s="79">
        <v>6E-65</v>
      </c>
      <c r="BZ90" s="75">
        <v>100</v>
      </c>
      <c r="CA90" s="75" t="s">
        <v>3321</v>
      </c>
      <c r="CB90" s="75" t="s">
        <v>3322</v>
      </c>
      <c r="CC90" s="75" t="s">
        <v>2772</v>
      </c>
      <c r="CD90" s="75" t="s">
        <v>2785</v>
      </c>
      <c r="CE90" s="75" t="s">
        <v>3323</v>
      </c>
      <c r="CF90" s="75">
        <f>HYPERLINK(".\links\cluster-b\Ixsc-cement-202225-50SimCLU10.txt", 10)</f>
        <v>10</v>
      </c>
      <c r="CG90" s="75">
        <f>HYPERLINK(".\links\cluster-b\Ixsc-cement-202225-50SimCLTL10.txt", 3)</f>
        <v>3</v>
      </c>
      <c r="CH90" s="75">
        <f>HYPERLINK(".\links\cluster-b\Ixsc-cement-202230-50SimCLU9.txt", 9)</f>
        <v>9</v>
      </c>
      <c r="CI90" s="75">
        <f>HYPERLINK(".\links\cluster-b\Ixsc-cement-202230-50SimCLTL9.txt", 3)</f>
        <v>3</v>
      </c>
      <c r="CJ90" s="75">
        <f>HYPERLINK(".\links\cluster-b\Ixsc-cement-202235-50SimCLU13.txt", 13)</f>
        <v>13</v>
      </c>
      <c r="CK90" s="75">
        <f>HYPERLINK(".\links\cluster-b\Ixsc-cement-202235-50SimCLTL13.txt", 2)</f>
        <v>2</v>
      </c>
      <c r="CL90" s="75">
        <f>HYPERLINK(".\links\cluster-b\Ixsc-cement-202240-50SimCLU14.txt", 14)</f>
        <v>14</v>
      </c>
      <c r="CM90" s="75">
        <f>HYPERLINK(".\links\cluster-b\Ixsc-cement-202240-50SimCLTL14.txt", 2)</f>
        <v>2</v>
      </c>
      <c r="CN90" s="75">
        <f>HYPERLINK(".\links\cluster-b\Ixsc-cement-202245-50SimCLU14.txt", 14)</f>
        <v>14</v>
      </c>
      <c r="CO90" s="75">
        <f>HYPERLINK(".\links\cluster-b\Ixsc-cement-202245-50SimCLTL14.txt", 2)</f>
        <v>2</v>
      </c>
      <c r="CP90" s="75">
        <f>HYPERLINK(".\links\cluster-b\Ixsc-cement-202250-50SimCLU13.txt", 13)</f>
        <v>13</v>
      </c>
      <c r="CQ90" s="75">
        <f>HYPERLINK(".\links\cluster-b\Ixsc-cement-202250-50SimCLTL13.txt", 2)</f>
        <v>2</v>
      </c>
      <c r="CR90" s="75">
        <f>HYPERLINK(".\links\cluster-b\Ixsc-cement-202255-50SimCLU13.txt", 13)</f>
        <v>13</v>
      </c>
      <c r="CS90" s="75">
        <f>HYPERLINK(".\links\cluster-b\Ixsc-cement-202255-50SimCLTL13.txt", 2)</f>
        <v>2</v>
      </c>
      <c r="CT90" s="75">
        <f>HYPERLINK(".\links\cluster-b\Ixsc-cement-202260-50SimCLU13.txt", 13)</f>
        <v>13</v>
      </c>
      <c r="CU90" s="75">
        <f>HYPERLINK(".\links\cluster-b\Ixsc-cement-202260-50SimCLTL13.txt", 2)</f>
        <v>2</v>
      </c>
      <c r="CV90" s="75">
        <f>HYPERLINK(".\links\cluster-b\Ixsc-cement-202265-50SimCLU12.txt", 12)</f>
        <v>12</v>
      </c>
      <c r="CW90" s="75">
        <f>HYPERLINK(".\links\cluster-b\Ixsc-cement-202265-50SimCLTL12.txt", 2)</f>
        <v>2</v>
      </c>
      <c r="CX90" s="75">
        <f>HYPERLINK(".\links\cluster-b\Ixsc-cement-202270-50SimCLU12.txt", 12)</f>
        <v>12</v>
      </c>
      <c r="CY90" s="75">
        <f>HYPERLINK(".\links\cluster-b\Ixsc-cement-202270-50SimCLTL12.txt", 2)</f>
        <v>2</v>
      </c>
      <c r="CZ90" s="75">
        <f>HYPERLINK(".\links\cluster-b\Ixsc-cement-202275-50SimCLU11.txt", 11)</f>
        <v>11</v>
      </c>
      <c r="DA90" s="75">
        <f>HYPERLINK(".\links\cluster-b\Ixsc-cement-202275-50SimCLTL11.txt", 2)</f>
        <v>2</v>
      </c>
      <c r="DB90" s="75">
        <f>HYPERLINK(".\links\cluster-b\Ixsc-cement-202280-50SimCLU9.txt", 9)</f>
        <v>9</v>
      </c>
      <c r="DC90" s="75">
        <f>HYPERLINK(".\links\cluster-b\Ixsc-cement-202280-50SimCLTL9.txt", 2)</f>
        <v>2</v>
      </c>
      <c r="DD90" s="75">
        <f>HYPERLINK(".\links\cluster-b\Ixsc-cement-202285-50SimCLU7.txt", 7)</f>
        <v>7</v>
      </c>
      <c r="DE90" s="75">
        <f>HYPERLINK(".\links\cluster-b\Ixsc-cement-202285-50SimCLTL7.txt", 2)</f>
        <v>2</v>
      </c>
      <c r="DF90" s="75">
        <f>HYPERLINK(".\links\cluster-b\Ixsc-cement-202290-50SimCLU7.txt", 7)</f>
        <v>7</v>
      </c>
      <c r="DG90" s="75">
        <f>HYPERLINK(".\links\cluster-b\Ixsc-cement-202290-50SimCLTL7.txt", 2)</f>
        <v>2</v>
      </c>
      <c r="DH90" s="75">
        <f>HYPERLINK(".\links\cluster-b\Ixsc-cement-202295-50SimCLU7.txt", 7)</f>
        <v>7</v>
      </c>
      <c r="DI90" s="75">
        <f>HYPERLINK(".\links\cluster-b\Ixsc-cement-202295-50SimCLTL7.txt", 2)</f>
        <v>2</v>
      </c>
      <c r="DJ90" s="75" t="s">
        <v>183</v>
      </c>
      <c r="DK90" s="75" t="str">
        <f>HYPERLINK(".\links\AAM-CEMENT-2018\EEC20127.1-AAM-CEMENT-2018.txt","Extracted CDS")</f>
        <v>Extracted CDS</v>
      </c>
      <c r="DL90" s="75" t="str">
        <f>HYPERLINK("http://www.ncbi.nlm.nih.gov/sutils/blink.cgi?pid=Aam-179803","3.5")</f>
        <v>3.5</v>
      </c>
      <c r="DM90" s="75" t="str">
        <f>HYPERLINK("http://www.ncbi.nlm.nih.gov/protein/Aam-179803","Aam-179803")</f>
        <v>Aam-179803</v>
      </c>
      <c r="DN90" s="75">
        <v>20</v>
      </c>
      <c r="DO90" s="75">
        <v>22</v>
      </c>
      <c r="DP90" s="75">
        <v>446</v>
      </c>
      <c r="DQ90" s="75">
        <v>36</v>
      </c>
      <c r="DR90" s="75">
        <v>54</v>
      </c>
      <c r="DS90" s="75">
        <v>5</v>
      </c>
      <c r="DT90" s="75">
        <v>14</v>
      </c>
      <c r="DU90" s="75">
        <v>0</v>
      </c>
      <c r="DV90" s="75">
        <v>219</v>
      </c>
      <c r="DW90" s="75">
        <v>30</v>
      </c>
      <c r="DX90" s="75">
        <v>1</v>
      </c>
      <c r="DY90" s="75" t="s">
        <v>2775</v>
      </c>
      <c r="DZ90" s="75" t="str">
        <f>HYPERLINK(".\links\CDD\EEC20127.1-CDD.txt","hsFATP4_like Fatty acid transport proteins")</f>
        <v>hsFATP4_like Fatty acid transport proteins</v>
      </c>
      <c r="EA90" s="75">
        <v>5.8</v>
      </c>
      <c r="EB90" s="75">
        <v>13.3</v>
      </c>
      <c r="EC90" s="75" t="s">
        <v>3325</v>
      </c>
      <c r="ED90" s="75" t="s">
        <v>3326</v>
      </c>
      <c r="EE90" s="75" t="str">
        <f>HYPERLINK(".\links\KOG\EEC20127.1-KOG.txt","CDD:225467 COG2915, COG2915, Uncharacterized protein involved in purine metabolism")</f>
        <v>CDD:225467 COG2915, COG2915, Uncharacterized protein involved in purine metabolism</v>
      </c>
      <c r="EF90" s="75">
        <v>6.6</v>
      </c>
      <c r="EG90" s="75">
        <v>23.2</v>
      </c>
      <c r="EH90" s="75" t="s">
        <v>3319</v>
      </c>
      <c r="EI90" s="75" t="s">
        <v>2779</v>
      </c>
      <c r="EJ90" s="75" t="str">
        <f>HYPERLINK(".\links\PFAM\EEC20127.1-PFAM.txt","YrbL-PhoP_reg PhoP regulatory network protein YrbL")</f>
        <v>YrbL-PhoP_reg PhoP regulatory network protein YrbL</v>
      </c>
      <c r="EK90" s="75">
        <v>7.7</v>
      </c>
      <c r="EL90" s="75">
        <v>21.5</v>
      </c>
      <c r="EM90" s="75" t="s">
        <v>3327</v>
      </c>
      <c r="EN90" s="75" t="s">
        <v>2772</v>
      </c>
      <c r="EO90" s="75" t="str">
        <f>HYPERLINK(".\links\SMART\EEC20127.1-SMART.txt","CDD:197991 smart00923, MbtH, MbtH-like protein")</f>
        <v>CDD:197991 smart00923, MbtH, MbtH-like protein</v>
      </c>
      <c r="EP90" s="75">
        <v>0.78</v>
      </c>
      <c r="EQ90" s="75">
        <v>40.799999999999997</v>
      </c>
      <c r="ER90" s="75" t="s">
        <v>3320</v>
      </c>
      <c r="ES90" s="75" t="s">
        <v>2772</v>
      </c>
      <c r="ET90" s="75" t="str">
        <f>HYPERLINK(".\links\TSF\EEC20127.1-TSF.txt","40-451 40-451, Microplusin||S|AM")</f>
        <v>40-451 40-451, Microplusin||S|AM</v>
      </c>
      <c r="EU90" s="79">
        <v>6E-65</v>
      </c>
      <c r="EV90" s="75">
        <v>100</v>
      </c>
      <c r="EW90" s="75" t="s">
        <v>3321</v>
      </c>
      <c r="EX90" s="75" t="s">
        <v>3322</v>
      </c>
      <c r="EY90" s="75" t="s">
        <v>2772</v>
      </c>
      <c r="EZ90" s="75" t="s">
        <v>2785</v>
      </c>
      <c r="FA90" s="75" t="s">
        <v>3323</v>
      </c>
    </row>
    <row r="91" spans="1:157" x14ac:dyDescent="0.2">
      <c r="A91" s="75" t="str">
        <f>HYPERLINK(".\links\PEP\EEC20594.1-PEP.txt","EEC20594.1")</f>
        <v>EEC20594.1</v>
      </c>
      <c r="B91" s="75" t="s">
        <v>2768</v>
      </c>
      <c r="C91" s="75">
        <v>291</v>
      </c>
      <c r="D91" s="75" t="s">
        <v>3328</v>
      </c>
      <c r="E91" s="76" t="s">
        <v>3329</v>
      </c>
      <c r="F91" s="75" t="s">
        <v>2771</v>
      </c>
      <c r="G91" s="75" t="str">
        <f>HYPERLINK(".\links\Sigp\EEC20594.1-SigP.txt","CYT")</f>
        <v>CYT</v>
      </c>
      <c r="H91" s="75" t="s">
        <v>2772</v>
      </c>
      <c r="I91" s="75">
        <v>33.006999999999998</v>
      </c>
      <c r="J91" s="75">
        <v>9</v>
      </c>
      <c r="K91" s="75" t="s">
        <v>2772</v>
      </c>
      <c r="L91" s="75" t="s">
        <v>2772</v>
      </c>
      <c r="M91" s="75" t="str">
        <f>HYPERLINK(".\links\netoglyc\EEC20594.1-netoglyc.txt","16")</f>
        <v>16</v>
      </c>
      <c r="N91" s="75" t="s">
        <v>2817</v>
      </c>
      <c r="O91" s="75">
        <v>291</v>
      </c>
      <c r="P91" s="75">
        <v>0</v>
      </c>
      <c r="Q91" s="75" t="s">
        <v>2772</v>
      </c>
      <c r="R91" s="75" t="s">
        <v>2772</v>
      </c>
      <c r="S91" s="75" t="s">
        <v>2772</v>
      </c>
      <c r="T91" s="75" t="s">
        <v>2772</v>
      </c>
      <c r="U91" s="75" t="s">
        <v>2772</v>
      </c>
      <c r="V91" s="75" t="s">
        <v>2772</v>
      </c>
      <c r="W91" s="75">
        <v>14.1</v>
      </c>
      <c r="X91" s="75">
        <v>4.7</v>
      </c>
      <c r="Y91" s="75">
        <v>9.1</v>
      </c>
      <c r="Z91" s="75" t="s">
        <v>2774</v>
      </c>
      <c r="AA91" s="77">
        <v>14.0893470790378</v>
      </c>
      <c r="AB91" s="75">
        <v>0.33</v>
      </c>
      <c r="AD91" s="75">
        <v>5</v>
      </c>
      <c r="AE91" s="75" t="s">
        <v>2772</v>
      </c>
      <c r="AF91" s="75" t="s">
        <v>2772</v>
      </c>
      <c r="AG91" s="75" t="s">
        <v>2772</v>
      </c>
      <c r="AH91" s="75" t="s">
        <v>2772</v>
      </c>
      <c r="AI91" s="75" t="s">
        <v>2772</v>
      </c>
      <c r="AJ91" s="75">
        <v>1</v>
      </c>
      <c r="AK91" s="75" t="s">
        <v>2772</v>
      </c>
      <c r="AL91" s="75" t="s">
        <v>2772</v>
      </c>
      <c r="AM91" s="75" t="s">
        <v>2772</v>
      </c>
      <c r="AN91" s="75" t="s">
        <v>2772</v>
      </c>
      <c r="AO91" s="78" t="str">
        <f>HYPERLINK(".\links\AAM-CEMENT-2018\EEC20594.1-AAM-CEMENT-2018.txt","Extracted CDS")</f>
        <v>Extracted CDS</v>
      </c>
      <c r="AP91" s="75" t="str">
        <f>HYPERLINK("http://www.ncbi.nlm.nih.gov/sutils/blink.cgi?pid=Aam-203387","0.079")</f>
        <v>0.079</v>
      </c>
      <c r="AQ91" s="75" t="str">
        <f>HYPERLINK("http://www.ncbi.nlm.nih.gov/protein/Aam-203387","Aam-203387")</f>
        <v>Aam-203387</v>
      </c>
      <c r="AR91" s="75">
        <v>26.9</v>
      </c>
      <c r="AS91" s="75">
        <v>43</v>
      </c>
      <c r="AT91" s="75">
        <v>548</v>
      </c>
      <c r="AU91" s="75">
        <v>41</v>
      </c>
      <c r="AV91" s="75">
        <v>51</v>
      </c>
      <c r="AW91" s="75">
        <v>8</v>
      </c>
      <c r="AX91" s="75">
        <v>25</v>
      </c>
      <c r="AY91" s="75">
        <v>4</v>
      </c>
      <c r="AZ91" s="75">
        <v>380</v>
      </c>
      <c r="BA91" s="75">
        <v>116</v>
      </c>
      <c r="BB91" s="75">
        <v>1</v>
      </c>
      <c r="BC91" s="75" t="s">
        <v>2775</v>
      </c>
      <c r="BD91" s="78" t="str">
        <f>HYPERLINK(".\links\CDD\EEC20594.1-CDD.txt","ATP11 ATP11 protein")</f>
        <v>ATP11 ATP11 protein</v>
      </c>
      <c r="BE91" s="79">
        <v>1E-46</v>
      </c>
      <c r="BF91" s="75">
        <v>101.1</v>
      </c>
      <c r="BG91" s="75" t="s">
        <v>3330</v>
      </c>
      <c r="BH91" s="75" t="s">
        <v>3331</v>
      </c>
      <c r="BI91" s="75" t="str">
        <f>HYPERLINK(".\links\KOG\EEC20594.1-KOG.txt","CDD:223225 COG0147, TrpE, Anthranilate/para-aminobenzoate synthases component I")</f>
        <v>CDD:223225 COG0147, TrpE, Anthranilate/para-aminobenzoate synthases component I</v>
      </c>
      <c r="BJ91" s="75">
        <v>1.4</v>
      </c>
      <c r="BK91" s="75">
        <v>5</v>
      </c>
      <c r="BL91" s="75" t="s">
        <v>3332</v>
      </c>
      <c r="BM91" s="75" t="s">
        <v>2779</v>
      </c>
      <c r="BN91" s="78" t="str">
        <f>HYPERLINK(".\links\PFAM\EEC20594.1-PFAM.txt","ATP11 ATP11 protein")</f>
        <v>ATP11 ATP11 protein</v>
      </c>
      <c r="BO91" s="79">
        <v>3.0000000000000002E-47</v>
      </c>
      <c r="BP91" s="75">
        <v>101.1</v>
      </c>
      <c r="BQ91" s="75" t="s">
        <v>3330</v>
      </c>
      <c r="BR91" s="75" t="s">
        <v>2772</v>
      </c>
      <c r="BS91" s="78" t="str">
        <f>HYPERLINK(".\links\SMART\EEC20594.1-SMART.txt","CDD:214981 smart01025, BEN, The BEN domain is found in diverse animal proteins")</f>
        <v>CDD:214981 smart01025, BEN, The BEN domain is found in diverse animal proteins</v>
      </c>
      <c r="BT91" s="75">
        <v>5.0999999999999997E-2</v>
      </c>
      <c r="BU91" s="75">
        <v>67.5</v>
      </c>
      <c r="BV91" s="75" t="s">
        <v>3333</v>
      </c>
      <c r="BW91" s="75" t="s">
        <v>2772</v>
      </c>
      <c r="BX91" s="78" t="str">
        <f>HYPERLINK(".\links\TSF\EEC20594.1-TSF.txt","50-31 50-31, Lipocalin | P32 antigen |S| ")</f>
        <v xml:space="preserve">50-31 50-31, Lipocalin | P32 antigen |S| </v>
      </c>
      <c r="BY91" s="75">
        <v>2.3E-2</v>
      </c>
      <c r="BZ91" s="75">
        <v>24.2</v>
      </c>
      <c r="CA91" s="75" t="s">
        <v>3334</v>
      </c>
      <c r="CB91" s="75" t="s">
        <v>3335</v>
      </c>
      <c r="CC91" s="75" t="s">
        <v>3336</v>
      </c>
      <c r="CD91" s="75" t="s">
        <v>2785</v>
      </c>
      <c r="CE91" s="75" t="s">
        <v>3337</v>
      </c>
      <c r="CF91" s="75">
        <v>71</v>
      </c>
      <c r="CG91" s="75">
        <v>1</v>
      </c>
      <c r="CH91" s="75">
        <v>82</v>
      </c>
      <c r="CI91" s="75">
        <v>1</v>
      </c>
      <c r="CJ91" s="75">
        <v>84</v>
      </c>
      <c r="CK91" s="75">
        <v>1</v>
      </c>
      <c r="CL91" s="75">
        <v>88</v>
      </c>
      <c r="CM91" s="75">
        <v>1</v>
      </c>
      <c r="CN91" s="75">
        <v>93</v>
      </c>
      <c r="CO91" s="75">
        <v>1</v>
      </c>
      <c r="CP91" s="75">
        <v>95</v>
      </c>
      <c r="CQ91" s="75">
        <v>1</v>
      </c>
      <c r="CR91" s="75">
        <v>96</v>
      </c>
      <c r="CS91" s="75">
        <v>1</v>
      </c>
      <c r="CT91" s="75">
        <v>100</v>
      </c>
      <c r="CU91" s="75">
        <v>1</v>
      </c>
      <c r="CV91" s="75">
        <v>104</v>
      </c>
      <c r="CW91" s="75">
        <v>1</v>
      </c>
      <c r="CX91" s="75">
        <v>108</v>
      </c>
      <c r="CY91" s="75">
        <v>1</v>
      </c>
      <c r="CZ91" s="75">
        <v>111</v>
      </c>
      <c r="DA91" s="75">
        <v>1</v>
      </c>
      <c r="DB91" s="75">
        <v>117</v>
      </c>
      <c r="DC91" s="75">
        <v>1</v>
      </c>
      <c r="DD91" s="75">
        <v>122</v>
      </c>
      <c r="DE91" s="75">
        <v>1</v>
      </c>
      <c r="DF91" s="75">
        <v>124</v>
      </c>
      <c r="DG91" s="75">
        <v>1</v>
      </c>
      <c r="DH91" s="75">
        <v>125</v>
      </c>
      <c r="DI91" s="75">
        <v>1</v>
      </c>
      <c r="DJ91" s="75" t="s">
        <v>9</v>
      </c>
      <c r="DK91" s="75" t="str">
        <f>HYPERLINK(".\links\AAM-CEMENT-2018\EEC20594.1-AAM-CEMENT-2018.txt","Extracted CDS")</f>
        <v>Extracted CDS</v>
      </c>
      <c r="DL91" s="75" t="str">
        <f>HYPERLINK("http://www.ncbi.nlm.nih.gov/sutils/blink.cgi?pid=Aam-203387","0.079")</f>
        <v>0.079</v>
      </c>
      <c r="DM91" s="75" t="str">
        <f>HYPERLINK("http://www.ncbi.nlm.nih.gov/protein/Aam-203387","Aam-203387")</f>
        <v>Aam-203387</v>
      </c>
      <c r="DN91" s="75">
        <v>26.9</v>
      </c>
      <c r="DO91" s="75">
        <v>43</v>
      </c>
      <c r="DP91" s="75">
        <v>548</v>
      </c>
      <c r="DQ91" s="75">
        <v>41</v>
      </c>
      <c r="DR91" s="75">
        <v>51</v>
      </c>
      <c r="DS91" s="75">
        <v>8</v>
      </c>
      <c r="DT91" s="75">
        <v>25</v>
      </c>
      <c r="DU91" s="75">
        <v>4</v>
      </c>
      <c r="DV91" s="75">
        <v>380</v>
      </c>
      <c r="DW91" s="75">
        <v>116</v>
      </c>
      <c r="DX91" s="75">
        <v>1</v>
      </c>
      <c r="DY91" s="75" t="s">
        <v>2775</v>
      </c>
      <c r="DZ91" s="75" t="str">
        <f>HYPERLINK(".\links\CDD\EEC20594.1-CDD.txt","ATP11 ATP11 protein")</f>
        <v>ATP11 ATP11 protein</v>
      </c>
      <c r="EA91" s="79">
        <v>1E-46</v>
      </c>
      <c r="EB91" s="75">
        <v>101.1</v>
      </c>
      <c r="EC91" s="75" t="s">
        <v>3330</v>
      </c>
      <c r="ED91" s="75" t="s">
        <v>3331</v>
      </c>
      <c r="EE91" s="75" t="str">
        <f>HYPERLINK(".\links\KOG\EEC20594.1-KOG.txt","CDD:223225 COG0147, TrpE, Anthranilate/para-aminobenzoate synthases component I")</f>
        <v>CDD:223225 COG0147, TrpE, Anthranilate/para-aminobenzoate synthases component I</v>
      </c>
      <c r="EF91" s="75">
        <v>1.4</v>
      </c>
      <c r="EG91" s="75">
        <v>5</v>
      </c>
      <c r="EH91" s="75" t="s">
        <v>3332</v>
      </c>
      <c r="EI91" s="75" t="s">
        <v>2779</v>
      </c>
      <c r="EJ91" s="75" t="str">
        <f>HYPERLINK(".\links\PFAM\EEC20594.1-PFAM.txt","ATP11 ATP11 protein")</f>
        <v>ATP11 ATP11 protein</v>
      </c>
      <c r="EK91" s="79">
        <v>3.0000000000000002E-47</v>
      </c>
      <c r="EL91" s="75">
        <v>101.1</v>
      </c>
      <c r="EM91" s="75" t="s">
        <v>3330</v>
      </c>
      <c r="EN91" s="75" t="s">
        <v>2772</v>
      </c>
      <c r="EO91" s="75" t="str">
        <f>HYPERLINK(".\links\SMART\EEC20594.1-SMART.txt","CDD:214981 smart01025, BEN, The BEN domain is found in diverse animal proteins")</f>
        <v>CDD:214981 smart01025, BEN, The BEN domain is found in diverse animal proteins</v>
      </c>
      <c r="EP91" s="75">
        <v>5.0999999999999997E-2</v>
      </c>
      <c r="EQ91" s="75">
        <v>67.5</v>
      </c>
      <c r="ER91" s="75" t="s">
        <v>3333</v>
      </c>
      <c r="ES91" s="75" t="s">
        <v>2772</v>
      </c>
      <c r="ET91" s="75" t="str">
        <f>HYPERLINK(".\links\TSF\EEC20594.1-TSF.txt","50-31 50-31, Lipocalin | P32 antigen |S| ")</f>
        <v xml:space="preserve">50-31 50-31, Lipocalin | P32 antigen |S| </v>
      </c>
      <c r="EU91" s="75">
        <v>2.3E-2</v>
      </c>
      <c r="EV91" s="75">
        <v>24.2</v>
      </c>
      <c r="EW91" s="75" t="s">
        <v>3334</v>
      </c>
      <c r="EX91" s="75" t="s">
        <v>3335</v>
      </c>
      <c r="EY91" s="75" t="s">
        <v>3336</v>
      </c>
      <c r="EZ91" s="75" t="s">
        <v>2785</v>
      </c>
      <c r="FA91" s="75" t="s">
        <v>3337</v>
      </c>
    </row>
    <row r="92" spans="1:157" x14ac:dyDescent="0.2">
      <c r="A92" s="75" t="str">
        <f>HYPERLINK(".\links\PEP\EEC16446.1-PEP.txt","EEC16446.1")</f>
        <v>EEC16446.1</v>
      </c>
      <c r="B92" s="75" t="s">
        <v>2768</v>
      </c>
      <c r="C92" s="75">
        <v>224</v>
      </c>
      <c r="D92" s="75" t="s">
        <v>3338</v>
      </c>
      <c r="E92" s="76" t="s">
        <v>3339</v>
      </c>
      <c r="F92" s="75" t="s">
        <v>2771</v>
      </c>
      <c r="G92" s="75" t="str">
        <f>HYPERLINK(".\links\Sigp\EEC16446.1-SigP.txt","CYT")</f>
        <v>CYT</v>
      </c>
      <c r="H92" s="75" t="s">
        <v>2772</v>
      </c>
      <c r="I92" s="75">
        <v>24.212</v>
      </c>
      <c r="J92" s="75">
        <v>4.62</v>
      </c>
      <c r="K92" s="75" t="s">
        <v>2772</v>
      </c>
      <c r="L92" s="75" t="s">
        <v>2772</v>
      </c>
      <c r="M92" s="75" t="str">
        <f>HYPERLINK(".\links\netoglyc\EEC16446.1-netoglyc.txt","3")</f>
        <v>3</v>
      </c>
      <c r="N92" s="75" t="s">
        <v>2817</v>
      </c>
      <c r="O92" s="75">
        <v>224</v>
      </c>
      <c r="P92" s="75">
        <v>0</v>
      </c>
      <c r="Q92" s="75" t="s">
        <v>2772</v>
      </c>
      <c r="R92" s="75" t="s">
        <v>2772</v>
      </c>
      <c r="S92" s="75" t="s">
        <v>2772</v>
      </c>
      <c r="T92" s="75" t="s">
        <v>2772</v>
      </c>
      <c r="U92" s="75" t="s">
        <v>2772</v>
      </c>
      <c r="V92" s="75" t="s">
        <v>2772</v>
      </c>
      <c r="W92" s="75">
        <v>14.8</v>
      </c>
      <c r="X92" s="75">
        <v>5.2</v>
      </c>
      <c r="Y92" s="75">
        <v>3.1</v>
      </c>
      <c r="Z92" s="75" t="s">
        <v>2774</v>
      </c>
      <c r="AA92" s="77">
        <v>8.4821428571428594</v>
      </c>
      <c r="AB92" s="75">
        <v>0.4</v>
      </c>
      <c r="AD92" s="75">
        <v>1</v>
      </c>
      <c r="AE92" s="75" t="s">
        <v>2772</v>
      </c>
      <c r="AF92" s="75" t="s">
        <v>2772</v>
      </c>
      <c r="AG92" s="75" t="s">
        <v>2772</v>
      </c>
      <c r="AH92" s="75" t="s">
        <v>2772</v>
      </c>
      <c r="AI92" s="75" t="s">
        <v>2772</v>
      </c>
      <c r="AJ92" s="75" t="s">
        <v>2772</v>
      </c>
      <c r="AK92" s="75" t="s">
        <v>2772</v>
      </c>
      <c r="AL92" s="75" t="s">
        <v>2772</v>
      </c>
      <c r="AM92" s="75" t="s">
        <v>2772</v>
      </c>
      <c r="AN92" s="75" t="s">
        <v>2772</v>
      </c>
      <c r="AO92" s="78" t="str">
        <f>HYPERLINK(".\links\AAM-CEMENT-2018\EEC16446.1-AAM-CEMENT-2018.txt","contig99147")</f>
        <v>contig99147</v>
      </c>
      <c r="AP92" s="75" t="str">
        <f>HYPERLINK("http://www.ncbi.nlm.nih.gov/sutils/blink.cgi?pid=contig99147","8.5")</f>
        <v>8.5</v>
      </c>
      <c r="AQ92" s="75" t="str">
        <f>HYPERLINK("http://www.ncbi.nlm.nih.gov/protein/contig99147","contig99147")</f>
        <v>contig99147</v>
      </c>
      <c r="AR92" s="75">
        <v>19.2</v>
      </c>
      <c r="AS92" s="75">
        <v>23</v>
      </c>
      <c r="AT92" s="75">
        <v>78</v>
      </c>
      <c r="AU92" s="75">
        <v>34</v>
      </c>
      <c r="AV92" s="75">
        <v>56</v>
      </c>
      <c r="AW92" s="75">
        <v>29</v>
      </c>
      <c r="AX92" s="75">
        <v>15</v>
      </c>
      <c r="AY92" s="75">
        <v>0</v>
      </c>
      <c r="AZ92" s="75">
        <v>32</v>
      </c>
      <c r="BA92" s="75">
        <v>67</v>
      </c>
      <c r="BB92" s="75">
        <v>1</v>
      </c>
      <c r="BC92" s="75" t="s">
        <v>2772</v>
      </c>
      <c r="BD92" s="78" t="str">
        <f>HYPERLINK(".\links\CDD\EEC16446.1-CDD.txt","NAC NAC domain")</f>
        <v>NAC NAC domain</v>
      </c>
      <c r="BE92" s="79">
        <v>5.9999999999999998E-21</v>
      </c>
      <c r="BF92" s="75">
        <v>100</v>
      </c>
      <c r="BG92" s="75" t="s">
        <v>3340</v>
      </c>
      <c r="BH92" s="75" t="s">
        <v>3341</v>
      </c>
      <c r="BI92" s="75" t="str">
        <f>HYPERLINK(".\links\KOG\EEC16446.1-KOG.txt","CDD:224227 COG1308, EGD2, Transcription factor homologous to NACalpha-BTF3")</f>
        <v>CDD:224227 COG1308, EGD2, Transcription factor homologous to NACalpha-BTF3</v>
      </c>
      <c r="BJ92" s="79">
        <v>2.9999999999999998E-15</v>
      </c>
      <c r="BK92" s="75">
        <v>122.1</v>
      </c>
      <c r="BL92" s="75" t="s">
        <v>3342</v>
      </c>
      <c r="BM92" s="75" t="s">
        <v>2779</v>
      </c>
      <c r="BN92" s="78" t="str">
        <f>HYPERLINK(".\links\PFAM\EEC16446.1-PFAM.txt","NAC NAC domain")</f>
        <v>NAC NAC domain</v>
      </c>
      <c r="BO92" s="79">
        <v>9.9999999999999991E-22</v>
      </c>
      <c r="BP92" s="75">
        <v>100</v>
      </c>
      <c r="BQ92" s="75" t="s">
        <v>3340</v>
      </c>
      <c r="BR92" s="75" t="s">
        <v>2772</v>
      </c>
      <c r="BS92" s="78" t="str">
        <f>HYPERLINK(".\links\SMART\EEC16446.1-SMART.txt","CDD:197827 smart00673, CARP, Domain in CAPs")</f>
        <v>CDD:197827 smart00673, CARP, Domain in CAPs</v>
      </c>
      <c r="BT92" s="75">
        <v>0.48</v>
      </c>
      <c r="BU92" s="75">
        <v>60.5</v>
      </c>
      <c r="BV92" s="75" t="s">
        <v>3343</v>
      </c>
      <c r="BW92" s="75" t="s">
        <v>2772</v>
      </c>
      <c r="BX92" s="78" t="str">
        <f>HYPERLINK(".\links\TSF\EEC16446.1-TSF.txt","25-184 25-184, ABCTransporter||H |")</f>
        <v>25-184 25-184, ABCTransporter||H |</v>
      </c>
      <c r="BY92" s="75">
        <v>0.46</v>
      </c>
      <c r="BZ92" s="75">
        <v>4.4000000000000004</v>
      </c>
      <c r="CA92" s="75" t="s">
        <v>3344</v>
      </c>
      <c r="CB92" s="75" t="s">
        <v>3345</v>
      </c>
      <c r="CC92" s="75" t="s">
        <v>2772</v>
      </c>
      <c r="CD92" s="75" t="s">
        <v>3346</v>
      </c>
      <c r="CE92" s="75" t="s">
        <v>3347</v>
      </c>
      <c r="CF92" s="75">
        <v>62</v>
      </c>
      <c r="CG92" s="75">
        <v>1</v>
      </c>
      <c r="CH92" s="75">
        <v>73</v>
      </c>
      <c r="CI92" s="75">
        <v>1</v>
      </c>
      <c r="CJ92" s="75">
        <v>74</v>
      </c>
      <c r="CK92" s="75">
        <v>1</v>
      </c>
      <c r="CL92" s="75">
        <v>78</v>
      </c>
      <c r="CM92" s="75">
        <v>1</v>
      </c>
      <c r="CN92" s="75">
        <v>82</v>
      </c>
      <c r="CO92" s="75">
        <v>1</v>
      </c>
      <c r="CP92" s="75">
        <v>84</v>
      </c>
      <c r="CQ92" s="75">
        <v>1</v>
      </c>
      <c r="CR92" s="75">
        <v>85</v>
      </c>
      <c r="CS92" s="75">
        <v>1</v>
      </c>
      <c r="CT92" s="75">
        <v>89</v>
      </c>
      <c r="CU92" s="75">
        <v>1</v>
      </c>
      <c r="CV92" s="75">
        <v>92</v>
      </c>
      <c r="CW92" s="75">
        <v>1</v>
      </c>
      <c r="CX92" s="75">
        <v>96</v>
      </c>
      <c r="CY92" s="75">
        <v>1</v>
      </c>
      <c r="CZ92" s="75">
        <v>98</v>
      </c>
      <c r="DA92" s="75">
        <v>1</v>
      </c>
      <c r="DB92" s="75">
        <v>104</v>
      </c>
      <c r="DC92" s="75">
        <v>1</v>
      </c>
      <c r="DD92" s="75">
        <v>108</v>
      </c>
      <c r="DE92" s="75">
        <v>1</v>
      </c>
      <c r="DF92" s="75">
        <v>110</v>
      </c>
      <c r="DG92" s="75">
        <v>1</v>
      </c>
      <c r="DH92" s="75">
        <v>111</v>
      </c>
      <c r="DI92" s="75">
        <v>1</v>
      </c>
      <c r="DJ92" s="75" t="s">
        <v>159</v>
      </c>
      <c r="DK92" s="75" t="str">
        <f>HYPERLINK(".\links\AAM-CEMENT-2018\EEC16446.1-AAM-CEMENT-2018.txt","contig99147")</f>
        <v>contig99147</v>
      </c>
      <c r="DL92" s="75" t="str">
        <f>HYPERLINK("http://www.ncbi.nlm.nih.gov/sutils/blink.cgi?pid=contig99147","8.5")</f>
        <v>8.5</v>
      </c>
      <c r="DM92" s="75" t="str">
        <f>HYPERLINK("http://www.ncbi.nlm.nih.gov/protein/contig99147","contig99147")</f>
        <v>contig99147</v>
      </c>
      <c r="DN92" s="75">
        <v>19.2</v>
      </c>
      <c r="DO92" s="75">
        <v>23</v>
      </c>
      <c r="DP92" s="75">
        <v>78</v>
      </c>
      <c r="DQ92" s="75">
        <v>34</v>
      </c>
      <c r="DR92" s="75">
        <v>56</v>
      </c>
      <c r="DS92" s="75">
        <v>29</v>
      </c>
      <c r="DT92" s="75">
        <v>15</v>
      </c>
      <c r="DU92" s="75">
        <v>0</v>
      </c>
      <c r="DV92" s="75">
        <v>32</v>
      </c>
      <c r="DW92" s="75">
        <v>67</v>
      </c>
      <c r="DX92" s="75">
        <v>1</v>
      </c>
      <c r="DY92" s="75" t="s">
        <v>2772</v>
      </c>
      <c r="DZ92" s="75" t="str">
        <f>HYPERLINK(".\links\CDD\EEC16446.1-CDD.txt","NAC NAC domain")</f>
        <v>NAC NAC domain</v>
      </c>
      <c r="EA92" s="79">
        <v>5.9999999999999998E-21</v>
      </c>
      <c r="EB92" s="75">
        <v>100</v>
      </c>
      <c r="EC92" s="75" t="s">
        <v>3340</v>
      </c>
      <c r="ED92" s="75" t="s">
        <v>3341</v>
      </c>
      <c r="EE92" s="75" t="str">
        <f>HYPERLINK(".\links\KOG\EEC16446.1-KOG.txt","CDD:224227 COG1308, EGD2, Transcription factor homologous to NACalpha-BTF3")</f>
        <v>CDD:224227 COG1308, EGD2, Transcription factor homologous to NACalpha-BTF3</v>
      </c>
      <c r="EF92" s="79">
        <v>2.9999999999999998E-15</v>
      </c>
      <c r="EG92" s="75">
        <v>122.1</v>
      </c>
      <c r="EH92" s="75" t="s">
        <v>3342</v>
      </c>
      <c r="EI92" s="75" t="s">
        <v>2779</v>
      </c>
      <c r="EJ92" s="75" t="str">
        <f>HYPERLINK(".\links\PFAM\EEC16446.1-PFAM.txt","NAC NAC domain")</f>
        <v>NAC NAC domain</v>
      </c>
      <c r="EK92" s="79">
        <v>9.9999999999999991E-22</v>
      </c>
      <c r="EL92" s="75">
        <v>100</v>
      </c>
      <c r="EM92" s="75" t="s">
        <v>3340</v>
      </c>
      <c r="EN92" s="75" t="s">
        <v>2772</v>
      </c>
      <c r="EO92" s="75" t="str">
        <f>HYPERLINK(".\links\SMART\EEC16446.1-SMART.txt","CDD:197827 smart00673, CARP, Domain in CAPs")</f>
        <v>CDD:197827 smart00673, CARP, Domain in CAPs</v>
      </c>
      <c r="EP92" s="75">
        <v>0.48</v>
      </c>
      <c r="EQ92" s="75">
        <v>60.5</v>
      </c>
      <c r="ER92" s="75" t="s">
        <v>3343</v>
      </c>
      <c r="ES92" s="75" t="s">
        <v>2772</v>
      </c>
      <c r="ET92" s="75" t="str">
        <f>HYPERLINK(".\links\TSF\EEC16446.1-TSF.txt","25-184 25-184, ABCTransporter||H |")</f>
        <v>25-184 25-184, ABCTransporter||H |</v>
      </c>
      <c r="EU92" s="75">
        <v>0.46</v>
      </c>
      <c r="EV92" s="75">
        <v>4.4000000000000004</v>
      </c>
      <c r="EW92" s="75" t="s">
        <v>3344</v>
      </c>
      <c r="EX92" s="75" t="s">
        <v>3345</v>
      </c>
      <c r="EY92" s="75" t="s">
        <v>2772</v>
      </c>
      <c r="EZ92" s="75" t="s">
        <v>3346</v>
      </c>
      <c r="FA92" s="75" t="s">
        <v>3347</v>
      </c>
    </row>
    <row r="93" spans="1:157" x14ac:dyDescent="0.2">
      <c r="A93" s="75" t="str">
        <f>HYPERLINK(".\links\PEP\EEC14178.1-PEP.txt","EEC14178.1")</f>
        <v>EEC14178.1</v>
      </c>
      <c r="B93" s="75" t="s">
        <v>2768</v>
      </c>
      <c r="C93" s="75">
        <v>609</v>
      </c>
      <c r="D93" s="75" t="s">
        <v>3348</v>
      </c>
      <c r="E93" s="76" t="s">
        <v>3349</v>
      </c>
      <c r="F93" s="75" t="s">
        <v>2771</v>
      </c>
      <c r="G93" s="75" t="str">
        <f>HYPERLINK(".\links\Sigp\EEC14178.1-SigP.txt","CYT")</f>
        <v>CYT</v>
      </c>
      <c r="H93" s="75" t="s">
        <v>2772</v>
      </c>
      <c r="I93" s="75">
        <v>68.558999999999997</v>
      </c>
      <c r="J93" s="75">
        <v>7.13</v>
      </c>
      <c r="K93" s="75" t="s">
        <v>2772</v>
      </c>
      <c r="L93" s="75" t="s">
        <v>2772</v>
      </c>
      <c r="M93" s="75" t="str">
        <f>HYPERLINK(".\links\netoglyc\EEC14178.1-netoglyc.txt","0")</f>
        <v>0</v>
      </c>
      <c r="N93" s="75" t="s">
        <v>2817</v>
      </c>
      <c r="O93" s="75">
        <v>609</v>
      </c>
      <c r="P93" s="75">
        <v>0</v>
      </c>
      <c r="Q93" s="75" t="s">
        <v>2772</v>
      </c>
      <c r="R93" s="75" t="s">
        <v>2772</v>
      </c>
      <c r="S93" s="75" t="s">
        <v>2772</v>
      </c>
      <c r="T93" s="75" t="s">
        <v>2772</v>
      </c>
      <c r="U93" s="75" t="s">
        <v>2772</v>
      </c>
      <c r="V93" s="75" t="s">
        <v>2772</v>
      </c>
      <c r="W93" s="75">
        <v>12.9</v>
      </c>
      <c r="X93" s="75">
        <v>7.8</v>
      </c>
      <c r="Y93" s="75">
        <v>3.9</v>
      </c>
      <c r="Z93" s="75" t="s">
        <v>2774</v>
      </c>
      <c r="AA93" s="77">
        <v>11.822660098522199</v>
      </c>
      <c r="AB93" s="75">
        <v>0.41</v>
      </c>
      <c r="AD93" s="75">
        <v>0</v>
      </c>
      <c r="AE93" s="75" t="s">
        <v>2772</v>
      </c>
      <c r="AF93" s="75" t="s">
        <v>2772</v>
      </c>
      <c r="AG93" s="75" t="s">
        <v>2772</v>
      </c>
      <c r="AH93" s="75" t="s">
        <v>2772</v>
      </c>
      <c r="AI93" s="75" t="s">
        <v>2772</v>
      </c>
      <c r="AJ93" s="75" t="s">
        <v>2772</v>
      </c>
      <c r="AK93" s="75" t="s">
        <v>2772</v>
      </c>
      <c r="AL93" s="75" t="s">
        <v>2772</v>
      </c>
      <c r="AM93" s="75" t="s">
        <v>2772</v>
      </c>
      <c r="AN93" s="75" t="s">
        <v>2772</v>
      </c>
      <c r="AO93" s="78" t="str">
        <f>HYPERLINK(".\links\AAM-CEMENT-2018\EEC14178.1-AAM-CEMENT-2018.txt","Extracted CDS")</f>
        <v>Extracted CDS</v>
      </c>
      <c r="AP93" s="75" t="str">
        <f>HYPERLINK("http://www.ncbi.nlm.nih.gov/sutils/blink.cgi?pid=Aam-176920","0.0")</f>
        <v>0.0</v>
      </c>
      <c r="AQ93" s="75" t="str">
        <f>HYPERLINK("http://www.ncbi.nlm.nih.gov/protein/Aam-176920","Aam-176920")</f>
        <v>Aam-176920</v>
      </c>
      <c r="AR93" s="75">
        <v>582</v>
      </c>
      <c r="AS93" s="75">
        <v>294</v>
      </c>
      <c r="AT93" s="75">
        <v>294</v>
      </c>
      <c r="AU93" s="75">
        <v>100</v>
      </c>
      <c r="AV93" s="75">
        <v>100</v>
      </c>
      <c r="AW93" s="75">
        <v>100</v>
      </c>
      <c r="AX93" s="75">
        <v>0</v>
      </c>
      <c r="AY93" s="75">
        <v>0</v>
      </c>
      <c r="AZ93" s="75">
        <v>1</v>
      </c>
      <c r="BA93" s="75">
        <v>1</v>
      </c>
      <c r="BB93" s="75">
        <v>1</v>
      </c>
      <c r="BC93" s="75" t="s">
        <v>2775</v>
      </c>
      <c r="BD93" s="78" t="str">
        <f>HYPERLINK(".\links\CDD\EEC14178.1-CDD.txt","Ubl_ubiquitin ubiquitin-like")</f>
        <v>Ubl_ubiquitin ubiquitin-like</v>
      </c>
      <c r="BE93" s="79">
        <v>2E-46</v>
      </c>
      <c r="BF93" s="75">
        <v>100</v>
      </c>
      <c r="BG93" s="75" t="s">
        <v>3350</v>
      </c>
      <c r="BH93" s="75" t="s">
        <v>3351</v>
      </c>
      <c r="BI93" s="75" t="str">
        <f>HYPERLINK(".\links\KOG\EEC14178.1-KOG.txt","CDD:319244 COG5272, UBI4, UBI4")</f>
        <v>CDD:319244 COG5272, UBI4, UBI4</v>
      </c>
      <c r="BJ93" s="79">
        <v>1E-22</v>
      </c>
      <c r="BK93" s="75">
        <v>100</v>
      </c>
      <c r="BL93" s="75" t="s">
        <v>3352</v>
      </c>
      <c r="BM93" s="75" t="s">
        <v>2779</v>
      </c>
      <c r="BN93" s="78" t="str">
        <f>HYPERLINK(".\links\PFAM\EEC14178.1-PFAM.txt","ubiquitin Ubiquitin family")</f>
        <v>ubiquitin Ubiquitin family</v>
      </c>
      <c r="BO93" s="79">
        <v>6.9999999999999995E-29</v>
      </c>
      <c r="BP93" s="75">
        <v>100</v>
      </c>
      <c r="BQ93" s="75" t="s">
        <v>3353</v>
      </c>
      <c r="BR93" s="75" t="s">
        <v>2772</v>
      </c>
      <c r="BS93" s="78" t="str">
        <f>HYPERLINK(".\links\SMART\EEC14178.1-SMART.txt","CDD:214563 smart00213, UBQ, Ubiquitin homologues")</f>
        <v>CDD:214563 smart00213, UBQ, Ubiquitin homologues</v>
      </c>
      <c r="BT93" s="79">
        <v>5.0000000000000004E-31</v>
      </c>
      <c r="BU93" s="75">
        <v>100</v>
      </c>
      <c r="BV93" s="75" t="s">
        <v>3354</v>
      </c>
      <c r="BW93" s="75" t="s">
        <v>2772</v>
      </c>
      <c r="BX93" s="78" t="str">
        <f>HYPERLINK(".\links\TSF\EEC14178.1-TSF.txt","45-182 45-182, BTSP | |S| ")</f>
        <v xml:space="preserve">45-182 45-182, BTSP | |S| </v>
      </c>
      <c r="BY93" s="75">
        <v>6</v>
      </c>
      <c r="BZ93" s="75">
        <v>21.9</v>
      </c>
      <c r="CA93" s="75" t="s">
        <v>3355</v>
      </c>
      <c r="CB93" s="75" t="s">
        <v>3356</v>
      </c>
      <c r="CC93" s="75" t="s">
        <v>2772</v>
      </c>
      <c r="CD93" s="75" t="s">
        <v>2785</v>
      </c>
      <c r="CE93" s="75" t="s">
        <v>3357</v>
      </c>
      <c r="CF93" s="75">
        <v>56</v>
      </c>
      <c r="CG93" s="75">
        <v>1</v>
      </c>
      <c r="CH93" s="75">
        <v>65</v>
      </c>
      <c r="CI93" s="75">
        <v>1</v>
      </c>
      <c r="CJ93" s="75">
        <v>66</v>
      </c>
      <c r="CK93" s="75">
        <v>1</v>
      </c>
      <c r="CL93" s="75">
        <v>70</v>
      </c>
      <c r="CM93" s="75">
        <v>1</v>
      </c>
      <c r="CN93" s="75">
        <v>74</v>
      </c>
      <c r="CO93" s="75">
        <v>1</v>
      </c>
      <c r="CP93" s="75">
        <v>76</v>
      </c>
      <c r="CQ93" s="75">
        <v>1</v>
      </c>
      <c r="CR93" s="75">
        <v>77</v>
      </c>
      <c r="CS93" s="75">
        <v>1</v>
      </c>
      <c r="CT93" s="75">
        <v>81</v>
      </c>
      <c r="CU93" s="75">
        <v>1</v>
      </c>
      <c r="CV93" s="75">
        <v>84</v>
      </c>
      <c r="CW93" s="75">
        <v>1</v>
      </c>
      <c r="CX93" s="75">
        <v>88</v>
      </c>
      <c r="CY93" s="75">
        <v>1</v>
      </c>
      <c r="CZ93" s="75">
        <v>90</v>
      </c>
      <c r="DA93" s="75">
        <v>1</v>
      </c>
      <c r="DB93" s="75">
        <v>96</v>
      </c>
      <c r="DC93" s="75">
        <v>1</v>
      </c>
      <c r="DD93" s="75">
        <v>99</v>
      </c>
      <c r="DE93" s="75">
        <v>1</v>
      </c>
      <c r="DF93" s="75">
        <v>101</v>
      </c>
      <c r="DG93" s="75">
        <v>1</v>
      </c>
      <c r="DH93" s="75">
        <v>102</v>
      </c>
      <c r="DI93" s="75">
        <v>1</v>
      </c>
      <c r="DJ93" s="75" t="s">
        <v>237</v>
      </c>
      <c r="DK93" s="75" t="str">
        <f>HYPERLINK(".\links\AAM-CEMENT-2018\EEC14178.1-AAM-CEMENT-2018.txt","Extracted CDS")</f>
        <v>Extracted CDS</v>
      </c>
      <c r="DL93" s="75" t="str">
        <f>HYPERLINK("http://www.ncbi.nlm.nih.gov/sutils/blink.cgi?pid=Aam-176920","0.0")</f>
        <v>0.0</v>
      </c>
      <c r="DM93" s="75" t="str">
        <f>HYPERLINK("http://www.ncbi.nlm.nih.gov/protein/Aam-176920","Aam-176920")</f>
        <v>Aam-176920</v>
      </c>
      <c r="DN93" s="75">
        <v>582</v>
      </c>
      <c r="DO93" s="75">
        <v>294</v>
      </c>
      <c r="DP93" s="75">
        <v>294</v>
      </c>
      <c r="DQ93" s="75">
        <v>100</v>
      </c>
      <c r="DR93" s="75">
        <v>100</v>
      </c>
      <c r="DS93" s="75">
        <v>100</v>
      </c>
      <c r="DT93" s="75">
        <v>0</v>
      </c>
      <c r="DU93" s="75">
        <v>0</v>
      </c>
      <c r="DV93" s="75">
        <v>1</v>
      </c>
      <c r="DW93" s="75">
        <v>1</v>
      </c>
      <c r="DX93" s="75">
        <v>1</v>
      </c>
      <c r="DY93" s="75" t="s">
        <v>2775</v>
      </c>
      <c r="DZ93" s="75" t="str">
        <f>HYPERLINK(".\links\CDD\EEC14178.1-CDD.txt","Ubl_ubiquitin ubiquitin-like")</f>
        <v>Ubl_ubiquitin ubiquitin-like</v>
      </c>
      <c r="EA93" s="79">
        <v>2E-46</v>
      </c>
      <c r="EB93" s="75">
        <v>100</v>
      </c>
      <c r="EC93" s="75" t="s">
        <v>3350</v>
      </c>
      <c r="ED93" s="75" t="s">
        <v>3351</v>
      </c>
      <c r="EE93" s="75" t="str">
        <f>HYPERLINK(".\links\KOG\EEC14178.1-KOG.txt","CDD:319244 COG5272, UBI4, UBI4")</f>
        <v>CDD:319244 COG5272, UBI4, UBI4</v>
      </c>
      <c r="EF93" s="79">
        <v>1E-22</v>
      </c>
      <c r="EG93" s="75">
        <v>100</v>
      </c>
      <c r="EH93" s="75" t="s">
        <v>3352</v>
      </c>
      <c r="EI93" s="75" t="s">
        <v>2779</v>
      </c>
      <c r="EJ93" s="75" t="str">
        <f>HYPERLINK(".\links\PFAM\EEC14178.1-PFAM.txt","ubiquitin Ubiquitin family")</f>
        <v>ubiquitin Ubiquitin family</v>
      </c>
      <c r="EK93" s="79">
        <v>6.9999999999999995E-29</v>
      </c>
      <c r="EL93" s="75">
        <v>100</v>
      </c>
      <c r="EM93" s="75" t="s">
        <v>3353</v>
      </c>
      <c r="EN93" s="75" t="s">
        <v>2772</v>
      </c>
      <c r="EO93" s="75" t="str">
        <f>HYPERLINK(".\links\SMART\EEC14178.1-SMART.txt","CDD:214563 smart00213, UBQ, Ubiquitin homologues")</f>
        <v>CDD:214563 smart00213, UBQ, Ubiquitin homologues</v>
      </c>
      <c r="EP93" s="79">
        <v>5.0000000000000004E-31</v>
      </c>
      <c r="EQ93" s="75">
        <v>100</v>
      </c>
      <c r="ER93" s="75" t="s">
        <v>3354</v>
      </c>
      <c r="ES93" s="75" t="s">
        <v>2772</v>
      </c>
      <c r="ET93" s="75" t="str">
        <f>HYPERLINK(".\links\TSF\EEC14178.1-TSF.txt","45-182 45-182, BTSP | |S| ")</f>
        <v xml:space="preserve">45-182 45-182, BTSP | |S| </v>
      </c>
      <c r="EU93" s="75">
        <v>6</v>
      </c>
      <c r="EV93" s="75">
        <v>21.9</v>
      </c>
      <c r="EW93" s="75" t="s">
        <v>3355</v>
      </c>
      <c r="EX93" s="75" t="s">
        <v>3356</v>
      </c>
      <c r="EY93" s="75" t="s">
        <v>2772</v>
      </c>
      <c r="EZ93" s="75" t="s">
        <v>2785</v>
      </c>
      <c r="FA93" s="75" t="s">
        <v>3357</v>
      </c>
    </row>
    <row r="94" spans="1:157" x14ac:dyDescent="0.2">
      <c r="A94" s="75" t="str">
        <f>HYPERLINK(".\links\PEP\EEC13271.1-PEP.txt","EEC13271.1")</f>
        <v>EEC13271.1</v>
      </c>
      <c r="B94" s="75" t="s">
        <v>2768</v>
      </c>
      <c r="C94" s="75">
        <v>462</v>
      </c>
      <c r="D94" s="75" t="s">
        <v>3358</v>
      </c>
      <c r="E94" s="76" t="s">
        <v>3349</v>
      </c>
      <c r="F94" s="75" t="s">
        <v>2771</v>
      </c>
      <c r="G94" s="75" t="str">
        <f>HYPERLINK(".\links\Sigp\EEC13271.1-SigP.txt","CYT")</f>
        <v>CYT</v>
      </c>
      <c r="H94" s="75" t="s">
        <v>2772</v>
      </c>
      <c r="I94" s="75">
        <v>50.798000000000002</v>
      </c>
      <c r="J94" s="75">
        <v>9.1300000000000008</v>
      </c>
      <c r="K94" s="75" t="s">
        <v>2772</v>
      </c>
      <c r="L94" s="75" t="s">
        <v>2772</v>
      </c>
      <c r="M94" s="75" t="str">
        <f>HYPERLINK(".\links\netoglyc\EEC13271.1-netoglyc.txt","1")</f>
        <v>1</v>
      </c>
      <c r="N94" s="75" t="s">
        <v>3359</v>
      </c>
      <c r="O94" s="75">
        <v>462</v>
      </c>
      <c r="P94" s="75">
        <v>0</v>
      </c>
      <c r="Q94" s="75" t="s">
        <v>2772</v>
      </c>
      <c r="R94" s="75" t="s">
        <v>2772</v>
      </c>
      <c r="S94" s="75" t="s">
        <v>2772</v>
      </c>
      <c r="T94" s="75" t="s">
        <v>2772</v>
      </c>
      <c r="U94" s="75" t="s">
        <v>2772</v>
      </c>
      <c r="V94" s="75" t="s">
        <v>2772</v>
      </c>
      <c r="W94" s="75">
        <v>12.3</v>
      </c>
      <c r="X94" s="75">
        <v>8.9</v>
      </c>
      <c r="Y94" s="75">
        <v>5.7</v>
      </c>
      <c r="Z94" s="75" t="s">
        <v>2774</v>
      </c>
      <c r="AA94" s="77">
        <v>14.935064935064901</v>
      </c>
      <c r="AB94" s="75">
        <v>0.28000000000000003</v>
      </c>
      <c r="AD94" s="75">
        <v>7</v>
      </c>
      <c r="AE94" s="75" t="s">
        <v>2772</v>
      </c>
      <c r="AF94" s="75" t="s">
        <v>2772</v>
      </c>
      <c r="AG94" s="75" t="s">
        <v>2772</v>
      </c>
      <c r="AH94" s="75">
        <v>1</v>
      </c>
      <c r="AI94" s="75">
        <v>2</v>
      </c>
      <c r="AJ94" s="75">
        <v>5</v>
      </c>
      <c r="AK94" s="75" t="s">
        <v>2772</v>
      </c>
      <c r="AL94" s="75" t="s">
        <v>2772</v>
      </c>
      <c r="AM94" s="75" t="s">
        <v>2772</v>
      </c>
      <c r="AN94" s="75" t="s">
        <v>2772</v>
      </c>
      <c r="AO94" s="78" t="str">
        <f>HYPERLINK(".\links\AAM-CEMENT-2018\EEC13271.1-AAM-CEMENT-2018.txt","Extracted CDS")</f>
        <v>Extracted CDS</v>
      </c>
      <c r="AP94" s="75" t="str">
        <f>HYPERLINK("http://www.ncbi.nlm.nih.gov/sutils/blink.cgi?pid=Aam-179046","0.0")</f>
        <v>0.0</v>
      </c>
      <c r="AQ94" s="75" t="str">
        <f>HYPERLINK("http://www.ncbi.nlm.nih.gov/protein/Aam-179046","Aam-179046")</f>
        <v>Aam-179046</v>
      </c>
      <c r="AR94" s="75">
        <v>914</v>
      </c>
      <c r="AS94" s="75">
        <v>452</v>
      </c>
      <c r="AT94" s="75">
        <v>470</v>
      </c>
      <c r="AU94" s="75">
        <v>96</v>
      </c>
      <c r="AV94" s="75">
        <v>99</v>
      </c>
      <c r="AW94" s="75">
        <v>96</v>
      </c>
      <c r="AX94" s="75">
        <v>14</v>
      </c>
      <c r="AY94" s="75">
        <v>0</v>
      </c>
      <c r="AZ94" s="75">
        <v>9</v>
      </c>
      <c r="BA94" s="75">
        <v>1</v>
      </c>
      <c r="BB94" s="75">
        <v>1</v>
      </c>
      <c r="BC94" s="75" t="s">
        <v>2775</v>
      </c>
      <c r="BD94" s="78" t="str">
        <f>HYPERLINK(".\links\CDD\EEC13271.1-CDD.txt","PTZ00141 elongation factor 1- alpha")</f>
        <v>PTZ00141 elongation factor 1- alpha</v>
      </c>
      <c r="BE94" s="75">
        <v>0</v>
      </c>
      <c r="BF94" s="75">
        <v>100.9</v>
      </c>
      <c r="BG94" s="75" t="s">
        <v>3360</v>
      </c>
      <c r="BH94" s="75" t="s">
        <v>3361</v>
      </c>
      <c r="BI94" s="75" t="str">
        <f>HYPERLINK(".\links\KOG\EEC13271.1-KOG.txt","CDD:227581 COG5256, TEF1, Translation elongation factor EF-1alpha")</f>
        <v>CDD:227581 COG5256, TEF1, Translation elongation factor EF-1alpha</v>
      </c>
      <c r="BJ94" s="75">
        <v>0</v>
      </c>
      <c r="BK94" s="75">
        <v>103.5</v>
      </c>
      <c r="BL94" s="75" t="s">
        <v>3362</v>
      </c>
      <c r="BM94" s="75" t="s">
        <v>2779</v>
      </c>
      <c r="BN94" s="78" t="str">
        <f>HYPERLINK(".\links\PFAM\EEC13271.1-PFAM.txt","GTP_EFTU Elongation factor Tu GTP binding domain")</f>
        <v>GTP_EFTU Elongation factor Tu GTP binding domain</v>
      </c>
      <c r="BO94" s="79">
        <v>7.0000000000000003E-74</v>
      </c>
      <c r="BP94" s="75">
        <v>109.6</v>
      </c>
      <c r="BQ94" s="75" t="s">
        <v>3154</v>
      </c>
      <c r="BR94" s="75" t="s">
        <v>2772</v>
      </c>
      <c r="BS94" s="78" t="str">
        <f>HYPERLINK(".\links\SMART\EEC13271.1-SMART.txt","CDD:128857 smart00589, PRY, associated with SPRY domains")</f>
        <v>CDD:128857 smart00589, PRY, associated with SPRY domains</v>
      </c>
      <c r="BT94" s="75">
        <v>2.4E-2</v>
      </c>
      <c r="BU94" s="75">
        <v>73.099999999999994</v>
      </c>
      <c r="BV94" s="75" t="s">
        <v>3363</v>
      </c>
      <c r="BW94" s="75" t="s">
        <v>2772</v>
      </c>
      <c r="BX94" s="78" t="str">
        <f>HYPERLINK(".\links\TSF\EEC13271.1-TSF.txt","75-522 75-522,  GILT, Gamma interferon inducible lysosomal thiol reductase||H|E")</f>
        <v>75-522 75-522,  GILT, Gamma interferon inducible lysosomal thiol reductase||H|E</v>
      </c>
      <c r="BY94" s="75">
        <v>0.18</v>
      </c>
      <c r="BZ94" s="75">
        <v>10.8</v>
      </c>
      <c r="CA94" s="75" t="s">
        <v>3364</v>
      </c>
      <c r="CB94" s="75" t="s">
        <v>3365</v>
      </c>
      <c r="CC94" s="75" t="s">
        <v>2772</v>
      </c>
      <c r="CD94" s="75" t="s">
        <v>2808</v>
      </c>
      <c r="CE94" s="75" t="s">
        <v>3366</v>
      </c>
      <c r="CF94" s="75">
        <v>50</v>
      </c>
      <c r="CG94" s="75">
        <v>1</v>
      </c>
      <c r="CH94" s="75">
        <v>58</v>
      </c>
      <c r="CI94" s="75">
        <v>1</v>
      </c>
      <c r="CJ94" s="75">
        <v>59</v>
      </c>
      <c r="CK94" s="75">
        <v>1</v>
      </c>
      <c r="CL94" s="75">
        <v>63</v>
      </c>
      <c r="CM94" s="75">
        <v>1</v>
      </c>
      <c r="CN94" s="75">
        <v>67</v>
      </c>
      <c r="CO94" s="75">
        <v>1</v>
      </c>
      <c r="CP94" s="75">
        <v>69</v>
      </c>
      <c r="CQ94" s="75">
        <v>1</v>
      </c>
      <c r="CR94" s="75">
        <v>70</v>
      </c>
      <c r="CS94" s="75">
        <v>1</v>
      </c>
      <c r="CT94" s="75">
        <v>74</v>
      </c>
      <c r="CU94" s="75">
        <v>1</v>
      </c>
      <c r="CV94" s="75">
        <v>77</v>
      </c>
      <c r="CW94" s="75">
        <v>1</v>
      </c>
      <c r="CX94" s="75">
        <v>81</v>
      </c>
      <c r="CY94" s="75">
        <v>1</v>
      </c>
      <c r="CZ94" s="75">
        <v>83</v>
      </c>
      <c r="DA94" s="75">
        <v>1</v>
      </c>
      <c r="DB94" s="75">
        <v>89</v>
      </c>
      <c r="DC94" s="75">
        <v>1</v>
      </c>
      <c r="DD94" s="75">
        <v>92</v>
      </c>
      <c r="DE94" s="75">
        <v>1</v>
      </c>
      <c r="DF94" s="75">
        <v>94</v>
      </c>
      <c r="DG94" s="75">
        <v>1</v>
      </c>
      <c r="DH94" s="75">
        <v>95</v>
      </c>
      <c r="DI94" s="75">
        <v>1</v>
      </c>
      <c r="DJ94" s="75" t="s">
        <v>236</v>
      </c>
      <c r="DK94" s="75" t="str">
        <f>HYPERLINK(".\links\AAM-CEMENT-2018\EEC13271.1-AAM-CEMENT-2018.txt","Extracted CDS")</f>
        <v>Extracted CDS</v>
      </c>
      <c r="DL94" s="75" t="str">
        <f>HYPERLINK("http://www.ncbi.nlm.nih.gov/sutils/blink.cgi?pid=Aam-179046","0.0")</f>
        <v>0.0</v>
      </c>
      <c r="DM94" s="75" t="str">
        <f>HYPERLINK("http://www.ncbi.nlm.nih.gov/protein/Aam-179046","Aam-179046")</f>
        <v>Aam-179046</v>
      </c>
      <c r="DN94" s="75">
        <v>914</v>
      </c>
      <c r="DO94" s="75">
        <v>452</v>
      </c>
      <c r="DP94" s="75">
        <v>470</v>
      </c>
      <c r="DQ94" s="75">
        <v>96</v>
      </c>
      <c r="DR94" s="75">
        <v>99</v>
      </c>
      <c r="DS94" s="75">
        <v>96</v>
      </c>
      <c r="DT94" s="75">
        <v>14</v>
      </c>
      <c r="DU94" s="75">
        <v>0</v>
      </c>
      <c r="DV94" s="75">
        <v>9</v>
      </c>
      <c r="DW94" s="75">
        <v>1</v>
      </c>
      <c r="DX94" s="75">
        <v>1</v>
      </c>
      <c r="DY94" s="75" t="s">
        <v>2775</v>
      </c>
      <c r="DZ94" s="75" t="str">
        <f>HYPERLINK(".\links\CDD\EEC13271.1-CDD.txt","PTZ00141 elongation factor 1- alpha")</f>
        <v>PTZ00141 elongation factor 1- alpha</v>
      </c>
      <c r="EA94" s="75">
        <v>0</v>
      </c>
      <c r="EB94" s="75">
        <v>100.9</v>
      </c>
      <c r="EC94" s="75" t="s">
        <v>3360</v>
      </c>
      <c r="ED94" s="75" t="s">
        <v>3361</v>
      </c>
      <c r="EE94" s="75" t="str">
        <f>HYPERLINK(".\links\KOG\EEC13271.1-KOG.txt","CDD:227581 COG5256, TEF1, Translation elongation factor EF-1alpha")</f>
        <v>CDD:227581 COG5256, TEF1, Translation elongation factor EF-1alpha</v>
      </c>
      <c r="EF94" s="75">
        <v>0</v>
      </c>
      <c r="EG94" s="75">
        <v>103.5</v>
      </c>
      <c r="EH94" s="75" t="s">
        <v>3362</v>
      </c>
      <c r="EI94" s="75" t="s">
        <v>2779</v>
      </c>
      <c r="EJ94" s="75" t="str">
        <f>HYPERLINK(".\links\PFAM\EEC13271.1-PFAM.txt","GTP_EFTU Elongation factor Tu GTP binding domain")</f>
        <v>GTP_EFTU Elongation factor Tu GTP binding domain</v>
      </c>
      <c r="EK94" s="79">
        <v>7.0000000000000003E-74</v>
      </c>
      <c r="EL94" s="75">
        <v>109.6</v>
      </c>
      <c r="EM94" s="75" t="s">
        <v>3154</v>
      </c>
      <c r="EN94" s="75" t="s">
        <v>2772</v>
      </c>
      <c r="EO94" s="75" t="str">
        <f>HYPERLINK(".\links\SMART\EEC13271.1-SMART.txt","CDD:128857 smart00589, PRY, associated with SPRY domains")</f>
        <v>CDD:128857 smart00589, PRY, associated with SPRY domains</v>
      </c>
      <c r="EP94" s="75">
        <v>2.4E-2</v>
      </c>
      <c r="EQ94" s="75">
        <v>73.099999999999994</v>
      </c>
      <c r="ER94" s="75" t="s">
        <v>3363</v>
      </c>
      <c r="ES94" s="75" t="s">
        <v>2772</v>
      </c>
      <c r="ET94" s="75" t="str">
        <f>HYPERLINK(".\links\TSF\EEC13271.1-TSF.txt","75-522 75-522,  GILT, Gamma interferon inducible lysosomal thiol reductase||H|E")</f>
        <v>75-522 75-522,  GILT, Gamma interferon inducible lysosomal thiol reductase||H|E</v>
      </c>
      <c r="EU94" s="75">
        <v>0.18</v>
      </c>
      <c r="EV94" s="75">
        <v>10.8</v>
      </c>
      <c r="EW94" s="75" t="s">
        <v>3364</v>
      </c>
      <c r="EX94" s="75" t="s">
        <v>3365</v>
      </c>
      <c r="EY94" s="75" t="s">
        <v>2772</v>
      </c>
      <c r="EZ94" s="75" t="s">
        <v>2808</v>
      </c>
      <c r="FA94" s="75" t="s">
        <v>3366</v>
      </c>
    </row>
    <row r="95" spans="1:157" x14ac:dyDescent="0.2">
      <c r="A95" s="75" t="str">
        <f>HYPERLINK(".\links\PEP\EEC00212.1-PEP.txt","EEC00212.1")</f>
        <v>EEC00212.1</v>
      </c>
      <c r="B95" s="75" t="s">
        <v>2768</v>
      </c>
      <c r="C95" s="75">
        <v>169</v>
      </c>
      <c r="D95" s="75" t="s">
        <v>3367</v>
      </c>
      <c r="E95" s="76" t="s">
        <v>3349</v>
      </c>
      <c r="F95" s="75" t="s">
        <v>2771</v>
      </c>
      <c r="G95" s="75" t="str">
        <f>HYPERLINK(".\links\Sigp\EEC00212.1-SigP.txt","SIG")</f>
        <v>SIG</v>
      </c>
      <c r="H95" s="75" t="s">
        <v>2847</v>
      </c>
      <c r="I95" s="75">
        <v>19.416</v>
      </c>
      <c r="J95" s="75">
        <v>9.66</v>
      </c>
      <c r="K95" s="75">
        <v>17.695</v>
      </c>
      <c r="L95" s="75">
        <v>9.7100000000000009</v>
      </c>
      <c r="M95" s="75" t="str">
        <f>HYPERLINK(".\links\netoglyc\EEC00212.1-netoglyc.txt","0")</f>
        <v>0</v>
      </c>
      <c r="N95" s="75" t="s">
        <v>2817</v>
      </c>
      <c r="O95" s="75">
        <v>169</v>
      </c>
      <c r="P95" s="75">
        <v>0</v>
      </c>
      <c r="Q95" s="75" t="s">
        <v>2772</v>
      </c>
      <c r="R95" s="75" t="s">
        <v>2772</v>
      </c>
      <c r="S95" s="75" t="s">
        <v>2772</v>
      </c>
      <c r="T95" s="75" t="s">
        <v>2772</v>
      </c>
      <c r="U95" s="75" t="s">
        <v>2772</v>
      </c>
      <c r="V95" s="75" t="s">
        <v>2772</v>
      </c>
      <c r="W95" s="75">
        <v>8.6999999999999993</v>
      </c>
      <c r="X95" s="75">
        <v>6.4</v>
      </c>
      <c r="Y95" s="75">
        <v>3.5</v>
      </c>
      <c r="Z95" s="75" t="s">
        <v>2774</v>
      </c>
      <c r="AA95" s="77">
        <v>10.0591715976331</v>
      </c>
      <c r="AB95" s="75">
        <v>0.28000000000000003</v>
      </c>
      <c r="AD95" s="75">
        <v>6</v>
      </c>
      <c r="AE95" s="75" t="s">
        <v>2772</v>
      </c>
      <c r="AF95" s="75" t="s">
        <v>2772</v>
      </c>
      <c r="AG95" s="75" t="s">
        <v>2772</v>
      </c>
      <c r="AH95" s="75" t="s">
        <v>2772</v>
      </c>
      <c r="AI95" s="75" t="s">
        <v>2772</v>
      </c>
      <c r="AJ95" s="75" t="s">
        <v>2772</v>
      </c>
      <c r="AK95" s="75" t="s">
        <v>2772</v>
      </c>
      <c r="AL95" s="75" t="s">
        <v>2772</v>
      </c>
      <c r="AM95" s="75" t="s">
        <v>2772</v>
      </c>
      <c r="AN95" s="75" t="s">
        <v>2772</v>
      </c>
      <c r="AO95" s="78" t="str">
        <f>HYPERLINK(".\links\AAM-CEMENT-2018\EEC00212.1-AAM-CEMENT-2018.txt","Extracted CDS")</f>
        <v>Extracted CDS</v>
      </c>
      <c r="AP95" s="75" t="str">
        <f>HYPERLINK("http://www.ncbi.nlm.nih.gov/sutils/blink.cgi?pid=Aam-304","6E-84")</f>
        <v>6E-84</v>
      </c>
      <c r="AQ95" s="75" t="str">
        <f>HYPERLINK("http://www.ncbi.nlm.nih.gov/protein/Aam-304","Aam-304")</f>
        <v>Aam-304</v>
      </c>
      <c r="AR95" s="75">
        <v>238</v>
      </c>
      <c r="AS95" s="75">
        <v>156</v>
      </c>
      <c r="AT95" s="75">
        <v>156</v>
      </c>
      <c r="AU95" s="75">
        <v>87</v>
      </c>
      <c r="AV95" s="75">
        <v>88</v>
      </c>
      <c r="AW95" s="75">
        <v>100</v>
      </c>
      <c r="AX95" s="75">
        <v>19</v>
      </c>
      <c r="AY95" s="75">
        <v>0</v>
      </c>
      <c r="AZ95" s="75">
        <v>1</v>
      </c>
      <c r="BA95" s="75">
        <v>14</v>
      </c>
      <c r="BB95" s="75">
        <v>1</v>
      </c>
      <c r="BC95" s="75" t="s">
        <v>2775</v>
      </c>
      <c r="BD95" s="78" t="str">
        <f>HYPERLINK(".\links\CDD\EEC00212.1-CDD.txt","Ubl_ubiquitin ubiquitin-like")</f>
        <v>Ubl_ubiquitin ubiquitin-like</v>
      </c>
      <c r="BE95" s="79">
        <v>5.0000000000000002E-57</v>
      </c>
      <c r="BF95" s="75">
        <v>100</v>
      </c>
      <c r="BG95" s="75" t="s">
        <v>3350</v>
      </c>
      <c r="BH95" s="75" t="s">
        <v>3368</v>
      </c>
      <c r="BI95" s="75" t="str">
        <f>HYPERLINK(".\links\KOG\EEC00212.1-KOG.txt","CDD:319244 COG5272, UBI4, UBI4")</f>
        <v>CDD:319244 COG5272, UBI4, UBI4</v>
      </c>
      <c r="BJ95" s="79">
        <v>6.9999999999999997E-31</v>
      </c>
      <c r="BK95" s="75">
        <v>100</v>
      </c>
      <c r="BL95" s="75" t="s">
        <v>3352</v>
      </c>
      <c r="BM95" s="75" t="s">
        <v>2779</v>
      </c>
      <c r="BN95" s="78" t="str">
        <f>HYPERLINK(".\links\PFAM\EEC00212.1-PFAM.txt","ubiquitin Ubiquitin family")</f>
        <v>ubiquitin Ubiquitin family</v>
      </c>
      <c r="BO95" s="79">
        <v>4.0000000000000003E-37</v>
      </c>
      <c r="BP95" s="75">
        <v>100</v>
      </c>
      <c r="BQ95" s="75" t="s">
        <v>3353</v>
      </c>
      <c r="BR95" s="75" t="s">
        <v>2772</v>
      </c>
      <c r="BS95" s="78" t="str">
        <f>HYPERLINK(".\links\SMART\EEC00212.1-SMART.txt","CDD:214563 smart00213, UBQ, Ubiquitin homologues")</f>
        <v>CDD:214563 smart00213, UBQ, Ubiquitin homologues</v>
      </c>
      <c r="BT95" s="79">
        <v>1.9999999999999999E-39</v>
      </c>
      <c r="BU95" s="75">
        <v>100</v>
      </c>
      <c r="BV95" s="75" t="s">
        <v>3354</v>
      </c>
      <c r="BW95" s="75" t="s">
        <v>2772</v>
      </c>
      <c r="BX95" s="78" t="str">
        <f>HYPERLINK(".\links\TSF\EEC00212.1-TSF.txt","45-182 45-182, BTSP | |S| ")</f>
        <v xml:space="preserve">45-182 45-182, BTSP | |S| </v>
      </c>
      <c r="BY95" s="75">
        <v>0.22</v>
      </c>
      <c r="BZ95" s="75">
        <v>21.9</v>
      </c>
      <c r="CA95" s="75" t="s">
        <v>3355</v>
      </c>
      <c r="CB95" s="75" t="s">
        <v>3356</v>
      </c>
      <c r="CC95" s="75" t="s">
        <v>2772</v>
      </c>
      <c r="CD95" s="75" t="s">
        <v>2785</v>
      </c>
      <c r="CE95" s="75" t="s">
        <v>3357</v>
      </c>
      <c r="CF95" s="75">
        <f>HYPERLINK(".\links\cluster-b\Ixsc-cement-202225-50SimCLU14.txt", 14)</f>
        <v>14</v>
      </c>
      <c r="CG95" s="75">
        <f>HYPERLINK(".\links\cluster-b\Ixsc-cement-202225-50SimCLTL14.txt", 2)</f>
        <v>2</v>
      </c>
      <c r="CH95" s="75">
        <v>24</v>
      </c>
      <c r="CI95" s="75">
        <v>1</v>
      </c>
      <c r="CJ95" s="75">
        <v>23</v>
      </c>
      <c r="CK95" s="75">
        <v>1</v>
      </c>
      <c r="CL95" s="75">
        <v>25</v>
      </c>
      <c r="CM95" s="75">
        <v>1</v>
      </c>
      <c r="CN95" s="75">
        <v>23</v>
      </c>
      <c r="CO95" s="75">
        <v>1</v>
      </c>
      <c r="CP95" s="75">
        <v>23</v>
      </c>
      <c r="CQ95" s="75">
        <v>1</v>
      </c>
      <c r="CR95" s="75">
        <v>24</v>
      </c>
      <c r="CS95" s="75">
        <v>1</v>
      </c>
      <c r="CT95" s="75">
        <v>26</v>
      </c>
      <c r="CU95" s="75">
        <v>1</v>
      </c>
      <c r="CV95" s="75">
        <v>26</v>
      </c>
      <c r="CW95" s="75">
        <v>1</v>
      </c>
      <c r="CX95" s="75">
        <v>26</v>
      </c>
      <c r="CY95" s="75">
        <v>1</v>
      </c>
      <c r="CZ95" s="75">
        <v>26</v>
      </c>
      <c r="DA95" s="75">
        <v>1</v>
      </c>
      <c r="DB95" s="75">
        <v>25</v>
      </c>
      <c r="DC95" s="75">
        <v>1</v>
      </c>
      <c r="DD95" s="75">
        <v>23</v>
      </c>
      <c r="DE95" s="75">
        <v>1</v>
      </c>
      <c r="DF95" s="75">
        <v>22</v>
      </c>
      <c r="DG95" s="75">
        <v>1</v>
      </c>
      <c r="DH95" s="75">
        <v>22</v>
      </c>
      <c r="DI95" s="75">
        <v>1</v>
      </c>
      <c r="DJ95" s="75" t="s">
        <v>234</v>
      </c>
      <c r="DK95" s="75" t="str">
        <f>HYPERLINK(".\links\AAM-CEMENT-2018\EEC00212.1-AAM-CEMENT-2018.txt","Extracted CDS")</f>
        <v>Extracted CDS</v>
      </c>
      <c r="DL95" s="75" t="str">
        <f>HYPERLINK("http://www.ncbi.nlm.nih.gov/sutils/blink.cgi?pid=Aam-304","6E-84")</f>
        <v>6E-84</v>
      </c>
      <c r="DM95" s="75" t="str">
        <f>HYPERLINK("http://www.ncbi.nlm.nih.gov/protein/Aam-304","Aam-304")</f>
        <v>Aam-304</v>
      </c>
      <c r="DN95" s="75">
        <v>238</v>
      </c>
      <c r="DO95" s="75">
        <v>156</v>
      </c>
      <c r="DP95" s="75">
        <v>156</v>
      </c>
      <c r="DQ95" s="75">
        <v>87</v>
      </c>
      <c r="DR95" s="75">
        <v>88</v>
      </c>
      <c r="DS95" s="75">
        <v>100</v>
      </c>
      <c r="DT95" s="75">
        <v>19</v>
      </c>
      <c r="DU95" s="75">
        <v>0</v>
      </c>
      <c r="DV95" s="75">
        <v>1</v>
      </c>
      <c r="DW95" s="75">
        <v>14</v>
      </c>
      <c r="DX95" s="75">
        <v>1</v>
      </c>
      <c r="DY95" s="75" t="s">
        <v>2775</v>
      </c>
      <c r="DZ95" s="75" t="str">
        <f>HYPERLINK(".\links\CDD\EEC00212.1-CDD.txt","Ubl_ubiquitin ubiquitin-like")</f>
        <v>Ubl_ubiquitin ubiquitin-like</v>
      </c>
      <c r="EA95" s="79">
        <v>5.0000000000000002E-57</v>
      </c>
      <c r="EB95" s="75">
        <v>100</v>
      </c>
      <c r="EC95" s="75" t="s">
        <v>3350</v>
      </c>
      <c r="ED95" s="75" t="s">
        <v>3368</v>
      </c>
      <c r="EE95" s="75" t="str">
        <f>HYPERLINK(".\links\KOG\EEC00212.1-KOG.txt","CDD:319244 COG5272, UBI4, UBI4")</f>
        <v>CDD:319244 COG5272, UBI4, UBI4</v>
      </c>
      <c r="EF95" s="79">
        <v>6.9999999999999997E-31</v>
      </c>
      <c r="EG95" s="75">
        <v>100</v>
      </c>
      <c r="EH95" s="75" t="s">
        <v>3352</v>
      </c>
      <c r="EI95" s="75" t="s">
        <v>2779</v>
      </c>
      <c r="EJ95" s="75" t="str">
        <f>HYPERLINK(".\links\PFAM\EEC00212.1-PFAM.txt","ubiquitin Ubiquitin family")</f>
        <v>ubiquitin Ubiquitin family</v>
      </c>
      <c r="EK95" s="79">
        <v>4.0000000000000003E-37</v>
      </c>
      <c r="EL95" s="75">
        <v>100</v>
      </c>
      <c r="EM95" s="75" t="s">
        <v>3353</v>
      </c>
      <c r="EN95" s="75" t="s">
        <v>2772</v>
      </c>
      <c r="EO95" s="75" t="str">
        <f>HYPERLINK(".\links\SMART\EEC00212.1-SMART.txt","CDD:214563 smart00213, UBQ, Ubiquitin homologues")</f>
        <v>CDD:214563 smart00213, UBQ, Ubiquitin homologues</v>
      </c>
      <c r="EP95" s="79">
        <v>1.9999999999999999E-39</v>
      </c>
      <c r="EQ95" s="75">
        <v>100</v>
      </c>
      <c r="ER95" s="75" t="s">
        <v>3354</v>
      </c>
      <c r="ES95" s="75" t="s">
        <v>2772</v>
      </c>
      <c r="ET95" s="75" t="str">
        <f>HYPERLINK(".\links\TSF\EEC00212.1-TSF.txt","45-182 45-182, BTSP | |S| ")</f>
        <v xml:space="preserve">45-182 45-182, BTSP | |S| </v>
      </c>
      <c r="EU95" s="75">
        <v>0.22</v>
      </c>
      <c r="EV95" s="75">
        <v>21.9</v>
      </c>
      <c r="EW95" s="75" t="s">
        <v>3355</v>
      </c>
      <c r="EX95" s="75" t="s">
        <v>3356</v>
      </c>
      <c r="EY95" s="75" t="s">
        <v>2772</v>
      </c>
      <c r="EZ95" s="75" t="s">
        <v>2785</v>
      </c>
      <c r="FA95" s="75" t="s">
        <v>3357</v>
      </c>
    </row>
    <row r="96" spans="1:157" x14ac:dyDescent="0.2">
      <c r="A96" s="75" t="str">
        <f>HYPERLINK(".\links\PEP\EEC15712.1-PEP.txt","EEC15712.1")</f>
        <v>EEC15712.1</v>
      </c>
      <c r="B96" s="75" t="s">
        <v>2768</v>
      </c>
      <c r="C96" s="75">
        <v>199</v>
      </c>
      <c r="D96" s="75" t="s">
        <v>3369</v>
      </c>
      <c r="E96" s="76" t="s">
        <v>3349</v>
      </c>
      <c r="F96" s="75" t="s">
        <v>2771</v>
      </c>
      <c r="G96" s="75" t="str">
        <f>HYPERLINK(".\links\Sigp\EEC15712.1-SigP.txt","CYT")</f>
        <v>CYT</v>
      </c>
      <c r="H96" s="75" t="s">
        <v>2772</v>
      </c>
      <c r="I96" s="75">
        <v>21.907</v>
      </c>
      <c r="J96" s="75">
        <v>10.63</v>
      </c>
      <c r="K96" s="75" t="s">
        <v>2772</v>
      </c>
      <c r="L96" s="75" t="s">
        <v>2772</v>
      </c>
      <c r="M96" s="75" t="str">
        <f>HYPERLINK(".\links\netoglyc\EEC15712.1-netoglyc.txt","0")</f>
        <v>0</v>
      </c>
      <c r="N96" s="75" t="s">
        <v>2817</v>
      </c>
      <c r="O96" s="75">
        <v>199</v>
      </c>
      <c r="P96" s="75">
        <v>0</v>
      </c>
      <c r="Q96" s="75" t="s">
        <v>2772</v>
      </c>
      <c r="R96" s="75" t="s">
        <v>2772</v>
      </c>
      <c r="S96" s="75" t="s">
        <v>2772</v>
      </c>
      <c r="T96" s="75" t="s">
        <v>2772</v>
      </c>
      <c r="U96" s="75" t="s">
        <v>2772</v>
      </c>
      <c r="V96" s="75" t="s">
        <v>2772</v>
      </c>
      <c r="W96" s="75">
        <v>7.4</v>
      </c>
      <c r="X96" s="75">
        <v>3.9</v>
      </c>
      <c r="Y96" s="75">
        <v>8.4</v>
      </c>
      <c r="Z96" s="75" t="s">
        <v>2774</v>
      </c>
      <c r="AA96" s="77">
        <v>12.5628140703518</v>
      </c>
      <c r="AB96" s="75">
        <v>0.54</v>
      </c>
      <c r="AC96" s="75" t="s">
        <v>3370</v>
      </c>
      <c r="AD96" s="75">
        <v>0</v>
      </c>
      <c r="AE96" s="75" t="str">
        <f>HYPERLINK(".\links\pep\EEC15712.1-sulf.txt","1")</f>
        <v>1</v>
      </c>
      <c r="AF96" s="75" t="str">
        <f>HYPERLINK(".\links\pep\EEC15712.1-tyr-sulf.txt","Fasta with y")</f>
        <v>Fasta with y</v>
      </c>
      <c r="AG96" s="75" t="s">
        <v>2772</v>
      </c>
      <c r="AH96" s="75" t="s">
        <v>2772</v>
      </c>
      <c r="AI96" s="75">
        <v>3</v>
      </c>
      <c r="AJ96" s="75">
        <v>3</v>
      </c>
      <c r="AK96" s="75" t="s">
        <v>2772</v>
      </c>
      <c r="AL96" s="75" t="s">
        <v>2772</v>
      </c>
      <c r="AM96" s="75" t="s">
        <v>2772</v>
      </c>
      <c r="AN96" s="75" t="s">
        <v>2772</v>
      </c>
      <c r="AO96" s="78" t="str">
        <f>HYPERLINK(".\links\AAM-CEMENT-2018\EEC15712.1-AAM-CEMENT-2018.txt","Extracted CDS")</f>
        <v>Extracted CDS</v>
      </c>
      <c r="AP96" s="75" t="str">
        <f>HYPERLINK("http://www.ncbi.nlm.nih.gov/sutils/blink.cgi?pid=Aam-4865","8.2")</f>
        <v>8.2</v>
      </c>
      <c r="AQ96" s="75" t="str">
        <f>HYPERLINK("http://www.ncbi.nlm.nih.gov/protein/Aam-4865","Aam-4865")</f>
        <v>Aam-4865</v>
      </c>
      <c r="AR96" s="75">
        <v>20</v>
      </c>
      <c r="AS96" s="75">
        <v>16</v>
      </c>
      <c r="AT96" s="75">
        <v>377</v>
      </c>
      <c r="AU96" s="75">
        <v>43</v>
      </c>
      <c r="AV96" s="75">
        <v>68</v>
      </c>
      <c r="AW96" s="75">
        <v>4</v>
      </c>
      <c r="AX96" s="75">
        <v>9</v>
      </c>
      <c r="AY96" s="75">
        <v>0</v>
      </c>
      <c r="AZ96" s="75">
        <v>57</v>
      </c>
      <c r="BA96" s="75">
        <v>55</v>
      </c>
      <c r="BB96" s="75">
        <v>1</v>
      </c>
      <c r="BC96" s="75" t="s">
        <v>2775</v>
      </c>
      <c r="BD96" s="78" t="str">
        <f>HYPERLINK(".\links\CDD\EEC15712.1-CDD.txt","PTZ00191 60S ribosomal protein L23a")</f>
        <v>PTZ00191 60S ribosomal protein L23a</v>
      </c>
      <c r="BE96" s="79">
        <v>3.0000000000000002E-60</v>
      </c>
      <c r="BF96" s="75">
        <v>89</v>
      </c>
      <c r="BG96" s="75" t="s">
        <v>3371</v>
      </c>
      <c r="BH96" s="75" t="s">
        <v>3372</v>
      </c>
      <c r="BI96" s="75" t="str">
        <f>HYPERLINK(".\links\KOG\EEC15712.1-KOG.txt","CDD:223167 COG0089, RplW, Ribosomal protein L23")</f>
        <v>CDD:223167 COG0089, RplW, Ribosomal protein L23</v>
      </c>
      <c r="BJ96" s="79">
        <v>2.0000000000000001E-26</v>
      </c>
      <c r="BK96" s="75">
        <v>90.4</v>
      </c>
      <c r="BL96" s="75" t="s">
        <v>3373</v>
      </c>
      <c r="BM96" s="75" t="s">
        <v>2779</v>
      </c>
      <c r="BN96" s="78" t="str">
        <f>HYPERLINK(".\links\PFAM\EEC15712.1-PFAM.txt","Ribosomal_L23 Ribosomal protein L23")</f>
        <v>Ribosomal_L23 Ribosomal protein L23</v>
      </c>
      <c r="BO96" s="79">
        <v>1.0000000000000001E-17</v>
      </c>
      <c r="BP96" s="75">
        <v>96.5</v>
      </c>
      <c r="BQ96" s="75" t="s">
        <v>3374</v>
      </c>
      <c r="BR96" s="75" t="s">
        <v>2772</v>
      </c>
      <c r="BS96" s="78" t="str">
        <f>HYPERLINK(".\links\SMART\EEC15712.1-SMART.txt","CDD:197661 smart00335, ANX, Annexin repeats")</f>
        <v>CDD:197661 smart00335, ANX, Annexin repeats</v>
      </c>
      <c r="BT96" s="75">
        <v>0.11</v>
      </c>
      <c r="BU96" s="75">
        <v>58.5</v>
      </c>
      <c r="BV96" s="75" t="s">
        <v>3375</v>
      </c>
      <c r="BW96" s="75" t="s">
        <v>2772</v>
      </c>
      <c r="BX96" s="78" t="str">
        <f>HYPERLINK(".\links\TSF\EEC15712.1-TSF.txt","40-134 40-134, Lipase | | H| E")</f>
        <v>40-134 40-134, Lipase | | H| E</v>
      </c>
      <c r="BY96" s="75">
        <v>1.9</v>
      </c>
      <c r="BZ96" s="75">
        <v>17.600000000000001</v>
      </c>
      <c r="CA96" s="75" t="s">
        <v>3376</v>
      </c>
      <c r="CB96" s="75" t="s">
        <v>3377</v>
      </c>
      <c r="CC96" s="75" t="s">
        <v>2772</v>
      </c>
      <c r="CD96" s="75" t="s">
        <v>2808</v>
      </c>
      <c r="CE96" s="75" t="s">
        <v>3378</v>
      </c>
      <c r="CF96" s="75">
        <f>HYPERLINK(".\links\cluster-b\Ixsc-cement-202225-50SimCLU14.txt", 14)</f>
        <v>14</v>
      </c>
      <c r="CG96" s="75">
        <f>HYPERLINK(".\links\cluster-b\Ixsc-cement-202225-50SimCLTL14.txt", 2)</f>
        <v>2</v>
      </c>
      <c r="CH96" s="75">
        <v>71</v>
      </c>
      <c r="CI96" s="75">
        <v>1</v>
      </c>
      <c r="CJ96" s="75">
        <v>72</v>
      </c>
      <c r="CK96" s="75">
        <v>1</v>
      </c>
      <c r="CL96" s="75">
        <v>76</v>
      </c>
      <c r="CM96" s="75">
        <v>1</v>
      </c>
      <c r="CN96" s="75">
        <v>80</v>
      </c>
      <c r="CO96" s="75">
        <v>1</v>
      </c>
      <c r="CP96" s="75">
        <v>82</v>
      </c>
      <c r="CQ96" s="75">
        <v>1</v>
      </c>
      <c r="CR96" s="75">
        <v>83</v>
      </c>
      <c r="CS96" s="75">
        <v>1</v>
      </c>
      <c r="CT96" s="75">
        <v>87</v>
      </c>
      <c r="CU96" s="75">
        <v>1</v>
      </c>
      <c r="CV96" s="75">
        <v>90</v>
      </c>
      <c r="CW96" s="75">
        <v>1</v>
      </c>
      <c r="CX96" s="75">
        <v>94</v>
      </c>
      <c r="CY96" s="75">
        <v>1</v>
      </c>
      <c r="CZ96" s="75">
        <v>96</v>
      </c>
      <c r="DA96" s="75">
        <v>1</v>
      </c>
      <c r="DB96" s="75">
        <v>102</v>
      </c>
      <c r="DC96" s="75">
        <v>1</v>
      </c>
      <c r="DD96" s="75">
        <v>106</v>
      </c>
      <c r="DE96" s="75">
        <v>1</v>
      </c>
      <c r="DF96" s="75">
        <v>108</v>
      </c>
      <c r="DG96" s="75">
        <v>1</v>
      </c>
      <c r="DH96" s="75">
        <v>109</v>
      </c>
      <c r="DI96" s="75">
        <v>1</v>
      </c>
      <c r="DJ96" s="75" t="s">
        <v>75</v>
      </c>
      <c r="DK96" s="75" t="str">
        <f>HYPERLINK(".\links\AAM-CEMENT-2018\EEC15712.1-AAM-CEMENT-2018.txt","Extracted CDS")</f>
        <v>Extracted CDS</v>
      </c>
      <c r="DL96" s="75" t="str">
        <f>HYPERLINK("http://www.ncbi.nlm.nih.gov/sutils/blink.cgi?pid=Aam-4865","8.2")</f>
        <v>8.2</v>
      </c>
      <c r="DM96" s="75" t="str">
        <f>HYPERLINK("http://www.ncbi.nlm.nih.gov/protein/Aam-4865","Aam-4865")</f>
        <v>Aam-4865</v>
      </c>
      <c r="DN96" s="75">
        <v>20</v>
      </c>
      <c r="DO96" s="75">
        <v>16</v>
      </c>
      <c r="DP96" s="75">
        <v>377</v>
      </c>
      <c r="DQ96" s="75">
        <v>43</v>
      </c>
      <c r="DR96" s="75">
        <v>68</v>
      </c>
      <c r="DS96" s="75">
        <v>4</v>
      </c>
      <c r="DT96" s="75">
        <v>9</v>
      </c>
      <c r="DU96" s="75">
        <v>0</v>
      </c>
      <c r="DV96" s="75">
        <v>57</v>
      </c>
      <c r="DW96" s="75">
        <v>55</v>
      </c>
      <c r="DX96" s="75">
        <v>1</v>
      </c>
      <c r="DY96" s="75" t="s">
        <v>2775</v>
      </c>
      <c r="DZ96" s="75" t="str">
        <f>HYPERLINK(".\links\CDD\EEC15712.1-CDD.txt","PTZ00191 60S ribosomal protein L23a")</f>
        <v>PTZ00191 60S ribosomal protein L23a</v>
      </c>
      <c r="EA96" s="79">
        <v>3.0000000000000002E-60</v>
      </c>
      <c r="EB96" s="75">
        <v>89</v>
      </c>
      <c r="EC96" s="75" t="s">
        <v>3371</v>
      </c>
      <c r="ED96" s="75" t="s">
        <v>3372</v>
      </c>
      <c r="EE96" s="75" t="str">
        <f>HYPERLINK(".\links\KOG\EEC15712.1-KOG.txt","CDD:223167 COG0089, RplW, Ribosomal protein L23")</f>
        <v>CDD:223167 COG0089, RplW, Ribosomal protein L23</v>
      </c>
      <c r="EF96" s="79">
        <v>2.0000000000000001E-26</v>
      </c>
      <c r="EG96" s="75">
        <v>90.4</v>
      </c>
      <c r="EH96" s="75" t="s">
        <v>3373</v>
      </c>
      <c r="EI96" s="75" t="s">
        <v>2779</v>
      </c>
      <c r="EJ96" s="75" t="str">
        <f>HYPERLINK(".\links\PFAM\EEC15712.1-PFAM.txt","Ribosomal_L23 Ribosomal protein L23")</f>
        <v>Ribosomal_L23 Ribosomal protein L23</v>
      </c>
      <c r="EK96" s="79">
        <v>1.0000000000000001E-17</v>
      </c>
      <c r="EL96" s="75">
        <v>96.5</v>
      </c>
      <c r="EM96" s="75" t="s">
        <v>3374</v>
      </c>
      <c r="EN96" s="75" t="s">
        <v>2772</v>
      </c>
      <c r="EO96" s="75" t="str">
        <f>HYPERLINK(".\links\SMART\EEC15712.1-SMART.txt","CDD:197661 smart00335, ANX, Annexin repeats")</f>
        <v>CDD:197661 smart00335, ANX, Annexin repeats</v>
      </c>
      <c r="EP96" s="75">
        <v>0.11</v>
      </c>
      <c r="EQ96" s="75">
        <v>58.5</v>
      </c>
      <c r="ER96" s="75" t="s">
        <v>3375</v>
      </c>
      <c r="ES96" s="75" t="s">
        <v>2772</v>
      </c>
      <c r="ET96" s="75" t="str">
        <f>HYPERLINK(".\links\TSF\EEC15712.1-TSF.txt","40-134 40-134, Lipase | | H| E")</f>
        <v>40-134 40-134, Lipase | | H| E</v>
      </c>
      <c r="EU96" s="75">
        <v>1.9</v>
      </c>
      <c r="EV96" s="75">
        <v>17.600000000000001</v>
      </c>
      <c r="EW96" s="75" t="s">
        <v>3376</v>
      </c>
      <c r="EX96" s="75" t="s">
        <v>3377</v>
      </c>
      <c r="EY96" s="75" t="s">
        <v>2772</v>
      </c>
      <c r="EZ96" s="75" t="s">
        <v>2808</v>
      </c>
      <c r="FA96" s="75" t="s">
        <v>3378</v>
      </c>
    </row>
    <row r="97" spans="1:157" x14ac:dyDescent="0.2">
      <c r="A97" s="75" t="str">
        <f>HYPERLINK(".\links\PEP\EEC09465.1-PEP.txt","EEC09465.1")</f>
        <v>EEC09465.1</v>
      </c>
      <c r="B97" s="75" t="s">
        <v>2768</v>
      </c>
      <c r="C97" s="75">
        <v>413</v>
      </c>
      <c r="D97" s="75" t="s">
        <v>3379</v>
      </c>
      <c r="E97" s="76" t="s">
        <v>3380</v>
      </c>
      <c r="F97" s="75" t="s">
        <v>2771</v>
      </c>
      <c r="G97" s="75" t="str">
        <f>HYPERLINK(".\links\Sigp\EEC09465.1-SigP.txt","SIG")</f>
        <v>SIG</v>
      </c>
      <c r="H97" s="75" t="s">
        <v>2799</v>
      </c>
      <c r="I97" s="75">
        <v>47.621000000000002</v>
      </c>
      <c r="J97" s="75">
        <v>4.54</v>
      </c>
      <c r="K97" s="75">
        <v>45.912999999999997</v>
      </c>
      <c r="L97" s="75">
        <v>4.5199999999999996</v>
      </c>
      <c r="M97" s="75" t="str">
        <f>HYPERLINK(".\links\netoglyc\EEC09465.1-netoglyc.txt","0")</f>
        <v>0</v>
      </c>
      <c r="N97" s="75" t="s">
        <v>3381</v>
      </c>
      <c r="O97" s="75">
        <v>413</v>
      </c>
      <c r="P97" s="75">
        <v>0</v>
      </c>
      <c r="Q97" s="75" t="s">
        <v>2772</v>
      </c>
      <c r="R97" s="75" t="s">
        <v>2772</v>
      </c>
      <c r="S97" s="75" t="s">
        <v>2772</v>
      </c>
      <c r="T97" s="75" t="s">
        <v>2772</v>
      </c>
      <c r="U97" s="75" t="s">
        <v>2772</v>
      </c>
      <c r="V97" s="75" t="s">
        <v>2772</v>
      </c>
      <c r="W97" s="75">
        <v>8.1</v>
      </c>
      <c r="X97" s="75">
        <v>6.4</v>
      </c>
      <c r="Y97" s="75">
        <v>6.4</v>
      </c>
      <c r="Z97" s="75">
        <v>0.7</v>
      </c>
      <c r="AA97" s="77">
        <v>13.075060532687701</v>
      </c>
      <c r="AB97" s="75">
        <v>0.44</v>
      </c>
      <c r="AC97" s="75" t="s">
        <v>3382</v>
      </c>
      <c r="AD97" s="75">
        <v>6</v>
      </c>
      <c r="AE97" s="75" t="str">
        <f>HYPERLINK(".\links\pep\EEC09465.1-sulf.txt","4")</f>
        <v>4</v>
      </c>
      <c r="AF97" s="75" t="str">
        <f>HYPERLINK(".\links\pep\EEC09465.1-tyr-sulf.txt","Fasta with y")</f>
        <v>Fasta with y</v>
      </c>
      <c r="AG97" s="75" t="s">
        <v>2772</v>
      </c>
      <c r="AH97" s="75">
        <v>1</v>
      </c>
      <c r="AI97" s="75">
        <v>4</v>
      </c>
      <c r="AJ97" s="75">
        <v>4</v>
      </c>
      <c r="AK97" s="75" t="s">
        <v>2772</v>
      </c>
      <c r="AL97" s="75" t="s">
        <v>2772</v>
      </c>
      <c r="AM97" s="75" t="s">
        <v>2772</v>
      </c>
      <c r="AN97" s="75" t="s">
        <v>2772</v>
      </c>
      <c r="AO97" s="78" t="str">
        <f>HYPERLINK(".\links\AAM-CEMENT-2018\EEC09465.1-AAM-CEMENT-2018.txt","Extracted CDS")</f>
        <v>Extracted CDS</v>
      </c>
      <c r="AP97" s="75" t="str">
        <f>HYPERLINK("http://www.ncbi.nlm.nih.gov/sutils/blink.cgi?pid=Aam-177155","0.25")</f>
        <v>0.25</v>
      </c>
      <c r="AQ97" s="75" t="str">
        <f>HYPERLINK("http://www.ncbi.nlm.nih.gov/protein/Aam-177155","Aam-177155")</f>
        <v>Aam-177155</v>
      </c>
      <c r="AR97" s="75">
        <v>26.2</v>
      </c>
      <c r="AS97" s="75">
        <v>26</v>
      </c>
      <c r="AT97" s="75">
        <v>833</v>
      </c>
      <c r="AU97" s="75">
        <v>46</v>
      </c>
      <c r="AV97" s="75">
        <v>53</v>
      </c>
      <c r="AW97" s="75">
        <v>3</v>
      </c>
      <c r="AX97" s="75">
        <v>14</v>
      </c>
      <c r="AY97" s="75">
        <v>0</v>
      </c>
      <c r="AZ97" s="75">
        <v>651</v>
      </c>
      <c r="BA97" s="75">
        <v>221</v>
      </c>
      <c r="BB97" s="75">
        <v>1</v>
      </c>
      <c r="BC97" s="75" t="s">
        <v>2775</v>
      </c>
      <c r="BD97" s="78" t="str">
        <f>HYPERLINK(".\links\CDD\EEC09465.1-CDD.txt","Calreticulin Calreticulin family")</f>
        <v>Calreticulin Calreticulin family</v>
      </c>
      <c r="BE97" s="79">
        <v>9.9999999999999998E-114</v>
      </c>
      <c r="BF97" s="75">
        <v>100.8</v>
      </c>
      <c r="BG97" s="75" t="s">
        <v>3383</v>
      </c>
      <c r="BH97" s="75" t="s">
        <v>3384</v>
      </c>
      <c r="BI97" s="75" t="str">
        <f>HYPERLINK(".\links\KOG\EEC09465.1-KOG.txt","CDD:224857 COG1946, TesB, Acyl-CoA thioesterase")</f>
        <v>CDD:224857 COG1946, TesB, Acyl-CoA thioesterase</v>
      </c>
      <c r="BJ97" s="75">
        <v>5.0999999999999997E-2</v>
      </c>
      <c r="BK97" s="75">
        <v>31.8</v>
      </c>
      <c r="BL97" s="75" t="s">
        <v>3385</v>
      </c>
      <c r="BM97" s="75" t="s">
        <v>2779</v>
      </c>
      <c r="BN97" s="78" t="str">
        <f>HYPERLINK(".\links\PFAM\EEC09465.1-PFAM.txt","Calreticulin Calreticulin family")</f>
        <v>Calreticulin Calreticulin family</v>
      </c>
      <c r="BO97" s="79">
        <v>3.0000000000000002E-114</v>
      </c>
      <c r="BP97" s="75">
        <v>100.8</v>
      </c>
      <c r="BQ97" s="75" t="s">
        <v>3383</v>
      </c>
      <c r="BR97" s="75" t="s">
        <v>2772</v>
      </c>
      <c r="BS97" s="78" t="str">
        <f>HYPERLINK(".\links\SMART\EEC09465.1-SMART.txt","CDD:214980 smart01024, BCS1_N, This domain is found at the N terminal of the mitochondrial ATPase BSC1")</f>
        <v>CDD:214980 smart01024, BCS1_N, This domain is found at the N terminal of the mitochondrial ATPase BSC1</v>
      </c>
      <c r="BT97" s="75">
        <v>8.5000000000000006E-2</v>
      </c>
      <c r="BU97" s="75">
        <v>38.799999999999997</v>
      </c>
      <c r="BV97" s="75" t="s">
        <v>3386</v>
      </c>
      <c r="BW97" s="75" t="s">
        <v>2772</v>
      </c>
      <c r="BX97" s="78" t="str">
        <f>HYPERLINK(".\links\TSF\EEC09465.1-TSF.txt","30-81 30-81, CalreticulinCalnexin||S|")</f>
        <v>30-81 30-81, CalreticulinCalnexin||S|</v>
      </c>
      <c r="BY97" s="75">
        <v>0</v>
      </c>
      <c r="BZ97" s="75">
        <v>88</v>
      </c>
      <c r="CA97" s="75" t="s">
        <v>3387</v>
      </c>
      <c r="CB97" s="75" t="s">
        <v>3388</v>
      </c>
      <c r="CC97" s="75" t="s">
        <v>2772</v>
      </c>
      <c r="CD97" s="75" t="s">
        <v>2785</v>
      </c>
      <c r="CE97" s="75" t="s">
        <v>3389</v>
      </c>
      <c r="CF97" s="75">
        <v>36</v>
      </c>
      <c r="CG97" s="75">
        <v>1</v>
      </c>
      <c r="CH97" s="75">
        <v>42</v>
      </c>
      <c r="CI97" s="75">
        <v>1</v>
      </c>
      <c r="CJ97" s="75">
        <v>43</v>
      </c>
      <c r="CK97" s="75">
        <v>1</v>
      </c>
      <c r="CL97" s="75">
        <v>47</v>
      </c>
      <c r="CM97" s="75">
        <v>1</v>
      </c>
      <c r="CN97" s="75">
        <v>48</v>
      </c>
      <c r="CO97" s="75">
        <v>1</v>
      </c>
      <c r="CP97" s="75">
        <v>49</v>
      </c>
      <c r="CQ97" s="75">
        <v>1</v>
      </c>
      <c r="CR97" s="75">
        <v>50</v>
      </c>
      <c r="CS97" s="75">
        <v>1</v>
      </c>
      <c r="CT97" s="75">
        <v>54</v>
      </c>
      <c r="CU97" s="75">
        <v>1</v>
      </c>
      <c r="CV97" s="75">
        <v>56</v>
      </c>
      <c r="CW97" s="75">
        <v>1</v>
      </c>
      <c r="CX97" s="75">
        <v>60</v>
      </c>
      <c r="CY97" s="75">
        <v>1</v>
      </c>
      <c r="CZ97" s="75">
        <v>62</v>
      </c>
      <c r="DA97" s="75">
        <v>1</v>
      </c>
      <c r="DB97" s="75">
        <v>66</v>
      </c>
      <c r="DC97" s="75">
        <v>1</v>
      </c>
      <c r="DD97" s="75">
        <v>69</v>
      </c>
      <c r="DE97" s="75">
        <v>1</v>
      </c>
      <c r="DF97" s="75">
        <v>70</v>
      </c>
      <c r="DG97" s="75">
        <v>1</v>
      </c>
      <c r="DH97" s="75">
        <v>71</v>
      </c>
      <c r="DI97" s="75">
        <v>1</v>
      </c>
      <c r="DJ97" s="75" t="s">
        <v>137</v>
      </c>
      <c r="DK97" s="75" t="str">
        <f>HYPERLINK(".\links\AAM-CEMENT-2018\EEC09465.1-AAM-CEMENT-2018.txt","Extracted CDS")</f>
        <v>Extracted CDS</v>
      </c>
      <c r="DL97" s="75" t="str">
        <f>HYPERLINK("http://www.ncbi.nlm.nih.gov/sutils/blink.cgi?pid=Aam-177155","0.25")</f>
        <v>0.25</v>
      </c>
      <c r="DM97" s="75" t="str">
        <f>HYPERLINK("http://www.ncbi.nlm.nih.gov/protein/Aam-177155","Aam-177155")</f>
        <v>Aam-177155</v>
      </c>
      <c r="DN97" s="75">
        <v>26.2</v>
      </c>
      <c r="DO97" s="75">
        <v>26</v>
      </c>
      <c r="DP97" s="75">
        <v>833</v>
      </c>
      <c r="DQ97" s="75">
        <v>46</v>
      </c>
      <c r="DR97" s="75">
        <v>53</v>
      </c>
      <c r="DS97" s="75">
        <v>3</v>
      </c>
      <c r="DT97" s="75">
        <v>14</v>
      </c>
      <c r="DU97" s="75">
        <v>0</v>
      </c>
      <c r="DV97" s="75">
        <v>651</v>
      </c>
      <c r="DW97" s="75">
        <v>221</v>
      </c>
      <c r="DX97" s="75">
        <v>1</v>
      </c>
      <c r="DY97" s="75" t="s">
        <v>2775</v>
      </c>
      <c r="DZ97" s="75" t="str">
        <f>HYPERLINK(".\links\CDD\EEC09465.1-CDD.txt","Calreticulin Calreticulin family")</f>
        <v>Calreticulin Calreticulin family</v>
      </c>
      <c r="EA97" s="79">
        <v>9.9999999999999998E-114</v>
      </c>
      <c r="EB97" s="75">
        <v>100.8</v>
      </c>
      <c r="EC97" s="75" t="s">
        <v>3383</v>
      </c>
      <c r="ED97" s="75" t="s">
        <v>3384</v>
      </c>
      <c r="EE97" s="75" t="str">
        <f>HYPERLINK(".\links\KOG\EEC09465.1-KOG.txt","CDD:224857 COG1946, TesB, Acyl-CoA thioesterase")</f>
        <v>CDD:224857 COG1946, TesB, Acyl-CoA thioesterase</v>
      </c>
      <c r="EF97" s="75">
        <v>5.0999999999999997E-2</v>
      </c>
      <c r="EG97" s="75">
        <v>31.8</v>
      </c>
      <c r="EH97" s="75" t="s">
        <v>3385</v>
      </c>
      <c r="EI97" s="75" t="s">
        <v>2779</v>
      </c>
      <c r="EJ97" s="75" t="str">
        <f>HYPERLINK(".\links\PFAM\EEC09465.1-PFAM.txt","Calreticulin Calreticulin family")</f>
        <v>Calreticulin Calreticulin family</v>
      </c>
      <c r="EK97" s="79">
        <v>3.0000000000000002E-114</v>
      </c>
      <c r="EL97" s="75">
        <v>100.8</v>
      </c>
      <c r="EM97" s="75" t="s">
        <v>3383</v>
      </c>
      <c r="EN97" s="75" t="s">
        <v>2772</v>
      </c>
      <c r="EO97" s="75" t="str">
        <f>HYPERLINK(".\links\SMART\EEC09465.1-SMART.txt","CDD:214980 smart01024, BCS1_N, This domain is found at the N terminal of the mitochondrial ATPase BSC1")</f>
        <v>CDD:214980 smart01024, BCS1_N, This domain is found at the N terminal of the mitochondrial ATPase BSC1</v>
      </c>
      <c r="EP97" s="75">
        <v>8.5000000000000006E-2</v>
      </c>
      <c r="EQ97" s="75">
        <v>38.799999999999997</v>
      </c>
      <c r="ER97" s="75" t="s">
        <v>3386</v>
      </c>
      <c r="ES97" s="75" t="s">
        <v>2772</v>
      </c>
      <c r="ET97" s="75" t="str">
        <f>HYPERLINK(".\links\TSF\EEC09465.1-TSF.txt","30-81 30-81, CalreticulinCalnexin||S|")</f>
        <v>30-81 30-81, CalreticulinCalnexin||S|</v>
      </c>
      <c r="EU97" s="75">
        <v>0</v>
      </c>
      <c r="EV97" s="75">
        <v>88</v>
      </c>
      <c r="EW97" s="75" t="s">
        <v>3387</v>
      </c>
      <c r="EX97" s="75" t="s">
        <v>3388</v>
      </c>
      <c r="EY97" s="75" t="s">
        <v>2772</v>
      </c>
      <c r="EZ97" s="75" t="s">
        <v>2785</v>
      </c>
      <c r="FA97" s="75" t="s">
        <v>3389</v>
      </c>
    </row>
    <row r="98" spans="1:157" x14ac:dyDescent="0.2">
      <c r="A98" s="75" t="str">
        <f>HYPERLINK(".\links\PEP\EEC14604.1-PEP.txt","EEC14604.1")</f>
        <v>EEC14604.1</v>
      </c>
      <c r="B98" s="75" t="s">
        <v>2768</v>
      </c>
      <c r="C98" s="75">
        <v>541</v>
      </c>
      <c r="D98" s="75" t="s">
        <v>3390</v>
      </c>
      <c r="E98" s="76" t="s">
        <v>3380</v>
      </c>
      <c r="F98" s="75" t="s">
        <v>2771</v>
      </c>
      <c r="G98" s="75" t="str">
        <f>HYPERLINK(".\links\Sigp\EEC14604.1-SigP.txt","CYT")</f>
        <v>CYT</v>
      </c>
      <c r="H98" s="75" t="s">
        <v>2772</v>
      </c>
      <c r="I98" s="75">
        <v>58.924999999999997</v>
      </c>
      <c r="J98" s="75">
        <v>5.56</v>
      </c>
      <c r="K98" s="75" t="s">
        <v>2772</v>
      </c>
      <c r="L98" s="75" t="s">
        <v>2772</v>
      </c>
      <c r="M98" s="75" t="str">
        <f>HYPERLINK(".\links\netoglyc\EEC14604.1-netoglyc.txt","0")</f>
        <v>0</v>
      </c>
      <c r="N98" s="75" t="s">
        <v>2971</v>
      </c>
      <c r="O98" s="75">
        <v>541</v>
      </c>
      <c r="P98" s="75">
        <v>0</v>
      </c>
      <c r="Q98" s="75" t="s">
        <v>2772</v>
      </c>
      <c r="R98" s="75" t="s">
        <v>2772</v>
      </c>
      <c r="S98" s="75" t="s">
        <v>2772</v>
      </c>
      <c r="T98" s="75" t="s">
        <v>2772</v>
      </c>
      <c r="U98" s="75" t="s">
        <v>2772</v>
      </c>
      <c r="V98" s="75" t="s">
        <v>2772</v>
      </c>
      <c r="W98" s="75">
        <v>10.4</v>
      </c>
      <c r="X98" s="75">
        <v>7.1</v>
      </c>
      <c r="Y98" s="75">
        <v>3.3</v>
      </c>
      <c r="Z98" s="75" t="s">
        <v>2774</v>
      </c>
      <c r="AA98" s="77">
        <v>10.536044362292101</v>
      </c>
      <c r="AB98" s="75">
        <v>0.21</v>
      </c>
      <c r="AD98" s="75">
        <v>9</v>
      </c>
      <c r="AE98" s="75" t="s">
        <v>2772</v>
      </c>
      <c r="AF98" s="75" t="s">
        <v>2772</v>
      </c>
      <c r="AG98" s="75" t="s">
        <v>2772</v>
      </c>
      <c r="AH98" s="75" t="s">
        <v>2772</v>
      </c>
      <c r="AI98" s="75">
        <v>2</v>
      </c>
      <c r="AJ98" s="75">
        <v>2</v>
      </c>
      <c r="AK98" s="75" t="s">
        <v>2772</v>
      </c>
      <c r="AL98" s="75" t="s">
        <v>2772</v>
      </c>
      <c r="AM98" s="75" t="s">
        <v>2772</v>
      </c>
      <c r="AN98" s="75" t="s">
        <v>2772</v>
      </c>
      <c r="AO98" s="78" t="str">
        <f>HYPERLINK(".\links\AAM-CEMENT-2018\EEC14604.1-AAM-CEMENT-2018.txt","Extracted CDS")</f>
        <v>Extracted CDS</v>
      </c>
      <c r="AP98" s="75" t="str">
        <f>HYPERLINK("http://www.ncbi.nlm.nih.gov/sutils/blink.cgi?pid=Aam-203387","1E-90")</f>
        <v>1E-90</v>
      </c>
      <c r="AQ98" s="75" t="str">
        <f>HYPERLINK("http://www.ncbi.nlm.nih.gov/protein/Aam-203387","Aam-203387")</f>
        <v>Aam-203387</v>
      </c>
      <c r="AR98" s="75">
        <v>282</v>
      </c>
      <c r="AS98" s="75">
        <v>518</v>
      </c>
      <c r="AT98" s="75">
        <v>548</v>
      </c>
      <c r="AU98" s="75">
        <v>36</v>
      </c>
      <c r="AV98" s="75">
        <v>55</v>
      </c>
      <c r="AW98" s="75">
        <v>95</v>
      </c>
      <c r="AX98" s="75">
        <v>330</v>
      </c>
      <c r="AY98" s="75">
        <v>24</v>
      </c>
      <c r="AZ98" s="75">
        <v>40</v>
      </c>
      <c r="BA98" s="75">
        <v>36</v>
      </c>
      <c r="BB98" s="75">
        <v>1</v>
      </c>
      <c r="BC98" s="75" t="s">
        <v>2775</v>
      </c>
      <c r="BD98" s="78" t="str">
        <f>HYPERLINK(".\links\CDD\EEC14604.1-CDD.txt","TCP1_epsilon TCP-1")</f>
        <v>TCP1_epsilon TCP-1</v>
      </c>
      <c r="BE98" s="75">
        <v>0</v>
      </c>
      <c r="BF98" s="75">
        <v>100</v>
      </c>
      <c r="BG98" s="75" t="s">
        <v>3391</v>
      </c>
      <c r="BH98" s="75" t="s">
        <v>3392</v>
      </c>
      <c r="BI98" s="75" t="str">
        <f>HYPERLINK(".\links\KOG\EEC14604.1-KOG.txt","CDD:223535 COG0459, GroL, Chaperonin GroEL")</f>
        <v>CDD:223535 COG0459, GroL, Chaperonin GroEL</v>
      </c>
      <c r="BJ98" s="79">
        <v>5.0000000000000002E-167</v>
      </c>
      <c r="BK98" s="75">
        <v>99.8</v>
      </c>
      <c r="BL98" s="75" t="s">
        <v>3393</v>
      </c>
      <c r="BM98" s="75" t="s">
        <v>2779</v>
      </c>
      <c r="BN98" s="78" t="str">
        <f>HYPERLINK(".\links\PFAM\EEC14604.1-PFAM.txt","Cpn60_TCP1 TCP-1/cpn60 chaperonin family")</f>
        <v>Cpn60_TCP1 TCP-1/cpn60 chaperonin family</v>
      </c>
      <c r="BO98" s="75">
        <v>0</v>
      </c>
      <c r="BP98" s="75">
        <v>100.2</v>
      </c>
      <c r="BQ98" s="75" t="s">
        <v>3394</v>
      </c>
      <c r="BR98" s="75" t="s">
        <v>2772</v>
      </c>
      <c r="BS98" s="78" t="str">
        <f>HYPERLINK(".\links\SMART\EEC14604.1-SMART.txt","CDD:197875 smart00788, Adenylsucc_synt, Adenylosuccinate synthetase")</f>
        <v>CDD:197875 smart00788, Adenylsucc_synt, Adenylosuccinate synthetase</v>
      </c>
      <c r="BT98" s="75">
        <v>0.79</v>
      </c>
      <c r="BU98" s="75">
        <v>9.8000000000000007</v>
      </c>
      <c r="BV98" s="75" t="s">
        <v>3395</v>
      </c>
      <c r="BW98" s="75" t="s">
        <v>2772</v>
      </c>
      <c r="BX98" s="78" t="str">
        <f>HYPERLINK(".\links\TSF\EEC14604.1-TSF.txt","55-116 55-116, BTSP|TSGP1|S|")</f>
        <v>55-116 55-116, BTSP|TSGP1|S|</v>
      </c>
      <c r="BY98" s="75">
        <v>2.1</v>
      </c>
      <c r="BZ98" s="75">
        <v>33.9</v>
      </c>
      <c r="CA98" s="75" t="s">
        <v>3396</v>
      </c>
      <c r="CB98" s="75" t="s">
        <v>3057</v>
      </c>
      <c r="CC98" s="75" t="s">
        <v>3397</v>
      </c>
      <c r="CD98" s="75" t="s">
        <v>2785</v>
      </c>
      <c r="CE98" s="75" t="s">
        <v>3398</v>
      </c>
      <c r="CF98" s="75">
        <v>59</v>
      </c>
      <c r="CG98" s="75">
        <v>1</v>
      </c>
      <c r="CH98" s="75">
        <v>69</v>
      </c>
      <c r="CI98" s="75">
        <v>1</v>
      </c>
      <c r="CJ98" s="75">
        <v>70</v>
      </c>
      <c r="CK98" s="75">
        <v>1</v>
      </c>
      <c r="CL98" s="75">
        <v>74</v>
      </c>
      <c r="CM98" s="75">
        <v>1</v>
      </c>
      <c r="CN98" s="75">
        <v>78</v>
      </c>
      <c r="CO98" s="75">
        <v>1</v>
      </c>
      <c r="CP98" s="75">
        <v>80</v>
      </c>
      <c r="CQ98" s="75">
        <v>1</v>
      </c>
      <c r="CR98" s="75">
        <v>81</v>
      </c>
      <c r="CS98" s="75">
        <v>1</v>
      </c>
      <c r="CT98" s="75">
        <v>85</v>
      </c>
      <c r="CU98" s="75">
        <v>1</v>
      </c>
      <c r="CV98" s="75">
        <v>88</v>
      </c>
      <c r="CW98" s="75">
        <v>1</v>
      </c>
      <c r="CX98" s="75">
        <v>92</v>
      </c>
      <c r="CY98" s="75">
        <v>1</v>
      </c>
      <c r="CZ98" s="75">
        <v>94</v>
      </c>
      <c r="DA98" s="75">
        <v>1</v>
      </c>
      <c r="DB98" s="75">
        <v>100</v>
      </c>
      <c r="DC98" s="75">
        <v>1</v>
      </c>
      <c r="DD98" s="75">
        <v>103</v>
      </c>
      <c r="DE98" s="75">
        <v>1</v>
      </c>
      <c r="DF98" s="75">
        <v>105</v>
      </c>
      <c r="DG98" s="75">
        <v>1</v>
      </c>
      <c r="DH98" s="75">
        <v>106</v>
      </c>
      <c r="DI98" s="75">
        <v>1</v>
      </c>
      <c r="DJ98" s="75" t="s">
        <v>188</v>
      </c>
      <c r="DK98" s="75" t="str">
        <f>HYPERLINK(".\links\AAM-CEMENT-2018\EEC14604.1-AAM-CEMENT-2018.txt","Extracted CDS")</f>
        <v>Extracted CDS</v>
      </c>
      <c r="DL98" s="75" t="str">
        <f>HYPERLINK("http://www.ncbi.nlm.nih.gov/sutils/blink.cgi?pid=Aam-203387","1E-90")</f>
        <v>1E-90</v>
      </c>
      <c r="DM98" s="75" t="str">
        <f>HYPERLINK("http://www.ncbi.nlm.nih.gov/protein/Aam-203387","Aam-203387")</f>
        <v>Aam-203387</v>
      </c>
      <c r="DN98" s="75">
        <v>282</v>
      </c>
      <c r="DO98" s="75">
        <v>518</v>
      </c>
      <c r="DP98" s="75">
        <v>548</v>
      </c>
      <c r="DQ98" s="75">
        <v>36</v>
      </c>
      <c r="DR98" s="75">
        <v>55</v>
      </c>
      <c r="DS98" s="75">
        <v>95</v>
      </c>
      <c r="DT98" s="75">
        <v>330</v>
      </c>
      <c r="DU98" s="75">
        <v>24</v>
      </c>
      <c r="DV98" s="75">
        <v>40</v>
      </c>
      <c r="DW98" s="75">
        <v>36</v>
      </c>
      <c r="DX98" s="75">
        <v>1</v>
      </c>
      <c r="DY98" s="75" t="s">
        <v>2775</v>
      </c>
      <c r="DZ98" s="75" t="str">
        <f>HYPERLINK(".\links\CDD\EEC14604.1-CDD.txt","TCP1_epsilon TCP-1")</f>
        <v>TCP1_epsilon TCP-1</v>
      </c>
      <c r="EA98" s="75">
        <v>0</v>
      </c>
      <c r="EB98" s="75">
        <v>100</v>
      </c>
      <c r="EC98" s="75" t="s">
        <v>3391</v>
      </c>
      <c r="ED98" s="75" t="s">
        <v>3392</v>
      </c>
      <c r="EE98" s="75" t="str">
        <f>HYPERLINK(".\links\KOG\EEC14604.1-KOG.txt","CDD:223535 COG0459, GroL, Chaperonin GroEL")</f>
        <v>CDD:223535 COG0459, GroL, Chaperonin GroEL</v>
      </c>
      <c r="EF98" s="79">
        <v>5.0000000000000002E-167</v>
      </c>
      <c r="EG98" s="75">
        <v>99.8</v>
      </c>
      <c r="EH98" s="75" t="s">
        <v>3393</v>
      </c>
      <c r="EI98" s="75" t="s">
        <v>2779</v>
      </c>
      <c r="EJ98" s="75" t="str">
        <f>HYPERLINK(".\links\PFAM\EEC14604.1-PFAM.txt","Cpn60_TCP1 TCP-1/cpn60 chaperonin family")</f>
        <v>Cpn60_TCP1 TCP-1/cpn60 chaperonin family</v>
      </c>
      <c r="EK98" s="75">
        <v>0</v>
      </c>
      <c r="EL98" s="75">
        <v>100.2</v>
      </c>
      <c r="EM98" s="75" t="s">
        <v>3394</v>
      </c>
      <c r="EN98" s="75" t="s">
        <v>2772</v>
      </c>
      <c r="EO98" s="75" t="str">
        <f>HYPERLINK(".\links\SMART\EEC14604.1-SMART.txt","CDD:197875 smart00788, Adenylsucc_synt, Adenylosuccinate synthetase")</f>
        <v>CDD:197875 smart00788, Adenylsucc_synt, Adenylosuccinate synthetase</v>
      </c>
      <c r="EP98" s="75">
        <v>0.79</v>
      </c>
      <c r="EQ98" s="75">
        <v>9.8000000000000007</v>
      </c>
      <c r="ER98" s="75" t="s">
        <v>3395</v>
      </c>
      <c r="ES98" s="75" t="s">
        <v>2772</v>
      </c>
      <c r="ET98" s="75" t="str">
        <f>HYPERLINK(".\links\TSF\EEC14604.1-TSF.txt","55-116 55-116, BTSP|TSGP1|S|")</f>
        <v>55-116 55-116, BTSP|TSGP1|S|</v>
      </c>
      <c r="EU98" s="75">
        <v>2.1</v>
      </c>
      <c r="EV98" s="75">
        <v>33.9</v>
      </c>
      <c r="EW98" s="75" t="s">
        <v>3396</v>
      </c>
      <c r="EX98" s="75" t="s">
        <v>3057</v>
      </c>
      <c r="EY98" s="75" t="s">
        <v>3397</v>
      </c>
      <c r="EZ98" s="75" t="s">
        <v>2785</v>
      </c>
      <c r="FA98" s="75" t="s">
        <v>3398</v>
      </c>
    </row>
    <row r="99" spans="1:157" x14ac:dyDescent="0.2">
      <c r="A99" s="75" t="str">
        <f>HYPERLINK(".\links\PEP\EEC13690.1-PEP.txt","EEC13690.1")</f>
        <v>EEC13690.1</v>
      </c>
      <c r="B99" s="75" t="s">
        <v>2768</v>
      </c>
      <c r="C99" s="75">
        <v>177</v>
      </c>
      <c r="D99" s="75" t="s">
        <v>3399</v>
      </c>
      <c r="E99" s="76" t="s">
        <v>3380</v>
      </c>
      <c r="F99" s="75" t="s">
        <v>2771</v>
      </c>
      <c r="G99" s="75" t="str">
        <f>HYPERLINK(".\links\Sigp\EEC13690.1-SigP.txt","CYT")</f>
        <v>CYT</v>
      </c>
      <c r="H99" s="75" t="s">
        <v>2772</v>
      </c>
      <c r="I99" s="75">
        <v>20.558</v>
      </c>
      <c r="J99" s="75">
        <v>5.79</v>
      </c>
      <c r="K99" s="75" t="s">
        <v>2772</v>
      </c>
      <c r="L99" s="75" t="s">
        <v>2772</v>
      </c>
      <c r="M99" s="75" t="str">
        <f>HYPERLINK(".\links\netoglyc\EEC13690.1-netoglyc.txt","0")</f>
        <v>0</v>
      </c>
      <c r="N99" s="75" t="s">
        <v>2817</v>
      </c>
      <c r="O99" s="75">
        <v>177</v>
      </c>
      <c r="P99" s="75">
        <v>0</v>
      </c>
      <c r="Q99" s="75" t="s">
        <v>2772</v>
      </c>
      <c r="R99" s="75" t="s">
        <v>2772</v>
      </c>
      <c r="S99" s="75" t="s">
        <v>2772</v>
      </c>
      <c r="T99" s="75" t="s">
        <v>2772</v>
      </c>
      <c r="U99" s="75" t="s">
        <v>2772</v>
      </c>
      <c r="V99" s="75" t="s">
        <v>2772</v>
      </c>
      <c r="W99" s="75">
        <v>9.4</v>
      </c>
      <c r="X99" s="75">
        <v>4.4000000000000004</v>
      </c>
      <c r="Y99" s="75">
        <v>1.7</v>
      </c>
      <c r="Z99" s="75" t="s">
        <v>2774</v>
      </c>
      <c r="AA99" s="77">
        <v>6.2146892655367196</v>
      </c>
      <c r="AB99" s="75">
        <v>0.42</v>
      </c>
      <c r="AD99" s="75">
        <v>1</v>
      </c>
      <c r="AE99" s="75" t="s">
        <v>2772</v>
      </c>
      <c r="AF99" s="75" t="s">
        <v>2772</v>
      </c>
      <c r="AG99" s="75" t="s">
        <v>2772</v>
      </c>
      <c r="AH99" s="75" t="s">
        <v>2772</v>
      </c>
      <c r="AI99" s="75" t="s">
        <v>2772</v>
      </c>
      <c r="AJ99" s="75" t="s">
        <v>2772</v>
      </c>
      <c r="AK99" s="75" t="s">
        <v>2772</v>
      </c>
      <c r="AL99" s="75" t="s">
        <v>2772</v>
      </c>
      <c r="AM99" s="75" t="s">
        <v>2772</v>
      </c>
      <c r="AN99" s="75" t="s">
        <v>2772</v>
      </c>
      <c r="AO99" s="78" t="str">
        <f>HYPERLINK(".\links\AAM-CEMENT-2018\EEC13690.1-AAM-CEMENT-2018.txt","Extracted CDS")</f>
        <v>Extracted CDS</v>
      </c>
      <c r="AP99" s="75" t="str">
        <f>HYPERLINK("http://www.ncbi.nlm.nih.gov/sutils/blink.cgi?pid=Aam-1524","2.7")</f>
        <v>2.7</v>
      </c>
      <c r="AQ99" s="75" t="str">
        <f>HYPERLINK("http://www.ncbi.nlm.nih.gov/protein/Aam-1524","Aam-1524")</f>
        <v>Aam-1524</v>
      </c>
      <c r="AR99" s="75">
        <v>21.2</v>
      </c>
      <c r="AS99" s="75">
        <v>117</v>
      </c>
      <c r="AT99" s="75">
        <v>791</v>
      </c>
      <c r="AU99" s="75">
        <v>28</v>
      </c>
      <c r="AV99" s="75">
        <v>46</v>
      </c>
      <c r="AW99" s="75">
        <v>15</v>
      </c>
      <c r="AX99" s="75">
        <v>84</v>
      </c>
      <c r="AY99" s="75">
        <v>26</v>
      </c>
      <c r="AZ99" s="75">
        <v>677</v>
      </c>
      <c r="BA99" s="75">
        <v>53</v>
      </c>
      <c r="BB99" s="75">
        <v>1</v>
      </c>
      <c r="BC99" s="75" t="s">
        <v>2775</v>
      </c>
      <c r="BD99" s="78" t="str">
        <f>HYPERLINK(".\links\CDD\EEC13690.1-CDD.txt","Snf7 Snf7")</f>
        <v>Snf7 Snf7</v>
      </c>
      <c r="BE99" s="79">
        <v>4.0000000000000002E-27</v>
      </c>
      <c r="BF99" s="75">
        <v>77.599999999999994</v>
      </c>
      <c r="BG99" s="75" t="s">
        <v>3400</v>
      </c>
      <c r="BH99" s="75" t="s">
        <v>3401</v>
      </c>
      <c r="BI99" s="75" t="str">
        <f>HYPERLINK(".\links\KOG\EEC13690.1-KOG.txt","CDD:227778 COG5491, VPS24, Conserved protein implicated in secretion")</f>
        <v>CDD:227778 COG5491, VPS24, Conserved protein implicated in secretion</v>
      </c>
      <c r="BJ99" s="79">
        <v>1E-8</v>
      </c>
      <c r="BK99" s="75">
        <v>61.3</v>
      </c>
      <c r="BL99" s="75" t="s">
        <v>3402</v>
      </c>
      <c r="BM99" s="75" t="s">
        <v>2779</v>
      </c>
      <c r="BN99" s="78" t="str">
        <f>HYPERLINK(".\links\PFAM\EEC13690.1-PFAM.txt","Snf7 Snf7")</f>
        <v>Snf7 Snf7</v>
      </c>
      <c r="BO99" s="79">
        <v>8.9999999999999996E-28</v>
      </c>
      <c r="BP99" s="75">
        <v>77.599999999999994</v>
      </c>
      <c r="BQ99" s="75" t="s">
        <v>3400</v>
      </c>
      <c r="BR99" s="75" t="s">
        <v>2772</v>
      </c>
      <c r="BS99" s="78" t="str">
        <f>HYPERLINK(".\links\SMART\EEC13690.1-SMART.txt","CDD:214688 smart00483, POLXc, DNA polymerase X family")</f>
        <v>CDD:214688 smart00483, POLXc, DNA polymerase X family</v>
      </c>
      <c r="BT99" s="75">
        <v>1</v>
      </c>
      <c r="BU99" s="75">
        <v>10.199999999999999</v>
      </c>
      <c r="BV99" s="75" t="s">
        <v>3403</v>
      </c>
      <c r="BW99" s="75" t="s">
        <v>2772</v>
      </c>
      <c r="BX99" s="78" t="str">
        <f>HYPERLINK(".\links\TSF\EEC13690.1-TSF.txt","30-433 30-433, BTSP||S|")</f>
        <v>30-433 30-433, BTSP||S|</v>
      </c>
      <c r="BY99" s="75">
        <v>4.0000000000000001E-3</v>
      </c>
      <c r="BZ99" s="75">
        <v>10.1</v>
      </c>
      <c r="CA99" s="75" t="s">
        <v>3136</v>
      </c>
      <c r="CB99" s="75" t="s">
        <v>3057</v>
      </c>
      <c r="CC99" s="75" t="s">
        <v>2772</v>
      </c>
      <c r="CD99" s="75" t="s">
        <v>2785</v>
      </c>
      <c r="CE99" s="75" t="s">
        <v>3137</v>
      </c>
      <c r="CF99" s="75">
        <f>HYPERLINK(".\links\cluster-b\Ixsc-cement-202225-50SimCLU3.txt", 3)</f>
        <v>3</v>
      </c>
      <c r="CG99" s="75">
        <f>HYPERLINK(".\links\cluster-b\Ixsc-cement-202225-50SimCLTL3.txt", 7)</f>
        <v>7</v>
      </c>
      <c r="CH99" s="75">
        <v>62</v>
      </c>
      <c r="CI99" s="75">
        <v>1</v>
      </c>
      <c r="CJ99" s="75">
        <v>63</v>
      </c>
      <c r="CK99" s="75">
        <v>1</v>
      </c>
      <c r="CL99" s="75">
        <v>67</v>
      </c>
      <c r="CM99" s="75">
        <v>1</v>
      </c>
      <c r="CN99" s="75">
        <v>71</v>
      </c>
      <c r="CO99" s="75">
        <v>1</v>
      </c>
      <c r="CP99" s="75">
        <v>73</v>
      </c>
      <c r="CQ99" s="75">
        <v>1</v>
      </c>
      <c r="CR99" s="75">
        <v>74</v>
      </c>
      <c r="CS99" s="75">
        <v>1</v>
      </c>
      <c r="CT99" s="75">
        <v>78</v>
      </c>
      <c r="CU99" s="75">
        <v>1</v>
      </c>
      <c r="CV99" s="75">
        <v>81</v>
      </c>
      <c r="CW99" s="75">
        <v>1</v>
      </c>
      <c r="CX99" s="75">
        <v>85</v>
      </c>
      <c r="CY99" s="75">
        <v>1</v>
      </c>
      <c r="CZ99" s="75">
        <v>87</v>
      </c>
      <c r="DA99" s="75">
        <v>1</v>
      </c>
      <c r="DB99" s="75">
        <v>93</v>
      </c>
      <c r="DC99" s="75">
        <v>1</v>
      </c>
      <c r="DD99" s="75">
        <v>96</v>
      </c>
      <c r="DE99" s="75">
        <v>1</v>
      </c>
      <c r="DF99" s="75">
        <v>98</v>
      </c>
      <c r="DG99" s="75">
        <v>1</v>
      </c>
      <c r="DH99" s="75">
        <v>99</v>
      </c>
      <c r="DI99" s="75">
        <v>1</v>
      </c>
      <c r="DJ99" s="75" t="s">
        <v>64</v>
      </c>
      <c r="DK99" s="75" t="str">
        <f>HYPERLINK(".\links\AAM-CEMENT-2018\EEC13690.1-AAM-CEMENT-2018.txt","Extracted CDS")</f>
        <v>Extracted CDS</v>
      </c>
      <c r="DL99" s="75" t="str">
        <f>HYPERLINK("http://www.ncbi.nlm.nih.gov/sutils/blink.cgi?pid=Aam-1524","2.7")</f>
        <v>2.7</v>
      </c>
      <c r="DM99" s="75" t="str">
        <f>HYPERLINK("http://www.ncbi.nlm.nih.gov/protein/Aam-1524","Aam-1524")</f>
        <v>Aam-1524</v>
      </c>
      <c r="DN99" s="75">
        <v>21.2</v>
      </c>
      <c r="DO99" s="75">
        <v>117</v>
      </c>
      <c r="DP99" s="75">
        <v>791</v>
      </c>
      <c r="DQ99" s="75">
        <v>28</v>
      </c>
      <c r="DR99" s="75">
        <v>46</v>
      </c>
      <c r="DS99" s="75">
        <v>15</v>
      </c>
      <c r="DT99" s="75">
        <v>84</v>
      </c>
      <c r="DU99" s="75">
        <v>26</v>
      </c>
      <c r="DV99" s="75">
        <v>677</v>
      </c>
      <c r="DW99" s="75">
        <v>53</v>
      </c>
      <c r="DX99" s="75">
        <v>1</v>
      </c>
      <c r="DY99" s="75" t="s">
        <v>2775</v>
      </c>
      <c r="DZ99" s="75" t="str">
        <f>HYPERLINK(".\links\CDD\EEC13690.1-CDD.txt","Snf7 Snf7")</f>
        <v>Snf7 Snf7</v>
      </c>
      <c r="EA99" s="79">
        <v>4.0000000000000002E-27</v>
      </c>
      <c r="EB99" s="75">
        <v>77.599999999999994</v>
      </c>
      <c r="EC99" s="75" t="s">
        <v>3400</v>
      </c>
      <c r="ED99" s="75" t="s">
        <v>3401</v>
      </c>
      <c r="EE99" s="75" t="str">
        <f>HYPERLINK(".\links\KOG\EEC13690.1-KOG.txt","CDD:227778 COG5491, VPS24, Conserved protein implicated in secretion")</f>
        <v>CDD:227778 COG5491, VPS24, Conserved protein implicated in secretion</v>
      </c>
      <c r="EF99" s="79">
        <v>1E-8</v>
      </c>
      <c r="EG99" s="75">
        <v>61.3</v>
      </c>
      <c r="EH99" s="75" t="s">
        <v>3402</v>
      </c>
      <c r="EI99" s="75" t="s">
        <v>2779</v>
      </c>
      <c r="EJ99" s="75" t="str">
        <f>HYPERLINK(".\links\PFAM\EEC13690.1-PFAM.txt","Snf7 Snf7")</f>
        <v>Snf7 Snf7</v>
      </c>
      <c r="EK99" s="79">
        <v>8.9999999999999996E-28</v>
      </c>
      <c r="EL99" s="75">
        <v>77.599999999999994</v>
      </c>
      <c r="EM99" s="75" t="s">
        <v>3400</v>
      </c>
      <c r="EN99" s="75" t="s">
        <v>2772</v>
      </c>
      <c r="EO99" s="75" t="str">
        <f>HYPERLINK(".\links\SMART\EEC13690.1-SMART.txt","CDD:214688 smart00483, POLXc, DNA polymerase X family")</f>
        <v>CDD:214688 smart00483, POLXc, DNA polymerase X family</v>
      </c>
      <c r="EP99" s="75">
        <v>1</v>
      </c>
      <c r="EQ99" s="75">
        <v>10.199999999999999</v>
      </c>
      <c r="ER99" s="75" t="s">
        <v>3403</v>
      </c>
      <c r="ES99" s="75" t="s">
        <v>2772</v>
      </c>
      <c r="ET99" s="75" t="str">
        <f>HYPERLINK(".\links\TSF\EEC13690.1-TSF.txt","30-433 30-433, BTSP||S|")</f>
        <v>30-433 30-433, BTSP||S|</v>
      </c>
      <c r="EU99" s="75">
        <v>4.0000000000000001E-3</v>
      </c>
      <c r="EV99" s="75">
        <v>10.1</v>
      </c>
      <c r="EW99" s="75" t="s">
        <v>3136</v>
      </c>
      <c r="EX99" s="75" t="s">
        <v>3057</v>
      </c>
      <c r="EY99" s="75" t="s">
        <v>2772</v>
      </c>
      <c r="EZ99" s="75" t="s">
        <v>2785</v>
      </c>
      <c r="FA99" s="75" t="s">
        <v>3137</v>
      </c>
    </row>
    <row r="100" spans="1:157" x14ac:dyDescent="0.2">
      <c r="A100" s="75" t="str">
        <f>HYPERLINK(".\links\PEP\EEC19418.1-PEP.txt","EEC19418.1")</f>
        <v>EEC19418.1</v>
      </c>
      <c r="B100" s="75" t="s">
        <v>2768</v>
      </c>
      <c r="C100" s="75">
        <v>2569</v>
      </c>
      <c r="D100" s="75" t="s">
        <v>3404</v>
      </c>
      <c r="E100" s="76" t="s">
        <v>3405</v>
      </c>
      <c r="F100" s="75" t="s">
        <v>2771</v>
      </c>
      <c r="G100" s="75" t="str">
        <f>HYPERLINK(".\links\Sigp\EEC19418.1-SigP.txt","CYT")</f>
        <v>CYT</v>
      </c>
      <c r="H100" s="75" t="s">
        <v>2772</v>
      </c>
      <c r="I100" s="75">
        <v>289.98</v>
      </c>
      <c r="J100" s="75">
        <v>5.82</v>
      </c>
      <c r="K100" s="75" t="s">
        <v>2772</v>
      </c>
      <c r="L100" s="75" t="s">
        <v>2772</v>
      </c>
      <c r="M100" s="75" t="str">
        <f>HYPERLINK(".\links\netoglyc\EEC19418.1-netoglyc.txt","0")</f>
        <v>0</v>
      </c>
      <c r="N100" s="75" t="s">
        <v>3406</v>
      </c>
      <c r="O100" s="75">
        <v>2569</v>
      </c>
      <c r="P100" s="75" t="str">
        <f>HYPERLINK(".\links\tmhmm\EEC19418.1-tmhmm.txt","6")</f>
        <v>6</v>
      </c>
      <c r="Q100" s="75">
        <v>5.0999999999999996</v>
      </c>
      <c r="R100" s="75">
        <v>89.3</v>
      </c>
      <c r="S100" s="75">
        <v>5.6</v>
      </c>
      <c r="T100" s="75" t="s">
        <v>2772</v>
      </c>
      <c r="U100" s="75" t="s">
        <v>2772</v>
      </c>
      <c r="V100" s="75" t="s">
        <v>2772</v>
      </c>
      <c r="W100" s="75">
        <v>11.3</v>
      </c>
      <c r="X100" s="75">
        <v>5.0999999999999996</v>
      </c>
      <c r="Y100" s="75">
        <v>4.0999999999999996</v>
      </c>
      <c r="Z100" s="75" t="s">
        <v>2774</v>
      </c>
      <c r="AA100" s="77">
        <v>9.4200077851303998</v>
      </c>
      <c r="AB100" s="75">
        <v>0.15</v>
      </c>
      <c r="AD100" s="75">
        <v>59</v>
      </c>
      <c r="AE100" s="75" t="str">
        <f>HYPERLINK(".\links\pep\EEC19418.1-sulf.txt","1")</f>
        <v>1</v>
      </c>
      <c r="AF100" s="75" t="str">
        <f>HYPERLINK(".\links\pep\EEC19418.1-tyr-sulf.txt","Fasta with y")</f>
        <v>Fasta with y</v>
      </c>
      <c r="AG100" s="75" t="s">
        <v>2772</v>
      </c>
      <c r="AH100" s="75">
        <v>2</v>
      </c>
      <c r="AI100" s="75">
        <v>4</v>
      </c>
      <c r="AJ100" s="75">
        <v>4</v>
      </c>
      <c r="AK100" s="75" t="s">
        <v>2772</v>
      </c>
      <c r="AL100" s="75" t="s">
        <v>2772</v>
      </c>
      <c r="AM100" s="75" t="s">
        <v>2772</v>
      </c>
      <c r="AN100" s="75" t="s">
        <v>2772</v>
      </c>
      <c r="AO100" s="78" t="str">
        <f>HYPERLINK(".\links\AAM-CEMENT-2018\EEC19418.1-AAM-CEMENT-2018.txt","Extracted CDS")</f>
        <v>Extracted CDS</v>
      </c>
      <c r="AP100" s="75" t="str">
        <f>HYPERLINK("http://www.ncbi.nlm.nih.gov/sutils/blink.cgi?pid=Aam-177793","0.84")</f>
        <v>0.84</v>
      </c>
      <c r="AQ100" s="75" t="str">
        <f>HYPERLINK("http://www.ncbi.nlm.nih.gov/protein/Aam-177793","Aam-177793")</f>
        <v>Aam-177793</v>
      </c>
      <c r="AR100" s="75">
        <v>26.9</v>
      </c>
      <c r="AS100" s="75">
        <v>46</v>
      </c>
      <c r="AT100" s="75">
        <v>364</v>
      </c>
      <c r="AU100" s="75">
        <v>32</v>
      </c>
      <c r="AV100" s="75">
        <v>43</v>
      </c>
      <c r="AW100" s="75">
        <v>13</v>
      </c>
      <c r="AX100" s="75">
        <v>31</v>
      </c>
      <c r="AY100" s="75">
        <v>0</v>
      </c>
      <c r="AZ100" s="75">
        <v>276</v>
      </c>
      <c r="BA100" s="75">
        <v>892</v>
      </c>
      <c r="BB100" s="75">
        <v>1</v>
      </c>
      <c r="BC100" s="75" t="s">
        <v>2775</v>
      </c>
      <c r="BD100" s="78" t="str">
        <f>HYPERLINK(".\links\CDD\EEC19418.1-CDD.txt","Ins145_P3_rec Inositol 145-trisphosphate/ryanodine receptor")</f>
        <v>Ins145_P3_rec Inositol 145-trisphosphate/ryanodine receptor</v>
      </c>
      <c r="BE100" s="79">
        <v>4.0000000000000001E-100</v>
      </c>
      <c r="BF100" s="75">
        <v>108.1</v>
      </c>
      <c r="BG100" s="75" t="s">
        <v>3407</v>
      </c>
      <c r="BH100" s="75" t="s">
        <v>3408</v>
      </c>
      <c r="BI100" s="75" t="str">
        <f>HYPERLINK(".\links\KOG\EEC19418.1-KOG.txt","CDD:224748 COG1835, COG1835, Predicted acyltransferases")</f>
        <v>CDD:224748 COG1835, COG1835, Predicted acyltransferases</v>
      </c>
      <c r="BJ100" s="79">
        <v>2.9999999999999997E-4</v>
      </c>
      <c r="BK100" s="75">
        <v>53.6</v>
      </c>
      <c r="BL100" s="75" t="s">
        <v>3409</v>
      </c>
      <c r="BM100" s="75" t="s">
        <v>2779</v>
      </c>
      <c r="BN100" s="78" t="str">
        <f>HYPERLINK(".\links\PFAM\EEC19418.1-PFAM.txt","Ins145_P3_rec Inositol 145-trisphosphate/ryanodine receptor")</f>
        <v>Ins145_P3_rec Inositol 145-trisphosphate/ryanodine receptor</v>
      </c>
      <c r="BO100" s="79">
        <v>8.0000000000000004E-101</v>
      </c>
      <c r="BP100" s="75">
        <v>108.1</v>
      </c>
      <c r="BQ100" s="75" t="s">
        <v>3407</v>
      </c>
      <c r="BR100" s="75" t="s">
        <v>2772</v>
      </c>
      <c r="BS100" s="78" t="str">
        <f>HYPERLINK(".\links\SMART\EEC19418.1-SMART.txt","CDD:197746 smart00472, MIR, Domain in ryanodine and inositol trisphosphate receptors and protein O-mannosyltransferases")</f>
        <v>CDD:197746 smart00472, MIR, Domain in ryanodine and inositol trisphosphate receptors and protein O-mannosyltransferases</v>
      </c>
      <c r="BT100" s="79">
        <v>4.9999999999999998E-7</v>
      </c>
      <c r="BU100" s="75">
        <v>100</v>
      </c>
      <c r="BV100" s="75" t="s">
        <v>3410</v>
      </c>
      <c r="BW100" s="75" t="s">
        <v>2772</v>
      </c>
      <c r="BX100" s="78" t="str">
        <f>HYPERLINK(".\links\TSF\EEC19418.1-TSF.txt","30-433 30-433, BTSP||S|")</f>
        <v>30-433 30-433, BTSP||S|</v>
      </c>
      <c r="BY100" s="75">
        <v>3.6999999999999998E-2</v>
      </c>
      <c r="BZ100" s="75">
        <v>4.4000000000000004</v>
      </c>
      <c r="CA100" s="75" t="s">
        <v>3136</v>
      </c>
      <c r="CB100" s="75" t="s">
        <v>3057</v>
      </c>
      <c r="CC100" s="75" t="s">
        <v>2772</v>
      </c>
      <c r="CD100" s="75" t="s">
        <v>2785</v>
      </c>
      <c r="CE100" s="75" t="s">
        <v>3137</v>
      </c>
      <c r="CF100" s="75">
        <v>70</v>
      </c>
      <c r="CG100" s="75">
        <v>1</v>
      </c>
      <c r="CH100" s="75">
        <v>81</v>
      </c>
      <c r="CI100" s="75">
        <v>1</v>
      </c>
      <c r="CJ100" s="75">
        <v>83</v>
      </c>
      <c r="CK100" s="75">
        <v>1</v>
      </c>
      <c r="CL100" s="75">
        <v>87</v>
      </c>
      <c r="CM100" s="75">
        <v>1</v>
      </c>
      <c r="CN100" s="75">
        <v>91</v>
      </c>
      <c r="CO100" s="75">
        <v>1</v>
      </c>
      <c r="CP100" s="75">
        <v>93</v>
      </c>
      <c r="CQ100" s="75">
        <v>1</v>
      </c>
      <c r="CR100" s="75">
        <v>94</v>
      </c>
      <c r="CS100" s="75">
        <v>1</v>
      </c>
      <c r="CT100" s="75">
        <v>98</v>
      </c>
      <c r="CU100" s="75">
        <v>1</v>
      </c>
      <c r="CV100" s="75">
        <v>101</v>
      </c>
      <c r="CW100" s="75">
        <v>1</v>
      </c>
      <c r="CX100" s="75">
        <v>105</v>
      </c>
      <c r="CY100" s="75">
        <v>1</v>
      </c>
      <c r="CZ100" s="75">
        <v>108</v>
      </c>
      <c r="DA100" s="75">
        <v>1</v>
      </c>
      <c r="DB100" s="75">
        <v>114</v>
      </c>
      <c r="DC100" s="75">
        <v>1</v>
      </c>
      <c r="DD100" s="75">
        <v>118</v>
      </c>
      <c r="DE100" s="75">
        <v>1</v>
      </c>
      <c r="DF100" s="75">
        <v>120</v>
      </c>
      <c r="DG100" s="75">
        <v>1</v>
      </c>
      <c r="DH100" s="75">
        <v>121</v>
      </c>
      <c r="DI100" s="75">
        <v>1</v>
      </c>
      <c r="DJ100" s="75" t="s">
        <v>11</v>
      </c>
      <c r="DK100" s="75" t="str">
        <f>HYPERLINK(".\links\AAM-CEMENT-2018\EEC19418.1-AAM-CEMENT-2018.txt","Extracted CDS")</f>
        <v>Extracted CDS</v>
      </c>
      <c r="DL100" s="75" t="str">
        <f>HYPERLINK("http://www.ncbi.nlm.nih.gov/sutils/blink.cgi?pid=Aam-177793","0.84")</f>
        <v>0.84</v>
      </c>
      <c r="DM100" s="75" t="str">
        <f>HYPERLINK("http://www.ncbi.nlm.nih.gov/protein/Aam-177793","Aam-177793")</f>
        <v>Aam-177793</v>
      </c>
      <c r="DN100" s="75">
        <v>26.9</v>
      </c>
      <c r="DO100" s="75">
        <v>46</v>
      </c>
      <c r="DP100" s="75">
        <v>364</v>
      </c>
      <c r="DQ100" s="75">
        <v>32</v>
      </c>
      <c r="DR100" s="75">
        <v>43</v>
      </c>
      <c r="DS100" s="75">
        <v>13</v>
      </c>
      <c r="DT100" s="75">
        <v>31</v>
      </c>
      <c r="DU100" s="75">
        <v>0</v>
      </c>
      <c r="DV100" s="75">
        <v>276</v>
      </c>
      <c r="DW100" s="75">
        <v>892</v>
      </c>
      <c r="DX100" s="75">
        <v>1</v>
      </c>
      <c r="DY100" s="75" t="s">
        <v>2775</v>
      </c>
      <c r="DZ100" s="75" t="str">
        <f>HYPERLINK(".\links\CDD\EEC19418.1-CDD.txt","Ins145_P3_rec Inositol 145-trisphosphate/ryanodine receptor")</f>
        <v>Ins145_P3_rec Inositol 145-trisphosphate/ryanodine receptor</v>
      </c>
      <c r="EA100" s="79">
        <v>4.0000000000000001E-100</v>
      </c>
      <c r="EB100" s="75">
        <v>108.1</v>
      </c>
      <c r="EC100" s="75" t="s">
        <v>3407</v>
      </c>
      <c r="ED100" s="75" t="s">
        <v>3408</v>
      </c>
      <c r="EE100" s="75" t="str">
        <f>HYPERLINK(".\links\KOG\EEC19418.1-KOG.txt","CDD:224748 COG1835, COG1835, Predicted acyltransferases")</f>
        <v>CDD:224748 COG1835, COG1835, Predicted acyltransferases</v>
      </c>
      <c r="EF100" s="79">
        <v>2.9999999999999997E-4</v>
      </c>
      <c r="EG100" s="75">
        <v>53.6</v>
      </c>
      <c r="EH100" s="75" t="s">
        <v>3409</v>
      </c>
      <c r="EI100" s="75" t="s">
        <v>2779</v>
      </c>
      <c r="EJ100" s="75" t="str">
        <f>HYPERLINK(".\links\PFAM\EEC19418.1-PFAM.txt","Ins145_P3_rec Inositol 145-trisphosphate/ryanodine receptor")</f>
        <v>Ins145_P3_rec Inositol 145-trisphosphate/ryanodine receptor</v>
      </c>
      <c r="EK100" s="79">
        <v>8.0000000000000004E-101</v>
      </c>
      <c r="EL100" s="75">
        <v>108.1</v>
      </c>
      <c r="EM100" s="75" t="s">
        <v>3407</v>
      </c>
      <c r="EN100" s="75" t="s">
        <v>2772</v>
      </c>
      <c r="EO100" s="75" t="str">
        <f>HYPERLINK(".\links\SMART\EEC19418.1-SMART.txt","CDD:197746 smart00472, MIR, Domain in ryanodine and inositol trisphosphate receptors and protein O-mannosyltransferases")</f>
        <v>CDD:197746 smart00472, MIR, Domain in ryanodine and inositol trisphosphate receptors and protein O-mannosyltransferases</v>
      </c>
      <c r="EP100" s="79">
        <v>4.9999999999999998E-7</v>
      </c>
      <c r="EQ100" s="75">
        <v>100</v>
      </c>
      <c r="ER100" s="75" t="s">
        <v>3410</v>
      </c>
      <c r="ES100" s="75" t="s">
        <v>2772</v>
      </c>
      <c r="ET100" s="75" t="str">
        <f>HYPERLINK(".\links\TSF\EEC19418.1-TSF.txt","30-433 30-433, BTSP||S|")</f>
        <v>30-433 30-433, BTSP||S|</v>
      </c>
      <c r="EU100" s="75">
        <v>3.6999999999999998E-2</v>
      </c>
      <c r="EV100" s="75">
        <v>4.4000000000000004</v>
      </c>
      <c r="EW100" s="75" t="s">
        <v>3136</v>
      </c>
      <c r="EX100" s="75" t="s">
        <v>3057</v>
      </c>
      <c r="EY100" s="75" t="s">
        <v>2772</v>
      </c>
      <c r="EZ100" s="75" t="s">
        <v>2785</v>
      </c>
      <c r="FA100" s="75" t="s">
        <v>3137</v>
      </c>
    </row>
    <row r="101" spans="1:157" x14ac:dyDescent="0.2">
      <c r="A101" s="75" t="str">
        <f>HYPERLINK(".\links\PEP\AAV80782.1-PEP.txt","AAV80782.1")</f>
        <v>AAV80782.1</v>
      </c>
      <c r="B101" s="75" t="s">
        <v>2768</v>
      </c>
      <c r="C101" s="75">
        <v>120</v>
      </c>
      <c r="D101" s="75" t="s">
        <v>3411</v>
      </c>
      <c r="E101" s="76" t="s">
        <v>3412</v>
      </c>
      <c r="F101" s="75" t="s">
        <v>2771</v>
      </c>
      <c r="G101" s="75" t="str">
        <f>HYPERLINK(".\links\Sigp\AAV80782.1-SigP.txt","SIG")</f>
        <v>SIG</v>
      </c>
      <c r="H101" s="75" t="s">
        <v>3164</v>
      </c>
      <c r="I101" s="75">
        <v>13.747</v>
      </c>
      <c r="J101" s="75">
        <v>7.46</v>
      </c>
      <c r="K101" s="75">
        <v>11.034000000000001</v>
      </c>
      <c r="L101" s="75">
        <v>5.27</v>
      </c>
      <c r="M101" s="75" t="str">
        <f>HYPERLINK(".\links\netoglyc\AAV80782.1-netoglyc.txt","0")</f>
        <v>0</v>
      </c>
      <c r="N101" s="75" t="s">
        <v>3413</v>
      </c>
      <c r="O101" s="75">
        <v>120</v>
      </c>
      <c r="P101" s="75">
        <v>0</v>
      </c>
      <c r="Q101" s="75" t="s">
        <v>2772</v>
      </c>
      <c r="R101" s="75" t="s">
        <v>2772</v>
      </c>
      <c r="S101" s="75" t="s">
        <v>2772</v>
      </c>
      <c r="T101" s="75" t="s">
        <v>2772</v>
      </c>
      <c r="U101" s="75" t="s">
        <v>2772</v>
      </c>
      <c r="V101" s="75" t="s">
        <v>2772</v>
      </c>
      <c r="W101" s="75">
        <v>8.9</v>
      </c>
      <c r="X101" s="75">
        <v>8.9</v>
      </c>
      <c r="Y101" s="75">
        <v>8.9</v>
      </c>
      <c r="Z101" s="75" t="s">
        <v>2774</v>
      </c>
      <c r="AA101" s="77">
        <v>18.3333333333333</v>
      </c>
      <c r="AB101" s="75">
        <v>0.45</v>
      </c>
      <c r="AC101" s="75" t="s">
        <v>3414</v>
      </c>
      <c r="AD101" s="75">
        <v>8</v>
      </c>
      <c r="AE101" s="75" t="s">
        <v>2772</v>
      </c>
      <c r="AF101" s="75" t="s">
        <v>2772</v>
      </c>
      <c r="AG101" s="75" t="s">
        <v>2772</v>
      </c>
      <c r="AH101" s="75" t="s">
        <v>2772</v>
      </c>
      <c r="AI101" s="75" t="s">
        <v>2772</v>
      </c>
      <c r="AJ101" s="75">
        <v>1</v>
      </c>
      <c r="AK101" s="75" t="s">
        <v>2772</v>
      </c>
      <c r="AL101" s="75" t="s">
        <v>2772</v>
      </c>
      <c r="AM101" s="75" t="s">
        <v>2772</v>
      </c>
      <c r="AN101" s="75" t="s">
        <v>2772</v>
      </c>
      <c r="AO101" s="78" t="str">
        <f>HYPERLINK(".\links\AAM-CEMENT-2018\AAV80782.1-AAM-CEMENT-2018.txt","Extracted CDS")</f>
        <v>Extracted CDS</v>
      </c>
      <c r="AP101" s="75" t="str">
        <f>HYPERLINK("http://www.ncbi.nlm.nih.gov/sutils/blink.cgi?pid=Aam-11134","4.0")</f>
        <v>4.0</v>
      </c>
      <c r="AQ101" s="75" t="str">
        <f>HYPERLINK("http://www.ncbi.nlm.nih.gov/protein/Aam-11134","Aam-11134")</f>
        <v>Aam-11134</v>
      </c>
      <c r="AR101" s="75">
        <v>20</v>
      </c>
      <c r="AS101" s="75">
        <v>30</v>
      </c>
      <c r="AT101" s="75">
        <v>1034</v>
      </c>
      <c r="AU101" s="75">
        <v>30</v>
      </c>
      <c r="AV101" s="75">
        <v>46</v>
      </c>
      <c r="AW101" s="75">
        <v>3</v>
      </c>
      <c r="AX101" s="75">
        <v>21</v>
      </c>
      <c r="AY101" s="75">
        <v>0</v>
      </c>
      <c r="AZ101" s="75">
        <v>589</v>
      </c>
      <c r="BA101" s="75">
        <v>9</v>
      </c>
      <c r="BB101" s="75">
        <v>1</v>
      </c>
      <c r="BC101" s="75" t="s">
        <v>2775</v>
      </c>
      <c r="BD101" s="78" t="str">
        <f>HYPERLINK(".\links\CDD\AAV80782.1-CDD.txt","SVWC Single domain von Willebrand factor type C")</f>
        <v>SVWC Single domain von Willebrand factor type C</v>
      </c>
      <c r="BE101" s="79">
        <v>5E-15</v>
      </c>
      <c r="BF101" s="75">
        <v>101.5</v>
      </c>
      <c r="BG101" s="75" t="s">
        <v>3415</v>
      </c>
      <c r="BH101" s="75" t="s">
        <v>3416</v>
      </c>
      <c r="BI101" s="75" t="str">
        <f>HYPERLINK(".\links\KOG\AAV80782.1-KOG.txt","CDD:223836 COG0765, HisM, ABC-type amino acid transport system, permease component")</f>
        <v>CDD:223836 COG0765, HisM, ABC-type amino acid transport system, permease component</v>
      </c>
      <c r="BJ101" s="75">
        <v>0.76</v>
      </c>
      <c r="BK101" s="75">
        <v>9</v>
      </c>
      <c r="BL101" s="75" t="s">
        <v>3417</v>
      </c>
      <c r="BM101" s="75" t="s">
        <v>2779</v>
      </c>
      <c r="BN101" s="78" t="str">
        <f>HYPERLINK(".\links\PFAM\AAV80782.1-PFAM.txt","SVWC Single domain von Willebrand factor type C")</f>
        <v>SVWC Single domain von Willebrand factor type C</v>
      </c>
      <c r="BO101" s="79">
        <v>1.0000000000000001E-15</v>
      </c>
      <c r="BP101" s="75">
        <v>101.5</v>
      </c>
      <c r="BQ101" s="75" t="s">
        <v>3415</v>
      </c>
      <c r="BR101" s="75" t="s">
        <v>2772</v>
      </c>
      <c r="BS101" s="78" t="str">
        <f>HYPERLINK(".\links\SMART\AAV80782.1-SMART.txt","CDD:128403 smart00092, RNAse_Pc, Pancreatic ribonuclease")</f>
        <v>CDD:128403 smart00092, RNAse_Pc, Pancreatic ribonuclease</v>
      </c>
      <c r="BT101" s="75">
        <v>5.0999999999999997E-2</v>
      </c>
      <c r="BU101" s="75">
        <v>28.5</v>
      </c>
      <c r="BV101" s="75" t="s">
        <v>3418</v>
      </c>
      <c r="BW101" s="75" t="s">
        <v>2772</v>
      </c>
      <c r="BX101" s="78" t="str">
        <f>HYPERLINK(".\links\TSF\AAV80782.1-TSF.txt","45-77 45-77, 8")</f>
        <v>45-77 45-77, 8</v>
      </c>
      <c r="BY101" s="79">
        <v>3.9999999999999998E-74</v>
      </c>
      <c r="BZ101" s="75">
        <v>100</v>
      </c>
      <c r="CA101" s="75" t="s">
        <v>3419</v>
      </c>
      <c r="CB101" s="75" t="s">
        <v>3420</v>
      </c>
      <c r="CC101" s="75" t="s">
        <v>2772</v>
      </c>
      <c r="CD101" s="75" t="s">
        <v>2785</v>
      </c>
      <c r="CE101" s="75" t="s">
        <v>3421</v>
      </c>
      <c r="CF101" s="75">
        <f>HYPERLINK(".\links\cluster-b\Ixsc-cement-202225-50SimCLU8.txt", 8)</f>
        <v>8</v>
      </c>
      <c r="CG101" s="75">
        <f>HYPERLINK(".\links\cluster-b\Ixsc-cement-202225-50SimCLTL8.txt", 3)</f>
        <v>3</v>
      </c>
      <c r="CH101" s="75">
        <f>HYPERLINK(".\links\cluster-b\Ixsc-cement-202230-50SimCLU7.txt", 7)</f>
        <v>7</v>
      </c>
      <c r="CI101" s="75">
        <f>HYPERLINK(".\links\cluster-b\Ixsc-cement-202230-50SimCLTL7.txt", 3)</f>
        <v>3</v>
      </c>
      <c r="CJ101" s="75">
        <f>HYPERLINK(".\links\cluster-b\Ixsc-cement-202235-50SimCLU7.txt", 7)</f>
        <v>7</v>
      </c>
      <c r="CK101" s="75">
        <f>HYPERLINK(".\links\cluster-b\Ixsc-cement-202235-50SimCLTL7.txt", 3)</f>
        <v>3</v>
      </c>
      <c r="CL101" s="75">
        <f>HYPERLINK(".\links\cluster-b\Ixsc-cement-202240-50SimCLU8.txt", 8)</f>
        <v>8</v>
      </c>
      <c r="CM101" s="75">
        <f>HYPERLINK(".\links\cluster-b\Ixsc-cement-202240-50SimCLTL8.txt", 3)</f>
        <v>3</v>
      </c>
      <c r="CN101" s="75">
        <f>HYPERLINK(".\links\cluster-b\Ixsc-cement-202245-50SimCLU7.txt", 7)</f>
        <v>7</v>
      </c>
      <c r="CO101" s="75">
        <f>HYPERLINK(".\links\cluster-b\Ixsc-cement-202245-50SimCLTL7.txt", 3)</f>
        <v>3</v>
      </c>
      <c r="CP101" s="75">
        <f>HYPERLINK(".\links\cluster-b\Ixsc-cement-202250-50SimCLU7.txt", 7)</f>
        <v>7</v>
      </c>
      <c r="CQ101" s="75">
        <f>HYPERLINK(".\links\cluster-b\Ixsc-cement-202250-50SimCLTL7.txt", 3)</f>
        <v>3</v>
      </c>
      <c r="CR101" s="75">
        <f>HYPERLINK(".\links\cluster-b\Ixsc-cement-202255-50SimCLU6.txt", 6)</f>
        <v>6</v>
      </c>
      <c r="CS101" s="75">
        <f>HYPERLINK(".\links\cluster-b\Ixsc-cement-202255-50SimCLTL6.txt", 3)</f>
        <v>3</v>
      </c>
      <c r="CT101" s="75">
        <f>HYPERLINK(".\links\cluster-b\Ixsc-cement-202260-50SimCLU6.txt", 6)</f>
        <v>6</v>
      </c>
      <c r="CU101" s="75">
        <f>HYPERLINK(".\links\cluster-b\Ixsc-cement-202260-50SimCLTL6.txt", 3)</f>
        <v>3</v>
      </c>
      <c r="CV101" s="75">
        <f>HYPERLINK(".\links\cluster-b\Ixsc-cement-202265-50SimCLU6.txt", 6)</f>
        <v>6</v>
      </c>
      <c r="CW101" s="75">
        <f>HYPERLINK(".\links\cluster-b\Ixsc-cement-202265-50SimCLTL6.txt", 3)</f>
        <v>3</v>
      </c>
      <c r="CX101" s="75">
        <f>HYPERLINK(".\links\cluster-b\Ixsc-cement-202270-50SimCLU4.txt", 4)</f>
        <v>4</v>
      </c>
      <c r="CY101" s="75">
        <f>HYPERLINK(".\links\cluster-b\Ixsc-cement-202270-50SimCLTL4.txt", 3)</f>
        <v>3</v>
      </c>
      <c r="CZ101" s="75">
        <f>HYPERLINK(".\links\cluster-b\Ixsc-cement-202275-50SimCLU4.txt", 4)</f>
        <v>4</v>
      </c>
      <c r="DA101" s="75">
        <f>HYPERLINK(".\links\cluster-b\Ixsc-cement-202275-50SimCLTL4.txt", 3)</f>
        <v>3</v>
      </c>
      <c r="DB101" s="75">
        <f>HYPERLINK(".\links\cluster-b\Ixsc-cement-202280-50SimCLU3.txt", 3)</f>
        <v>3</v>
      </c>
      <c r="DC101" s="75">
        <f>HYPERLINK(".\links\cluster-b\Ixsc-cement-202280-50SimCLTL3.txt", 3)</f>
        <v>3</v>
      </c>
      <c r="DD101" s="75">
        <f>HYPERLINK(".\links\cluster-b\Ixsc-cement-202285-50SimCLU2.txt", 2)</f>
        <v>2</v>
      </c>
      <c r="DE101" s="75">
        <f>HYPERLINK(".\links\cluster-b\Ixsc-cement-202285-50SimCLTL2.txt", 3)</f>
        <v>3</v>
      </c>
      <c r="DF101" s="75">
        <f>HYPERLINK(".\links\cluster-b\Ixsc-cement-202290-50SimCLU1.txt", 1)</f>
        <v>1</v>
      </c>
      <c r="DG101" s="75">
        <f>HYPERLINK(".\links\cluster-b\Ixsc-cement-202290-50SimCLTL1.txt", 3)</f>
        <v>3</v>
      </c>
      <c r="DH101" s="75">
        <f>HYPERLINK(".\links\cluster-b\Ixsc-cement-202295-50SimCLU1.txt", 1)</f>
        <v>1</v>
      </c>
      <c r="DI101" s="75">
        <f>HYPERLINK(".\links\cluster-b\Ixsc-cement-202295-50SimCLTL1.txt", 3)</f>
        <v>3</v>
      </c>
      <c r="DJ101" s="75" t="s">
        <v>66</v>
      </c>
      <c r="DK101" s="75" t="str">
        <f>HYPERLINK(".\links\AAM-CEMENT-2018\AAV80782.1-AAM-CEMENT-2018.txt","Extracted CDS")</f>
        <v>Extracted CDS</v>
      </c>
      <c r="DL101" s="75" t="str">
        <f>HYPERLINK("http://www.ncbi.nlm.nih.gov/sutils/blink.cgi?pid=Aam-11134","4.0")</f>
        <v>4.0</v>
      </c>
      <c r="DM101" s="75" t="str">
        <f>HYPERLINK("http://www.ncbi.nlm.nih.gov/protein/Aam-11134","Aam-11134")</f>
        <v>Aam-11134</v>
      </c>
      <c r="DN101" s="75">
        <v>20</v>
      </c>
      <c r="DO101" s="75">
        <v>30</v>
      </c>
      <c r="DP101" s="75">
        <v>1034</v>
      </c>
      <c r="DQ101" s="75">
        <v>30</v>
      </c>
      <c r="DR101" s="75">
        <v>46</v>
      </c>
      <c r="DS101" s="75">
        <v>3</v>
      </c>
      <c r="DT101" s="75">
        <v>21</v>
      </c>
      <c r="DU101" s="75">
        <v>0</v>
      </c>
      <c r="DV101" s="75">
        <v>589</v>
      </c>
      <c r="DW101" s="75">
        <v>9</v>
      </c>
      <c r="DX101" s="75">
        <v>1</v>
      </c>
      <c r="DY101" s="75" t="s">
        <v>2775</v>
      </c>
      <c r="DZ101" s="75" t="str">
        <f>HYPERLINK(".\links\CDD\AAV80782.1-CDD.txt","SVWC Single domain von Willebrand factor type C")</f>
        <v>SVWC Single domain von Willebrand factor type C</v>
      </c>
      <c r="EA101" s="79">
        <v>5E-15</v>
      </c>
      <c r="EB101" s="75">
        <v>101.5</v>
      </c>
      <c r="EC101" s="75" t="s">
        <v>3415</v>
      </c>
      <c r="ED101" s="75" t="s">
        <v>3416</v>
      </c>
      <c r="EE101" s="75" t="str">
        <f>HYPERLINK(".\links\KOG\AAV80782.1-KOG.txt","CDD:223836 COG0765, HisM, ABC-type amino acid transport system, permease component")</f>
        <v>CDD:223836 COG0765, HisM, ABC-type amino acid transport system, permease component</v>
      </c>
      <c r="EF101" s="75">
        <v>0.76</v>
      </c>
      <c r="EG101" s="75">
        <v>9</v>
      </c>
      <c r="EH101" s="75" t="s">
        <v>3417</v>
      </c>
      <c r="EI101" s="75" t="s">
        <v>2779</v>
      </c>
      <c r="EJ101" s="75" t="str">
        <f>HYPERLINK(".\links\PFAM\AAV80782.1-PFAM.txt","SVWC Single domain von Willebrand factor type C")</f>
        <v>SVWC Single domain von Willebrand factor type C</v>
      </c>
      <c r="EK101" s="79">
        <v>1.0000000000000001E-15</v>
      </c>
      <c r="EL101" s="75">
        <v>101.5</v>
      </c>
      <c r="EM101" s="75" t="s">
        <v>3415</v>
      </c>
      <c r="EN101" s="75" t="s">
        <v>2772</v>
      </c>
      <c r="EO101" s="75" t="str">
        <f>HYPERLINK(".\links\SMART\AAV80782.1-SMART.txt","CDD:128403 smart00092, RNAse_Pc, Pancreatic ribonuclease")</f>
        <v>CDD:128403 smart00092, RNAse_Pc, Pancreatic ribonuclease</v>
      </c>
      <c r="EP101" s="75">
        <v>5.0999999999999997E-2</v>
      </c>
      <c r="EQ101" s="75">
        <v>28.5</v>
      </c>
      <c r="ER101" s="75" t="s">
        <v>3418</v>
      </c>
      <c r="ES101" s="75" t="s">
        <v>2772</v>
      </c>
      <c r="ET101" s="75" t="str">
        <f>HYPERLINK(".\links\TSF\AAV80782.1-TSF.txt","45-77 45-77, 8")</f>
        <v>45-77 45-77, 8</v>
      </c>
      <c r="EU101" s="79">
        <v>3.9999999999999998E-74</v>
      </c>
      <c r="EV101" s="75">
        <v>100</v>
      </c>
      <c r="EW101" s="75" t="s">
        <v>3419</v>
      </c>
      <c r="EX101" s="75" t="s">
        <v>3420</v>
      </c>
      <c r="EY101" s="75" t="s">
        <v>2772</v>
      </c>
      <c r="EZ101" s="75" t="s">
        <v>2785</v>
      </c>
      <c r="FA101" s="75" t="s">
        <v>3421</v>
      </c>
    </row>
    <row r="102" spans="1:157" x14ac:dyDescent="0.2">
      <c r="A102" s="75" t="str">
        <f>HYPERLINK(".\links\PEP\AAY66767.1-PEP.txt","AAY66767.1")</f>
        <v>AAY66767.1</v>
      </c>
      <c r="B102" s="75" t="s">
        <v>2768</v>
      </c>
      <c r="C102" s="75">
        <v>120</v>
      </c>
      <c r="D102" s="75" t="s">
        <v>3422</v>
      </c>
      <c r="E102" s="76" t="s">
        <v>3412</v>
      </c>
      <c r="F102" s="75" t="s">
        <v>2771</v>
      </c>
      <c r="G102" s="75" t="str">
        <f>HYPERLINK(".\links\Sigp\AAY66767.1-SigP.txt","SIG")</f>
        <v>SIG</v>
      </c>
      <c r="H102" s="75" t="s">
        <v>3164</v>
      </c>
      <c r="I102" s="75">
        <v>13.683</v>
      </c>
      <c r="J102" s="75">
        <v>7.43</v>
      </c>
      <c r="K102" s="75">
        <v>11.009</v>
      </c>
      <c r="L102" s="75">
        <v>5.27</v>
      </c>
      <c r="M102" s="75" t="str">
        <f>HYPERLINK(".\links\netoglyc\AAY66767.1-netoglyc.txt","0")</f>
        <v>0</v>
      </c>
      <c r="N102" s="75" t="s">
        <v>3413</v>
      </c>
      <c r="O102" s="75">
        <v>120</v>
      </c>
      <c r="P102" s="75">
        <v>0</v>
      </c>
      <c r="Q102" s="75" t="s">
        <v>2772</v>
      </c>
      <c r="R102" s="75" t="s">
        <v>2772</v>
      </c>
      <c r="S102" s="75" t="s">
        <v>2772</v>
      </c>
      <c r="T102" s="75" t="s">
        <v>2772</v>
      </c>
      <c r="U102" s="75" t="s">
        <v>2772</v>
      </c>
      <c r="V102" s="75" t="s">
        <v>2772</v>
      </c>
      <c r="W102" s="75">
        <v>8.9</v>
      </c>
      <c r="X102" s="75">
        <v>8.9</v>
      </c>
      <c r="Y102" s="75">
        <v>8.9</v>
      </c>
      <c r="Z102" s="75" t="s">
        <v>2774</v>
      </c>
      <c r="AA102" s="77">
        <v>18.3333333333333</v>
      </c>
      <c r="AB102" s="75">
        <v>0.47</v>
      </c>
      <c r="AC102" s="75" t="s">
        <v>3423</v>
      </c>
      <c r="AD102" s="75">
        <v>9</v>
      </c>
      <c r="AE102" s="75" t="s">
        <v>2772</v>
      </c>
      <c r="AF102" s="75" t="s">
        <v>2772</v>
      </c>
      <c r="AG102" s="75" t="s">
        <v>2772</v>
      </c>
      <c r="AH102" s="75" t="s">
        <v>2772</v>
      </c>
      <c r="AI102" s="75" t="s">
        <v>2772</v>
      </c>
      <c r="AJ102" s="75">
        <v>1</v>
      </c>
      <c r="AK102" s="75" t="s">
        <v>2772</v>
      </c>
      <c r="AL102" s="75" t="s">
        <v>2772</v>
      </c>
      <c r="AM102" s="75" t="s">
        <v>2772</v>
      </c>
      <c r="AN102" s="75" t="s">
        <v>2772</v>
      </c>
      <c r="AO102" s="78" t="str">
        <f>HYPERLINK(".\links\AAM-CEMENT-2018\AAY66767.1-AAM-CEMENT-2018.txt","Extracted CDS")</f>
        <v>Extracted CDS</v>
      </c>
      <c r="AP102" s="75" t="str">
        <f>HYPERLINK("http://www.ncbi.nlm.nih.gov/sutils/blink.cgi?pid=Aam-11134","4.0")</f>
        <v>4.0</v>
      </c>
      <c r="AQ102" s="75" t="str">
        <f>HYPERLINK("http://www.ncbi.nlm.nih.gov/protein/Aam-11134","Aam-11134")</f>
        <v>Aam-11134</v>
      </c>
      <c r="AR102" s="75">
        <v>20</v>
      </c>
      <c r="AS102" s="75">
        <v>30</v>
      </c>
      <c r="AT102" s="75">
        <v>1034</v>
      </c>
      <c r="AU102" s="75">
        <v>30</v>
      </c>
      <c r="AV102" s="75">
        <v>46</v>
      </c>
      <c r="AW102" s="75">
        <v>3</v>
      </c>
      <c r="AX102" s="75">
        <v>21</v>
      </c>
      <c r="AY102" s="75">
        <v>0</v>
      </c>
      <c r="AZ102" s="75">
        <v>589</v>
      </c>
      <c r="BA102" s="75">
        <v>9</v>
      </c>
      <c r="BB102" s="75">
        <v>1</v>
      </c>
      <c r="BC102" s="75" t="s">
        <v>2775</v>
      </c>
      <c r="BD102" s="78" t="str">
        <f>HYPERLINK(".\links\CDD\AAY66767.1-CDD.txt","SVWC Single domain von Willebrand factor type C")</f>
        <v>SVWC Single domain von Willebrand factor type C</v>
      </c>
      <c r="BE102" s="79">
        <v>2E-14</v>
      </c>
      <c r="BF102" s="75">
        <v>101.5</v>
      </c>
      <c r="BG102" s="75" t="s">
        <v>3415</v>
      </c>
      <c r="BH102" s="75" t="s">
        <v>3424</v>
      </c>
      <c r="BI102" s="75" t="str">
        <f>HYPERLINK(".\links\KOG\AAY66767.1-KOG.txt","CDD:223836 COG0765, HisM, ABC-type amino acid transport system, permease component")</f>
        <v>CDD:223836 COG0765, HisM, ABC-type amino acid transport system, permease component</v>
      </c>
      <c r="BJ102" s="75">
        <v>0.76</v>
      </c>
      <c r="BK102" s="75">
        <v>9</v>
      </c>
      <c r="BL102" s="75" t="s">
        <v>3417</v>
      </c>
      <c r="BM102" s="75" t="s">
        <v>2779</v>
      </c>
      <c r="BN102" s="78" t="str">
        <f>HYPERLINK(".\links\PFAM\AAY66767.1-PFAM.txt","SVWC Single domain von Willebrand factor type C")</f>
        <v>SVWC Single domain von Willebrand factor type C</v>
      </c>
      <c r="BO102" s="79">
        <v>4.0000000000000003E-15</v>
      </c>
      <c r="BP102" s="75">
        <v>101.5</v>
      </c>
      <c r="BQ102" s="75" t="s">
        <v>3415</v>
      </c>
      <c r="BR102" s="75" t="s">
        <v>2772</v>
      </c>
      <c r="BS102" s="78" t="str">
        <f>HYPERLINK(".\links\SMART\AAY66767.1-SMART.txt","CDD:128403 smart00092, RNAse_Pc, Pancreatic ribonuclease")</f>
        <v>CDD:128403 smart00092, RNAse_Pc, Pancreatic ribonuclease</v>
      </c>
      <c r="BT102" s="75">
        <v>0.68</v>
      </c>
      <c r="BU102" s="75">
        <v>28.5</v>
      </c>
      <c r="BV102" s="75" t="s">
        <v>3418</v>
      </c>
      <c r="BW102" s="75" t="s">
        <v>2772</v>
      </c>
      <c r="BX102" s="78" t="str">
        <f>HYPERLINK(".\links\TSF\AAY66767.1-TSF.txt","45-77 45-77, 8")</f>
        <v>45-77 45-77, 8</v>
      </c>
      <c r="BY102" s="79">
        <v>3.0000000000000001E-72</v>
      </c>
      <c r="BZ102" s="75">
        <v>100</v>
      </c>
      <c r="CA102" s="75" t="s">
        <v>3419</v>
      </c>
      <c r="CB102" s="75" t="s">
        <v>3420</v>
      </c>
      <c r="CC102" s="75" t="s">
        <v>2772</v>
      </c>
      <c r="CD102" s="75" t="s">
        <v>2785</v>
      </c>
      <c r="CE102" s="75" t="s">
        <v>3421</v>
      </c>
      <c r="CF102" s="75">
        <f>HYPERLINK(".\links\cluster-b\Ixsc-cement-202225-50SimCLU8.txt", 8)</f>
        <v>8</v>
      </c>
      <c r="CG102" s="75">
        <f>HYPERLINK(".\links\cluster-b\Ixsc-cement-202225-50SimCLTL8.txt", 3)</f>
        <v>3</v>
      </c>
      <c r="CH102" s="75">
        <f>HYPERLINK(".\links\cluster-b\Ixsc-cement-202230-50SimCLU7.txt", 7)</f>
        <v>7</v>
      </c>
      <c r="CI102" s="75">
        <f>HYPERLINK(".\links\cluster-b\Ixsc-cement-202230-50SimCLTL7.txt", 3)</f>
        <v>3</v>
      </c>
      <c r="CJ102" s="75">
        <f>HYPERLINK(".\links\cluster-b\Ixsc-cement-202235-50SimCLU7.txt", 7)</f>
        <v>7</v>
      </c>
      <c r="CK102" s="75">
        <f>HYPERLINK(".\links\cluster-b\Ixsc-cement-202235-50SimCLTL7.txt", 3)</f>
        <v>3</v>
      </c>
      <c r="CL102" s="75">
        <f>HYPERLINK(".\links\cluster-b\Ixsc-cement-202240-50SimCLU8.txt", 8)</f>
        <v>8</v>
      </c>
      <c r="CM102" s="75">
        <f>HYPERLINK(".\links\cluster-b\Ixsc-cement-202240-50SimCLTL8.txt", 3)</f>
        <v>3</v>
      </c>
      <c r="CN102" s="75">
        <f>HYPERLINK(".\links\cluster-b\Ixsc-cement-202245-50SimCLU7.txt", 7)</f>
        <v>7</v>
      </c>
      <c r="CO102" s="75">
        <f>HYPERLINK(".\links\cluster-b\Ixsc-cement-202245-50SimCLTL7.txt", 3)</f>
        <v>3</v>
      </c>
      <c r="CP102" s="75">
        <f>HYPERLINK(".\links\cluster-b\Ixsc-cement-202250-50SimCLU7.txt", 7)</f>
        <v>7</v>
      </c>
      <c r="CQ102" s="75">
        <f>HYPERLINK(".\links\cluster-b\Ixsc-cement-202250-50SimCLTL7.txt", 3)</f>
        <v>3</v>
      </c>
      <c r="CR102" s="75">
        <f>HYPERLINK(".\links\cluster-b\Ixsc-cement-202255-50SimCLU6.txt", 6)</f>
        <v>6</v>
      </c>
      <c r="CS102" s="75">
        <f>HYPERLINK(".\links\cluster-b\Ixsc-cement-202255-50SimCLTL6.txt", 3)</f>
        <v>3</v>
      </c>
      <c r="CT102" s="75">
        <f>HYPERLINK(".\links\cluster-b\Ixsc-cement-202260-50SimCLU6.txt", 6)</f>
        <v>6</v>
      </c>
      <c r="CU102" s="75">
        <f>HYPERLINK(".\links\cluster-b\Ixsc-cement-202260-50SimCLTL6.txt", 3)</f>
        <v>3</v>
      </c>
      <c r="CV102" s="75">
        <f>HYPERLINK(".\links\cluster-b\Ixsc-cement-202265-50SimCLU6.txt", 6)</f>
        <v>6</v>
      </c>
      <c r="CW102" s="75">
        <f>HYPERLINK(".\links\cluster-b\Ixsc-cement-202265-50SimCLTL6.txt", 3)</f>
        <v>3</v>
      </c>
      <c r="CX102" s="75">
        <f>HYPERLINK(".\links\cluster-b\Ixsc-cement-202270-50SimCLU4.txt", 4)</f>
        <v>4</v>
      </c>
      <c r="CY102" s="75">
        <f>HYPERLINK(".\links\cluster-b\Ixsc-cement-202270-50SimCLTL4.txt", 3)</f>
        <v>3</v>
      </c>
      <c r="CZ102" s="75">
        <f>HYPERLINK(".\links\cluster-b\Ixsc-cement-202275-50SimCLU4.txt", 4)</f>
        <v>4</v>
      </c>
      <c r="DA102" s="75">
        <f>HYPERLINK(".\links\cluster-b\Ixsc-cement-202275-50SimCLTL4.txt", 3)</f>
        <v>3</v>
      </c>
      <c r="DB102" s="75">
        <f>HYPERLINK(".\links\cluster-b\Ixsc-cement-202280-50SimCLU3.txt", 3)</f>
        <v>3</v>
      </c>
      <c r="DC102" s="75">
        <f>HYPERLINK(".\links\cluster-b\Ixsc-cement-202280-50SimCLTL3.txt", 3)</f>
        <v>3</v>
      </c>
      <c r="DD102" s="75">
        <f>HYPERLINK(".\links\cluster-b\Ixsc-cement-202285-50SimCLU2.txt", 2)</f>
        <v>2</v>
      </c>
      <c r="DE102" s="75">
        <f>HYPERLINK(".\links\cluster-b\Ixsc-cement-202285-50SimCLTL2.txt", 3)</f>
        <v>3</v>
      </c>
      <c r="DF102" s="75">
        <f>HYPERLINK(".\links\cluster-b\Ixsc-cement-202290-50SimCLU1.txt", 1)</f>
        <v>1</v>
      </c>
      <c r="DG102" s="75">
        <f>HYPERLINK(".\links\cluster-b\Ixsc-cement-202290-50SimCLTL1.txt", 3)</f>
        <v>3</v>
      </c>
      <c r="DH102" s="75">
        <f>HYPERLINK(".\links\cluster-b\Ixsc-cement-202295-50SimCLU1.txt", 1)</f>
        <v>1</v>
      </c>
      <c r="DI102" s="75">
        <f>HYPERLINK(".\links\cluster-b\Ixsc-cement-202295-50SimCLTL1.txt", 3)</f>
        <v>3</v>
      </c>
      <c r="DJ102" s="75" t="s">
        <v>67</v>
      </c>
      <c r="DK102" s="75" t="str">
        <f>HYPERLINK(".\links\AAM-CEMENT-2018\AAY66767.1-AAM-CEMENT-2018.txt","Extracted CDS")</f>
        <v>Extracted CDS</v>
      </c>
      <c r="DL102" s="75" t="str">
        <f>HYPERLINK("http://www.ncbi.nlm.nih.gov/sutils/blink.cgi?pid=Aam-11134","4.0")</f>
        <v>4.0</v>
      </c>
      <c r="DM102" s="75" t="str">
        <f>HYPERLINK("http://www.ncbi.nlm.nih.gov/protein/Aam-11134","Aam-11134")</f>
        <v>Aam-11134</v>
      </c>
      <c r="DN102" s="75">
        <v>20</v>
      </c>
      <c r="DO102" s="75">
        <v>30</v>
      </c>
      <c r="DP102" s="75">
        <v>1034</v>
      </c>
      <c r="DQ102" s="75">
        <v>30</v>
      </c>
      <c r="DR102" s="75">
        <v>46</v>
      </c>
      <c r="DS102" s="75">
        <v>3</v>
      </c>
      <c r="DT102" s="75">
        <v>21</v>
      </c>
      <c r="DU102" s="75">
        <v>0</v>
      </c>
      <c r="DV102" s="75">
        <v>589</v>
      </c>
      <c r="DW102" s="75">
        <v>9</v>
      </c>
      <c r="DX102" s="75">
        <v>1</v>
      </c>
      <c r="DY102" s="75" t="s">
        <v>2775</v>
      </c>
      <c r="DZ102" s="75" t="str">
        <f>HYPERLINK(".\links\CDD\AAY66767.1-CDD.txt","SVWC Single domain von Willebrand factor type C")</f>
        <v>SVWC Single domain von Willebrand factor type C</v>
      </c>
      <c r="EA102" s="79">
        <v>2E-14</v>
      </c>
      <c r="EB102" s="75">
        <v>101.5</v>
      </c>
      <c r="EC102" s="75" t="s">
        <v>3415</v>
      </c>
      <c r="ED102" s="75" t="s">
        <v>3424</v>
      </c>
      <c r="EE102" s="75" t="str">
        <f>HYPERLINK(".\links\KOG\AAY66767.1-KOG.txt","CDD:223836 COG0765, HisM, ABC-type amino acid transport system, permease component")</f>
        <v>CDD:223836 COG0765, HisM, ABC-type amino acid transport system, permease component</v>
      </c>
      <c r="EF102" s="75">
        <v>0.76</v>
      </c>
      <c r="EG102" s="75">
        <v>9</v>
      </c>
      <c r="EH102" s="75" t="s">
        <v>3417</v>
      </c>
      <c r="EI102" s="75" t="s">
        <v>2779</v>
      </c>
      <c r="EJ102" s="75" t="str">
        <f>HYPERLINK(".\links\PFAM\AAY66767.1-PFAM.txt","SVWC Single domain von Willebrand factor type C")</f>
        <v>SVWC Single domain von Willebrand factor type C</v>
      </c>
      <c r="EK102" s="79">
        <v>4.0000000000000003E-15</v>
      </c>
      <c r="EL102" s="75">
        <v>101.5</v>
      </c>
      <c r="EM102" s="75" t="s">
        <v>3415</v>
      </c>
      <c r="EN102" s="75" t="s">
        <v>2772</v>
      </c>
      <c r="EO102" s="75" t="str">
        <f>HYPERLINK(".\links\SMART\AAY66767.1-SMART.txt","CDD:128403 smart00092, RNAse_Pc, Pancreatic ribonuclease")</f>
        <v>CDD:128403 smart00092, RNAse_Pc, Pancreatic ribonuclease</v>
      </c>
      <c r="EP102" s="75">
        <v>0.68</v>
      </c>
      <c r="EQ102" s="75">
        <v>28.5</v>
      </c>
      <c r="ER102" s="75" t="s">
        <v>3418</v>
      </c>
      <c r="ES102" s="75" t="s">
        <v>2772</v>
      </c>
      <c r="ET102" s="75" t="str">
        <f>HYPERLINK(".\links\TSF\AAY66767.1-TSF.txt","45-77 45-77, 8")</f>
        <v>45-77 45-77, 8</v>
      </c>
      <c r="EU102" s="79">
        <v>3.0000000000000001E-72</v>
      </c>
      <c r="EV102" s="75">
        <v>100</v>
      </c>
      <c r="EW102" s="75" t="s">
        <v>3419</v>
      </c>
      <c r="EX102" s="75" t="s">
        <v>3420</v>
      </c>
      <c r="EY102" s="75" t="s">
        <v>2772</v>
      </c>
      <c r="EZ102" s="75" t="s">
        <v>2785</v>
      </c>
      <c r="FA102" s="75" t="s">
        <v>3421</v>
      </c>
    </row>
    <row r="103" spans="1:157" x14ac:dyDescent="0.2">
      <c r="A103" s="75" t="str">
        <f>HYPERLINK(".\links\PEP\EEC19195.1-PEP.txt","EEC19195.1")</f>
        <v>EEC19195.1</v>
      </c>
      <c r="B103" s="75" t="s">
        <v>2768</v>
      </c>
      <c r="C103" s="75">
        <v>120</v>
      </c>
      <c r="D103" s="75" t="s">
        <v>3172</v>
      </c>
      <c r="E103" s="76" t="s">
        <v>3412</v>
      </c>
      <c r="F103" s="75" t="s">
        <v>2771</v>
      </c>
      <c r="G103" s="75" t="str">
        <f>HYPERLINK(".\links\Sigp\EEC19195.1-SigP.txt","SIG")</f>
        <v>SIG</v>
      </c>
      <c r="H103" s="75" t="s">
        <v>3164</v>
      </c>
      <c r="I103" s="75">
        <v>13.768000000000001</v>
      </c>
      <c r="J103" s="75">
        <v>8.1</v>
      </c>
      <c r="K103" s="75">
        <v>11.061999999999999</v>
      </c>
      <c r="L103" s="75">
        <v>6.34</v>
      </c>
      <c r="M103" s="75" t="str">
        <f>HYPERLINK(".\links\netoglyc\EEC19195.1-netoglyc.txt","0")</f>
        <v>0</v>
      </c>
      <c r="N103" s="75" t="s">
        <v>3413</v>
      </c>
      <c r="O103" s="75">
        <v>120</v>
      </c>
      <c r="P103" s="75">
        <v>0</v>
      </c>
      <c r="Q103" s="75" t="s">
        <v>2772</v>
      </c>
      <c r="R103" s="75" t="s">
        <v>2772</v>
      </c>
      <c r="S103" s="75" t="s">
        <v>2772</v>
      </c>
      <c r="T103" s="75" t="s">
        <v>2772</v>
      </c>
      <c r="U103" s="75" t="s">
        <v>2772</v>
      </c>
      <c r="V103" s="75" t="s">
        <v>2772</v>
      </c>
      <c r="W103" s="75">
        <v>8.9</v>
      </c>
      <c r="X103" s="75">
        <v>8.9</v>
      </c>
      <c r="Y103" s="75">
        <v>8.9</v>
      </c>
      <c r="Z103" s="75" t="s">
        <v>2774</v>
      </c>
      <c r="AA103" s="77">
        <v>18.3333333333333</v>
      </c>
      <c r="AB103" s="75">
        <v>0.47</v>
      </c>
      <c r="AC103" s="75" t="s">
        <v>3414</v>
      </c>
      <c r="AD103" s="75">
        <v>8</v>
      </c>
      <c r="AE103" s="75" t="s">
        <v>2772</v>
      </c>
      <c r="AF103" s="75" t="s">
        <v>2772</v>
      </c>
      <c r="AG103" s="75" t="s">
        <v>2772</v>
      </c>
      <c r="AH103" s="75" t="s">
        <v>2772</v>
      </c>
      <c r="AI103" s="75" t="s">
        <v>2772</v>
      </c>
      <c r="AJ103" s="75">
        <v>1</v>
      </c>
      <c r="AK103" s="75" t="s">
        <v>2772</v>
      </c>
      <c r="AL103" s="75" t="s">
        <v>2772</v>
      </c>
      <c r="AM103" s="75" t="s">
        <v>2772</v>
      </c>
      <c r="AN103" s="75" t="s">
        <v>2772</v>
      </c>
      <c r="AO103" s="78" t="str">
        <f>HYPERLINK(".\links\AAM-CEMENT-2018\EEC19195.1-AAM-CEMENT-2018.txt","Extracted CDS")</f>
        <v>Extracted CDS</v>
      </c>
      <c r="AP103" s="75" t="str">
        <f>HYPERLINK("http://www.ncbi.nlm.nih.gov/sutils/blink.cgi?pid=Aam-11134","4.0")</f>
        <v>4.0</v>
      </c>
      <c r="AQ103" s="75" t="str">
        <f>HYPERLINK("http://www.ncbi.nlm.nih.gov/protein/Aam-11134","Aam-11134")</f>
        <v>Aam-11134</v>
      </c>
      <c r="AR103" s="75">
        <v>20</v>
      </c>
      <c r="AS103" s="75">
        <v>30</v>
      </c>
      <c r="AT103" s="75">
        <v>1034</v>
      </c>
      <c r="AU103" s="75">
        <v>30</v>
      </c>
      <c r="AV103" s="75">
        <v>46</v>
      </c>
      <c r="AW103" s="75">
        <v>3</v>
      </c>
      <c r="AX103" s="75">
        <v>21</v>
      </c>
      <c r="AY103" s="75">
        <v>0</v>
      </c>
      <c r="AZ103" s="75">
        <v>589</v>
      </c>
      <c r="BA103" s="75">
        <v>9</v>
      </c>
      <c r="BB103" s="75">
        <v>1</v>
      </c>
      <c r="BC103" s="75" t="s">
        <v>2775</v>
      </c>
      <c r="BD103" s="78" t="str">
        <f>HYPERLINK(".\links\CDD\EEC19195.1-CDD.txt","SVWC Single domain von Willebrand factor type C")</f>
        <v>SVWC Single domain von Willebrand factor type C</v>
      </c>
      <c r="BE103" s="79">
        <v>5E-15</v>
      </c>
      <c r="BF103" s="75">
        <v>101.5</v>
      </c>
      <c r="BG103" s="75" t="s">
        <v>3415</v>
      </c>
      <c r="BH103" s="75" t="s">
        <v>3416</v>
      </c>
      <c r="BI103" s="75" t="str">
        <f>HYPERLINK(".\links\KOG\EEC19195.1-KOG.txt","CDD:223836 COG0765, HisM, ABC-type amino acid transport system, permease component")</f>
        <v>CDD:223836 COG0765, HisM, ABC-type amino acid transport system, permease component</v>
      </c>
      <c r="BJ103" s="75">
        <v>0.76</v>
      </c>
      <c r="BK103" s="75">
        <v>9</v>
      </c>
      <c r="BL103" s="75" t="s">
        <v>3417</v>
      </c>
      <c r="BM103" s="75" t="s">
        <v>2779</v>
      </c>
      <c r="BN103" s="78" t="str">
        <f>HYPERLINK(".\links\PFAM\EEC19195.1-PFAM.txt","SVWC Single domain von Willebrand factor type C")</f>
        <v>SVWC Single domain von Willebrand factor type C</v>
      </c>
      <c r="BO103" s="79">
        <v>1.0000000000000001E-15</v>
      </c>
      <c r="BP103" s="75">
        <v>101.5</v>
      </c>
      <c r="BQ103" s="75" t="s">
        <v>3415</v>
      </c>
      <c r="BR103" s="75" t="s">
        <v>2772</v>
      </c>
      <c r="BS103" s="78" t="str">
        <f>HYPERLINK(".\links\SMART\EEC19195.1-SMART.txt","CDD:128403 smart00092, RNAse_Pc, Pancreatic ribonuclease")</f>
        <v>CDD:128403 smart00092, RNAse_Pc, Pancreatic ribonuclease</v>
      </c>
      <c r="BT103" s="75">
        <v>8.5000000000000006E-2</v>
      </c>
      <c r="BU103" s="75">
        <v>28.5</v>
      </c>
      <c r="BV103" s="75" t="s">
        <v>3418</v>
      </c>
      <c r="BW103" s="75" t="s">
        <v>2772</v>
      </c>
      <c r="BX103" s="78" t="str">
        <f>HYPERLINK(".\links\TSF\EEC19195.1-TSF.txt","45-77 45-77, 8")</f>
        <v>45-77 45-77, 8</v>
      </c>
      <c r="BY103" s="79">
        <v>2E-73</v>
      </c>
      <c r="BZ103" s="75">
        <v>100</v>
      </c>
      <c r="CA103" s="75" t="s">
        <v>3419</v>
      </c>
      <c r="CB103" s="75" t="s">
        <v>3420</v>
      </c>
      <c r="CC103" s="75" t="s">
        <v>2772</v>
      </c>
      <c r="CD103" s="75" t="s">
        <v>2785</v>
      </c>
      <c r="CE103" s="75" t="s">
        <v>3421</v>
      </c>
      <c r="CF103" s="75">
        <f>HYPERLINK(".\links\cluster-b\Ixsc-cement-202225-50SimCLU8.txt", 8)</f>
        <v>8</v>
      </c>
      <c r="CG103" s="75">
        <f>HYPERLINK(".\links\cluster-b\Ixsc-cement-202225-50SimCLTL8.txt", 3)</f>
        <v>3</v>
      </c>
      <c r="CH103" s="75">
        <f>HYPERLINK(".\links\cluster-b\Ixsc-cement-202230-50SimCLU7.txt", 7)</f>
        <v>7</v>
      </c>
      <c r="CI103" s="75">
        <f>HYPERLINK(".\links\cluster-b\Ixsc-cement-202230-50SimCLTL7.txt", 3)</f>
        <v>3</v>
      </c>
      <c r="CJ103" s="75">
        <f>HYPERLINK(".\links\cluster-b\Ixsc-cement-202235-50SimCLU7.txt", 7)</f>
        <v>7</v>
      </c>
      <c r="CK103" s="75">
        <f>HYPERLINK(".\links\cluster-b\Ixsc-cement-202235-50SimCLTL7.txt", 3)</f>
        <v>3</v>
      </c>
      <c r="CL103" s="75">
        <f>HYPERLINK(".\links\cluster-b\Ixsc-cement-202240-50SimCLU8.txt", 8)</f>
        <v>8</v>
      </c>
      <c r="CM103" s="75">
        <f>HYPERLINK(".\links\cluster-b\Ixsc-cement-202240-50SimCLTL8.txt", 3)</f>
        <v>3</v>
      </c>
      <c r="CN103" s="75">
        <f>HYPERLINK(".\links\cluster-b\Ixsc-cement-202245-50SimCLU7.txt", 7)</f>
        <v>7</v>
      </c>
      <c r="CO103" s="75">
        <f>HYPERLINK(".\links\cluster-b\Ixsc-cement-202245-50SimCLTL7.txt", 3)</f>
        <v>3</v>
      </c>
      <c r="CP103" s="75">
        <f>HYPERLINK(".\links\cluster-b\Ixsc-cement-202250-50SimCLU7.txt", 7)</f>
        <v>7</v>
      </c>
      <c r="CQ103" s="75">
        <f>HYPERLINK(".\links\cluster-b\Ixsc-cement-202250-50SimCLTL7.txt", 3)</f>
        <v>3</v>
      </c>
      <c r="CR103" s="75">
        <f>HYPERLINK(".\links\cluster-b\Ixsc-cement-202255-50SimCLU6.txt", 6)</f>
        <v>6</v>
      </c>
      <c r="CS103" s="75">
        <f>HYPERLINK(".\links\cluster-b\Ixsc-cement-202255-50SimCLTL6.txt", 3)</f>
        <v>3</v>
      </c>
      <c r="CT103" s="75">
        <f>HYPERLINK(".\links\cluster-b\Ixsc-cement-202260-50SimCLU6.txt", 6)</f>
        <v>6</v>
      </c>
      <c r="CU103" s="75">
        <f>HYPERLINK(".\links\cluster-b\Ixsc-cement-202260-50SimCLTL6.txt", 3)</f>
        <v>3</v>
      </c>
      <c r="CV103" s="75">
        <f>HYPERLINK(".\links\cluster-b\Ixsc-cement-202265-50SimCLU6.txt", 6)</f>
        <v>6</v>
      </c>
      <c r="CW103" s="75">
        <f>HYPERLINK(".\links\cluster-b\Ixsc-cement-202265-50SimCLTL6.txt", 3)</f>
        <v>3</v>
      </c>
      <c r="CX103" s="75">
        <f>HYPERLINK(".\links\cluster-b\Ixsc-cement-202270-50SimCLU4.txt", 4)</f>
        <v>4</v>
      </c>
      <c r="CY103" s="75">
        <f>HYPERLINK(".\links\cluster-b\Ixsc-cement-202270-50SimCLTL4.txt", 3)</f>
        <v>3</v>
      </c>
      <c r="CZ103" s="75">
        <f>HYPERLINK(".\links\cluster-b\Ixsc-cement-202275-50SimCLU4.txt", 4)</f>
        <v>4</v>
      </c>
      <c r="DA103" s="75">
        <f>HYPERLINK(".\links\cluster-b\Ixsc-cement-202275-50SimCLTL4.txt", 3)</f>
        <v>3</v>
      </c>
      <c r="DB103" s="75">
        <f>HYPERLINK(".\links\cluster-b\Ixsc-cement-202280-50SimCLU3.txt", 3)</f>
        <v>3</v>
      </c>
      <c r="DC103" s="75">
        <f>HYPERLINK(".\links\cluster-b\Ixsc-cement-202280-50SimCLTL3.txt", 3)</f>
        <v>3</v>
      </c>
      <c r="DD103" s="75">
        <f>HYPERLINK(".\links\cluster-b\Ixsc-cement-202285-50SimCLU2.txt", 2)</f>
        <v>2</v>
      </c>
      <c r="DE103" s="75">
        <f>HYPERLINK(".\links\cluster-b\Ixsc-cement-202285-50SimCLTL2.txt", 3)</f>
        <v>3</v>
      </c>
      <c r="DF103" s="75">
        <f>HYPERLINK(".\links\cluster-b\Ixsc-cement-202290-50SimCLU1.txt", 1)</f>
        <v>1</v>
      </c>
      <c r="DG103" s="75">
        <f>HYPERLINK(".\links\cluster-b\Ixsc-cement-202290-50SimCLTL1.txt", 3)</f>
        <v>3</v>
      </c>
      <c r="DH103" s="75">
        <f>HYPERLINK(".\links\cluster-b\Ixsc-cement-202295-50SimCLU1.txt", 1)</f>
        <v>1</v>
      </c>
      <c r="DI103" s="75">
        <f>HYPERLINK(".\links\cluster-b\Ixsc-cement-202295-50SimCLTL1.txt", 3)</f>
        <v>3</v>
      </c>
      <c r="DJ103" s="75" t="s">
        <v>68</v>
      </c>
      <c r="DK103" s="75" t="str">
        <f>HYPERLINK(".\links\AAM-CEMENT-2018\EEC19195.1-AAM-CEMENT-2018.txt","Extracted CDS")</f>
        <v>Extracted CDS</v>
      </c>
      <c r="DL103" s="75" t="str">
        <f>HYPERLINK("http://www.ncbi.nlm.nih.gov/sutils/blink.cgi?pid=Aam-11134","4.0")</f>
        <v>4.0</v>
      </c>
      <c r="DM103" s="75" t="str">
        <f>HYPERLINK("http://www.ncbi.nlm.nih.gov/protein/Aam-11134","Aam-11134")</f>
        <v>Aam-11134</v>
      </c>
      <c r="DN103" s="75">
        <v>20</v>
      </c>
      <c r="DO103" s="75">
        <v>30</v>
      </c>
      <c r="DP103" s="75">
        <v>1034</v>
      </c>
      <c r="DQ103" s="75">
        <v>30</v>
      </c>
      <c r="DR103" s="75">
        <v>46</v>
      </c>
      <c r="DS103" s="75">
        <v>3</v>
      </c>
      <c r="DT103" s="75">
        <v>21</v>
      </c>
      <c r="DU103" s="75">
        <v>0</v>
      </c>
      <c r="DV103" s="75">
        <v>589</v>
      </c>
      <c r="DW103" s="75">
        <v>9</v>
      </c>
      <c r="DX103" s="75">
        <v>1</v>
      </c>
      <c r="DY103" s="75" t="s">
        <v>2775</v>
      </c>
      <c r="DZ103" s="75" t="str">
        <f>HYPERLINK(".\links\CDD\EEC19195.1-CDD.txt","SVWC Single domain von Willebrand factor type C")</f>
        <v>SVWC Single domain von Willebrand factor type C</v>
      </c>
      <c r="EA103" s="79">
        <v>5E-15</v>
      </c>
      <c r="EB103" s="75">
        <v>101.5</v>
      </c>
      <c r="EC103" s="75" t="s">
        <v>3415</v>
      </c>
      <c r="ED103" s="75" t="s">
        <v>3416</v>
      </c>
      <c r="EE103" s="75" t="str">
        <f>HYPERLINK(".\links\KOG\EEC19195.1-KOG.txt","CDD:223836 COG0765, HisM, ABC-type amino acid transport system, permease component")</f>
        <v>CDD:223836 COG0765, HisM, ABC-type amino acid transport system, permease component</v>
      </c>
      <c r="EF103" s="75">
        <v>0.76</v>
      </c>
      <c r="EG103" s="75">
        <v>9</v>
      </c>
      <c r="EH103" s="75" t="s">
        <v>3417</v>
      </c>
      <c r="EI103" s="75" t="s">
        <v>2779</v>
      </c>
      <c r="EJ103" s="75" t="str">
        <f>HYPERLINK(".\links\PFAM\EEC19195.1-PFAM.txt","SVWC Single domain von Willebrand factor type C")</f>
        <v>SVWC Single domain von Willebrand factor type C</v>
      </c>
      <c r="EK103" s="79">
        <v>1.0000000000000001E-15</v>
      </c>
      <c r="EL103" s="75">
        <v>101.5</v>
      </c>
      <c r="EM103" s="75" t="s">
        <v>3415</v>
      </c>
      <c r="EN103" s="75" t="s">
        <v>2772</v>
      </c>
      <c r="EO103" s="75" t="str">
        <f>HYPERLINK(".\links\SMART\EEC19195.1-SMART.txt","CDD:128403 smart00092, RNAse_Pc, Pancreatic ribonuclease")</f>
        <v>CDD:128403 smart00092, RNAse_Pc, Pancreatic ribonuclease</v>
      </c>
      <c r="EP103" s="75">
        <v>8.5000000000000006E-2</v>
      </c>
      <c r="EQ103" s="75">
        <v>28.5</v>
      </c>
      <c r="ER103" s="75" t="s">
        <v>3418</v>
      </c>
      <c r="ES103" s="75" t="s">
        <v>2772</v>
      </c>
      <c r="ET103" s="75" t="str">
        <f>HYPERLINK(".\links\TSF\EEC19195.1-TSF.txt","45-77 45-77, 8")</f>
        <v>45-77 45-77, 8</v>
      </c>
      <c r="EU103" s="79">
        <v>2E-73</v>
      </c>
      <c r="EV103" s="75">
        <v>100</v>
      </c>
      <c r="EW103" s="75" t="s">
        <v>3419</v>
      </c>
      <c r="EX103" s="75" t="s">
        <v>3420</v>
      </c>
      <c r="EY103" s="75" t="s">
        <v>2772</v>
      </c>
      <c r="EZ103" s="75" t="s">
        <v>2785</v>
      </c>
      <c r="FA103" s="75" t="s">
        <v>3421</v>
      </c>
    </row>
    <row r="104" spans="1:157" x14ac:dyDescent="0.2">
      <c r="A104" s="75" t="str">
        <f>HYPERLINK(".\links\PEP\EEC13579.1-PEP.txt","EEC13579.1")</f>
        <v>EEC13579.1</v>
      </c>
      <c r="B104" s="75" t="s">
        <v>2768</v>
      </c>
      <c r="C104" s="75">
        <v>1329</v>
      </c>
      <c r="D104" s="75" t="s">
        <v>3425</v>
      </c>
      <c r="E104" s="76" t="s">
        <v>3426</v>
      </c>
      <c r="F104" s="75" t="s">
        <v>2771</v>
      </c>
      <c r="G104" s="75" t="str">
        <f>HYPERLINK(".\links\Sigp\EEC13579.1-SigP.txt","SIG")</f>
        <v>SIG</v>
      </c>
      <c r="H104" s="75" t="s">
        <v>2866</v>
      </c>
      <c r="I104" s="75">
        <v>152.65199999999999</v>
      </c>
      <c r="J104" s="75">
        <v>6.25</v>
      </c>
      <c r="K104" s="75">
        <v>150.99299999999999</v>
      </c>
      <c r="L104" s="75">
        <v>6.23</v>
      </c>
      <c r="M104" s="75" t="str">
        <f>HYPERLINK(".\links\netoglyc\EEC13579.1-netoglyc.txt","0")</f>
        <v>0</v>
      </c>
      <c r="N104" s="75" t="s">
        <v>3427</v>
      </c>
      <c r="O104" s="75">
        <v>1329</v>
      </c>
      <c r="P104" s="75">
        <v>0</v>
      </c>
      <c r="Q104" s="75" t="s">
        <v>2772</v>
      </c>
      <c r="R104" s="75" t="s">
        <v>2772</v>
      </c>
      <c r="S104" s="75" t="s">
        <v>2772</v>
      </c>
      <c r="T104" s="75" t="s">
        <v>2772</v>
      </c>
      <c r="U104" s="75" t="s">
        <v>2772</v>
      </c>
      <c r="V104" s="75" t="s">
        <v>3428</v>
      </c>
      <c r="W104" s="75">
        <v>10.9</v>
      </c>
      <c r="X104" s="75">
        <v>5.0999999999999996</v>
      </c>
      <c r="Y104" s="75">
        <v>4.9000000000000004</v>
      </c>
      <c r="Z104" s="75" t="s">
        <v>2774</v>
      </c>
      <c r="AA104" s="77">
        <v>10.1580135440181</v>
      </c>
      <c r="AB104" s="75">
        <v>0.22</v>
      </c>
      <c r="AD104" s="75">
        <v>13</v>
      </c>
      <c r="AE104" s="75" t="str">
        <f>HYPERLINK(".\links\pep\EEC13579.1-sulf.txt","4")</f>
        <v>4</v>
      </c>
      <c r="AF104" s="75" t="str">
        <f>HYPERLINK(".\links\pep\EEC13579.1-tyr-sulf.txt","Fasta with y")</f>
        <v>Fasta with y</v>
      </c>
      <c r="AG104" s="75" t="s">
        <v>2772</v>
      </c>
      <c r="AH104" s="75">
        <v>1</v>
      </c>
      <c r="AI104" s="75">
        <v>10</v>
      </c>
      <c r="AJ104" s="75">
        <v>10</v>
      </c>
      <c r="AK104" s="75" t="s">
        <v>2772</v>
      </c>
      <c r="AL104" s="75" t="s">
        <v>2772</v>
      </c>
      <c r="AM104" s="75" t="s">
        <v>2772</v>
      </c>
      <c r="AN104" s="75" t="s">
        <v>2772</v>
      </c>
      <c r="AO104" s="78" t="str">
        <f>HYPERLINK(".\links\AAM-CEMENT-2018\EEC13579.1-AAM-CEMENT-2018.txt","Extracted CDS")</f>
        <v>Extracted CDS</v>
      </c>
      <c r="AP104" s="75" t="str">
        <f>HYPERLINK("http://www.ncbi.nlm.nih.gov/sutils/blink.cgi?pid=Aam-1508","0.0")</f>
        <v>0.0</v>
      </c>
      <c r="AQ104" s="75" t="str">
        <f>HYPERLINK("http://www.ncbi.nlm.nih.gov/protein/Aam-1508","Aam-1508")</f>
        <v>Aam-1508</v>
      </c>
      <c r="AR104" s="75">
        <v>1334</v>
      </c>
      <c r="AS104" s="75">
        <v>1329</v>
      </c>
      <c r="AT104" s="75">
        <v>1546</v>
      </c>
      <c r="AU104" s="75">
        <v>49</v>
      </c>
      <c r="AV104" s="75">
        <v>67</v>
      </c>
      <c r="AW104" s="75">
        <v>86</v>
      </c>
      <c r="AX104" s="75">
        <v>672</v>
      </c>
      <c r="AY104" s="75">
        <v>58</v>
      </c>
      <c r="AZ104" s="75">
        <v>1</v>
      </c>
      <c r="BA104" s="75">
        <v>1</v>
      </c>
      <c r="BB104" s="75">
        <v>1</v>
      </c>
      <c r="BC104" s="75" t="s">
        <v>2775</v>
      </c>
      <c r="BD104" s="78" t="str">
        <f>HYPERLINK(".\links\CDD\EEC13579.1-CDD.txt","Vitellogenin_N Lipoprotein amino terminal region")</f>
        <v>Vitellogenin_N Lipoprotein amino terminal region</v>
      </c>
      <c r="BE104" s="79">
        <v>1.9999999999999999E-72</v>
      </c>
      <c r="BF104" s="75">
        <v>107.7</v>
      </c>
      <c r="BG104" s="75" t="s">
        <v>3429</v>
      </c>
      <c r="BH104" s="75" t="s">
        <v>3430</v>
      </c>
      <c r="BI104" s="75" t="str">
        <f>HYPERLINK(".\links\KOG\EEC13579.1-KOG.txt","CDD:224436 COG1519, KdtA, 3-deoxy-D-manno-octulosonic-acid transferase")</f>
        <v>CDD:224436 COG1519, KdtA, 3-deoxy-D-manno-octulosonic-acid transferase</v>
      </c>
      <c r="BJ104" s="75">
        <v>0.19</v>
      </c>
      <c r="BK104" s="75">
        <v>15.3</v>
      </c>
      <c r="BL104" s="75" t="s">
        <v>3431</v>
      </c>
      <c r="BM104" s="75" t="s">
        <v>2779</v>
      </c>
      <c r="BN104" s="78" t="str">
        <f>HYPERLINK(".\links\PFAM\EEC13579.1-PFAM.txt","Vitellogenin_N Lipoprotein amino terminal region")</f>
        <v>Vitellogenin_N Lipoprotein amino terminal region</v>
      </c>
      <c r="BO104" s="79">
        <v>4E-73</v>
      </c>
      <c r="BP104" s="75">
        <v>107.7</v>
      </c>
      <c r="BQ104" s="75" t="s">
        <v>3429</v>
      </c>
      <c r="BR104" s="75" t="s">
        <v>2772</v>
      </c>
      <c r="BS104" s="78" t="str">
        <f>HYPERLINK(".\links\SMART\EEC13579.1-SMART.txt","CDD:214755 smart00638, LPD_N, Lipoprotein N-terminal Domain")</f>
        <v>CDD:214755 smart00638, LPD_N, Lipoprotein N-terminal Domain</v>
      </c>
      <c r="BT104" s="79">
        <v>6.0000000000000003E-71</v>
      </c>
      <c r="BU104" s="75">
        <v>106.4</v>
      </c>
      <c r="BV104" s="75" t="s">
        <v>3432</v>
      </c>
      <c r="BW104" s="75" t="s">
        <v>2772</v>
      </c>
      <c r="BX104" s="78" t="str">
        <f>HYPERLINK(".\links\TSF\EEC13579.1-TSF.txt","40-272 40-272, vitellogenin||S|")</f>
        <v>40-272 40-272, vitellogenin||S|</v>
      </c>
      <c r="BY104" s="75">
        <v>0</v>
      </c>
      <c r="BZ104" s="75">
        <v>84.6</v>
      </c>
      <c r="CA104" s="75" t="s">
        <v>3433</v>
      </c>
      <c r="CB104" s="75" t="s">
        <v>3434</v>
      </c>
      <c r="CC104" s="75" t="s">
        <v>2772</v>
      </c>
      <c r="CD104" s="75" t="s">
        <v>2785</v>
      </c>
      <c r="CE104" s="75" t="s">
        <v>3435</v>
      </c>
      <c r="CF104" s="75">
        <v>53</v>
      </c>
      <c r="CG104" s="75">
        <v>1</v>
      </c>
      <c r="CH104" s="75">
        <v>61</v>
      </c>
      <c r="CI104" s="75">
        <v>1</v>
      </c>
      <c r="CJ104" s="75">
        <v>62</v>
      </c>
      <c r="CK104" s="75">
        <v>1</v>
      </c>
      <c r="CL104" s="75">
        <v>66</v>
      </c>
      <c r="CM104" s="75">
        <v>1</v>
      </c>
      <c r="CN104" s="75">
        <v>70</v>
      </c>
      <c r="CO104" s="75">
        <v>1</v>
      </c>
      <c r="CP104" s="75">
        <v>72</v>
      </c>
      <c r="CQ104" s="75">
        <v>1</v>
      </c>
      <c r="CR104" s="75">
        <v>73</v>
      </c>
      <c r="CS104" s="75">
        <v>1</v>
      </c>
      <c r="CT104" s="75">
        <v>77</v>
      </c>
      <c r="CU104" s="75">
        <v>1</v>
      </c>
      <c r="CV104" s="75">
        <v>80</v>
      </c>
      <c r="CW104" s="75">
        <v>1</v>
      </c>
      <c r="CX104" s="75">
        <v>84</v>
      </c>
      <c r="CY104" s="75">
        <v>1</v>
      </c>
      <c r="CZ104" s="75">
        <v>86</v>
      </c>
      <c r="DA104" s="75">
        <v>1</v>
      </c>
      <c r="DB104" s="75">
        <v>92</v>
      </c>
      <c r="DC104" s="75">
        <v>1</v>
      </c>
      <c r="DD104" s="75">
        <v>95</v>
      </c>
      <c r="DE104" s="75">
        <v>1</v>
      </c>
      <c r="DF104" s="75">
        <v>97</v>
      </c>
      <c r="DG104" s="75">
        <v>1</v>
      </c>
      <c r="DH104" s="75">
        <v>98</v>
      </c>
      <c r="DI104" s="75">
        <v>1</v>
      </c>
      <c r="DJ104" s="75" t="s">
        <v>138</v>
      </c>
      <c r="DK104" s="75" t="str">
        <f>HYPERLINK(".\links\AAM-CEMENT-2018\EEC13579.1-AAM-CEMENT-2018.txt","Extracted CDS")</f>
        <v>Extracted CDS</v>
      </c>
      <c r="DL104" s="75" t="str">
        <f>HYPERLINK("http://www.ncbi.nlm.nih.gov/sutils/blink.cgi?pid=Aam-1508","0.0")</f>
        <v>0.0</v>
      </c>
      <c r="DM104" s="75" t="str">
        <f>HYPERLINK("http://www.ncbi.nlm.nih.gov/protein/Aam-1508","Aam-1508")</f>
        <v>Aam-1508</v>
      </c>
      <c r="DN104" s="75">
        <v>1334</v>
      </c>
      <c r="DO104" s="75">
        <v>1329</v>
      </c>
      <c r="DP104" s="75">
        <v>1546</v>
      </c>
      <c r="DQ104" s="75">
        <v>49</v>
      </c>
      <c r="DR104" s="75">
        <v>67</v>
      </c>
      <c r="DS104" s="75">
        <v>86</v>
      </c>
      <c r="DT104" s="75">
        <v>672</v>
      </c>
      <c r="DU104" s="75">
        <v>58</v>
      </c>
      <c r="DV104" s="75">
        <v>1</v>
      </c>
      <c r="DW104" s="75">
        <v>1</v>
      </c>
      <c r="DX104" s="75">
        <v>1</v>
      </c>
      <c r="DY104" s="75" t="s">
        <v>2775</v>
      </c>
      <c r="DZ104" s="75" t="str">
        <f>HYPERLINK(".\links\CDD\EEC13579.1-CDD.txt","Vitellogenin_N Lipoprotein amino terminal region")</f>
        <v>Vitellogenin_N Lipoprotein amino terminal region</v>
      </c>
      <c r="EA104" s="79">
        <v>1.9999999999999999E-72</v>
      </c>
      <c r="EB104" s="75">
        <v>107.7</v>
      </c>
      <c r="EC104" s="75" t="s">
        <v>3429</v>
      </c>
      <c r="ED104" s="75" t="s">
        <v>3430</v>
      </c>
      <c r="EE104" s="75" t="str">
        <f>HYPERLINK(".\links\KOG\EEC13579.1-KOG.txt","CDD:224436 COG1519, KdtA, 3-deoxy-D-manno-octulosonic-acid transferase")</f>
        <v>CDD:224436 COG1519, KdtA, 3-deoxy-D-manno-octulosonic-acid transferase</v>
      </c>
      <c r="EF104" s="75">
        <v>0.19</v>
      </c>
      <c r="EG104" s="75">
        <v>15.3</v>
      </c>
      <c r="EH104" s="75" t="s">
        <v>3431</v>
      </c>
      <c r="EI104" s="75" t="s">
        <v>2779</v>
      </c>
      <c r="EJ104" s="75" t="str">
        <f>HYPERLINK(".\links\PFAM\EEC13579.1-PFAM.txt","Vitellogenin_N Lipoprotein amino terminal region")</f>
        <v>Vitellogenin_N Lipoprotein amino terminal region</v>
      </c>
      <c r="EK104" s="79">
        <v>4E-73</v>
      </c>
      <c r="EL104" s="75">
        <v>107.7</v>
      </c>
      <c r="EM104" s="75" t="s">
        <v>3429</v>
      </c>
      <c r="EN104" s="75" t="s">
        <v>2772</v>
      </c>
      <c r="EO104" s="75" t="str">
        <f>HYPERLINK(".\links\SMART\EEC13579.1-SMART.txt","CDD:214755 smart00638, LPD_N, Lipoprotein N-terminal Domain")</f>
        <v>CDD:214755 smart00638, LPD_N, Lipoprotein N-terminal Domain</v>
      </c>
      <c r="EP104" s="79">
        <v>6.0000000000000003E-71</v>
      </c>
      <c r="EQ104" s="75">
        <v>106.4</v>
      </c>
      <c r="ER104" s="75" t="s">
        <v>3432</v>
      </c>
      <c r="ES104" s="75" t="s">
        <v>2772</v>
      </c>
      <c r="ET104" s="75" t="str">
        <f>HYPERLINK(".\links\TSF\EEC13579.1-TSF.txt","40-272 40-272, vitellogenin||S|")</f>
        <v>40-272 40-272, vitellogenin||S|</v>
      </c>
      <c r="EU104" s="75">
        <v>0</v>
      </c>
      <c r="EV104" s="75">
        <v>84.6</v>
      </c>
      <c r="EW104" s="75" t="s">
        <v>3433</v>
      </c>
      <c r="EX104" s="75" t="s">
        <v>3434</v>
      </c>
      <c r="EY104" s="75" t="s">
        <v>2772</v>
      </c>
      <c r="EZ104" s="75" t="s">
        <v>2785</v>
      </c>
      <c r="FA104" s="75" t="s">
        <v>3435</v>
      </c>
    </row>
    <row r="105" spans="1:157" x14ac:dyDescent="0.2">
      <c r="A105" s="75" t="str">
        <f>HYPERLINK(".\links\PEP\EEC17055.1-PEP.txt","EEC17055.1")</f>
        <v>EEC17055.1</v>
      </c>
      <c r="B105" s="75" t="s">
        <v>2768</v>
      </c>
      <c r="C105" s="75">
        <v>681</v>
      </c>
      <c r="D105" s="75" t="s">
        <v>3436</v>
      </c>
      <c r="E105" s="76" t="s">
        <v>282</v>
      </c>
      <c r="F105" s="75" t="s">
        <v>2771</v>
      </c>
      <c r="G105" s="75" t="str">
        <f>HYPERLINK(".\links\Sigp\EEC17055.1-SigP.txt","SIG")</f>
        <v>SIG</v>
      </c>
      <c r="H105" s="75" t="s">
        <v>3437</v>
      </c>
      <c r="I105" s="75">
        <v>74.78</v>
      </c>
      <c r="J105" s="75">
        <v>5.88</v>
      </c>
      <c r="K105" s="75">
        <v>72.191000000000003</v>
      </c>
      <c r="L105" s="75">
        <v>5.68</v>
      </c>
      <c r="M105" s="75" t="str">
        <f>HYPERLINK(".\links\netoglyc\EEC17055.1-netoglyc.txt","0")</f>
        <v>0</v>
      </c>
      <c r="N105" s="75" t="s">
        <v>3438</v>
      </c>
      <c r="O105" s="75">
        <v>681</v>
      </c>
      <c r="P105" s="75" t="str">
        <f>HYPERLINK(".\links\tmhmm\EEC17055.1-tmhmm.txt","1")</f>
        <v>1</v>
      </c>
      <c r="Q105" s="75">
        <v>3.2</v>
      </c>
      <c r="R105" s="75">
        <v>90.5</v>
      </c>
      <c r="S105" s="75">
        <v>6.3</v>
      </c>
      <c r="T105" s="75" t="s">
        <v>2772</v>
      </c>
      <c r="U105" s="75">
        <v>616</v>
      </c>
      <c r="V105" s="75" t="s">
        <v>2772</v>
      </c>
      <c r="W105" s="75">
        <v>15.2</v>
      </c>
      <c r="X105" s="75">
        <v>5.5</v>
      </c>
      <c r="Y105" s="75">
        <v>4.9000000000000004</v>
      </c>
      <c r="Z105" s="75" t="s">
        <v>2774</v>
      </c>
      <c r="AA105" s="77">
        <v>10.5726872246696</v>
      </c>
      <c r="AB105" s="75">
        <v>0.26</v>
      </c>
      <c r="AD105" s="75">
        <v>17</v>
      </c>
      <c r="AE105" s="75" t="s">
        <v>2772</v>
      </c>
      <c r="AF105" s="75" t="s">
        <v>2772</v>
      </c>
      <c r="AG105" s="75" t="s">
        <v>2772</v>
      </c>
      <c r="AH105" s="75">
        <v>2</v>
      </c>
      <c r="AI105" s="75">
        <v>3</v>
      </c>
      <c r="AJ105" s="75">
        <v>3</v>
      </c>
      <c r="AK105" s="75" t="s">
        <v>2772</v>
      </c>
      <c r="AL105" s="75" t="s">
        <v>2772</v>
      </c>
      <c r="AM105" s="75" t="s">
        <v>2772</v>
      </c>
      <c r="AN105" s="75" t="s">
        <v>2772</v>
      </c>
      <c r="AO105" s="78" t="str">
        <f>HYPERLINK(".\links\AAM-CEMENT-2018\EEC17055.1-AAM-CEMENT-2018.txt","Extracted CDS")</f>
        <v>Extracted CDS</v>
      </c>
      <c r="AP105" s="75" t="str">
        <f>HYPERLINK("http://www.ncbi.nlm.nih.gov/sutils/blink.cgi?pid=Aam-194352","1.2")</f>
        <v>1.2</v>
      </c>
      <c r="AQ105" s="75" t="str">
        <f>HYPERLINK("http://www.ncbi.nlm.nih.gov/protein/Aam-194352","Aam-194352")</f>
        <v>Aam-194352</v>
      </c>
      <c r="AR105" s="75">
        <v>24.3</v>
      </c>
      <c r="AS105" s="75">
        <v>59</v>
      </c>
      <c r="AT105" s="75">
        <v>148</v>
      </c>
      <c r="AU105" s="75">
        <v>25</v>
      </c>
      <c r="AV105" s="75">
        <v>42</v>
      </c>
      <c r="AW105" s="75">
        <v>40</v>
      </c>
      <c r="AX105" s="75">
        <v>44</v>
      </c>
      <c r="AY105" s="75">
        <v>22</v>
      </c>
      <c r="AZ105" s="75">
        <v>8</v>
      </c>
      <c r="BA105" s="75">
        <v>55</v>
      </c>
      <c r="BB105" s="75">
        <v>1</v>
      </c>
      <c r="BC105" s="75" t="s">
        <v>2775</v>
      </c>
      <c r="BD105" s="78" t="str">
        <f>HYPERLINK(".\links\CDD\EEC17055.1-CDD.txt","M13 Peptidase family M13 includes neprilysin and endothelin-converting enzyme I")</f>
        <v>M13 Peptidase family M13 includes neprilysin and endothelin-converting enzyme I</v>
      </c>
      <c r="BE105" s="79">
        <v>3.9999999999999998E-23</v>
      </c>
      <c r="BF105" s="75">
        <v>78.8</v>
      </c>
      <c r="BG105" s="75" t="s">
        <v>3439</v>
      </c>
      <c r="BH105" s="75" t="s">
        <v>3440</v>
      </c>
      <c r="BI105" s="75" t="str">
        <f>HYPERLINK(".\links\KOG\EEC17055.1-KOG.txt","CDD:226118 COG3590, PepO, Predicted metalloendopeptidase")</f>
        <v>CDD:226118 COG3590, PepO, Predicted metalloendopeptidase</v>
      </c>
      <c r="BJ105" s="79">
        <v>3.9999999999999998E-6</v>
      </c>
      <c r="BK105" s="75">
        <v>5.4</v>
      </c>
      <c r="BL105" s="75" t="s">
        <v>3441</v>
      </c>
      <c r="BM105" s="75" t="s">
        <v>2779</v>
      </c>
      <c r="BN105" s="78" t="str">
        <f>HYPERLINK(".\links\PFAM\EEC17055.1-PFAM.txt","Peptidase_M13_N Peptidase family M13")</f>
        <v>Peptidase_M13_N Peptidase family M13</v>
      </c>
      <c r="BO105" s="75">
        <v>3.0000000000000001E-3</v>
      </c>
      <c r="BP105" s="75">
        <v>113.9</v>
      </c>
      <c r="BQ105" s="75" t="s">
        <v>3442</v>
      </c>
      <c r="BR105" s="75" t="s">
        <v>2772</v>
      </c>
      <c r="BS105" s="78" t="str">
        <f>HYPERLINK(".\links\SMART\EEC17055.1-SMART.txt","CDD:214594 smart00273, ENTH, Epsin N-terminal homology")</f>
        <v>CDD:214594 smart00273, ENTH, Epsin N-terminal homology</v>
      </c>
      <c r="BT105" s="75">
        <v>0.67</v>
      </c>
      <c r="BU105" s="75">
        <v>36.200000000000003</v>
      </c>
      <c r="BV105" s="75" t="s">
        <v>3443</v>
      </c>
      <c r="BW105" s="75" t="s">
        <v>2772</v>
      </c>
      <c r="BX105" s="78" t="str">
        <f>HYPERLINK(".\links\TSF\EEC17055.1-TSF.txt","35-98 35-98, M13_peptidase||S|E")</f>
        <v>35-98 35-98, M13_peptidase||S|E</v>
      </c>
      <c r="BY105" s="79">
        <v>8.9999999999999996E-17</v>
      </c>
      <c r="BZ105" s="75">
        <v>79.400000000000006</v>
      </c>
      <c r="CA105" s="75" t="s">
        <v>3444</v>
      </c>
      <c r="CB105" s="75" t="s">
        <v>2843</v>
      </c>
      <c r="CC105" s="75" t="s">
        <v>2772</v>
      </c>
      <c r="CD105" s="75" t="s">
        <v>2785</v>
      </c>
      <c r="CE105" s="75" t="s">
        <v>3445</v>
      </c>
      <c r="CF105" s="75">
        <v>63</v>
      </c>
      <c r="CG105" s="75">
        <v>1</v>
      </c>
      <c r="CH105" s="75">
        <v>74</v>
      </c>
      <c r="CI105" s="75">
        <v>1</v>
      </c>
      <c r="CJ105" s="75">
        <v>75</v>
      </c>
      <c r="CK105" s="75">
        <v>1</v>
      </c>
      <c r="CL105" s="75">
        <v>79</v>
      </c>
      <c r="CM105" s="75">
        <v>1</v>
      </c>
      <c r="CN105" s="75">
        <v>83</v>
      </c>
      <c r="CO105" s="75">
        <v>1</v>
      </c>
      <c r="CP105" s="75">
        <v>85</v>
      </c>
      <c r="CQ105" s="75">
        <v>1</v>
      </c>
      <c r="CR105" s="75">
        <v>86</v>
      </c>
      <c r="CS105" s="75">
        <v>1</v>
      </c>
      <c r="CT105" s="75">
        <v>90</v>
      </c>
      <c r="CU105" s="75">
        <v>1</v>
      </c>
      <c r="CV105" s="75">
        <v>93</v>
      </c>
      <c r="CW105" s="75">
        <v>1</v>
      </c>
      <c r="CX105" s="75">
        <v>97</v>
      </c>
      <c r="CY105" s="75">
        <v>1</v>
      </c>
      <c r="CZ105" s="75">
        <v>99</v>
      </c>
      <c r="DA105" s="75">
        <v>1</v>
      </c>
      <c r="DB105" s="75">
        <v>105</v>
      </c>
      <c r="DC105" s="75">
        <v>1</v>
      </c>
      <c r="DD105" s="75">
        <v>109</v>
      </c>
      <c r="DE105" s="75">
        <v>1</v>
      </c>
      <c r="DF105" s="75">
        <v>111</v>
      </c>
      <c r="DG105" s="75">
        <v>1</v>
      </c>
      <c r="DH105" s="75">
        <v>112</v>
      </c>
      <c r="DI105" s="75">
        <v>1</v>
      </c>
      <c r="DJ105" s="75" t="s">
        <v>104</v>
      </c>
      <c r="DK105" s="75" t="str">
        <f>HYPERLINK(".\links\AAM-CEMENT-2018\EEC17055.1-AAM-CEMENT-2018.txt","Extracted CDS")</f>
        <v>Extracted CDS</v>
      </c>
      <c r="DL105" s="75" t="str">
        <f>HYPERLINK("http://www.ncbi.nlm.nih.gov/sutils/blink.cgi?pid=Aam-194352","1.2")</f>
        <v>1.2</v>
      </c>
      <c r="DM105" s="75" t="str">
        <f>HYPERLINK("http://www.ncbi.nlm.nih.gov/protein/Aam-194352","Aam-194352")</f>
        <v>Aam-194352</v>
      </c>
      <c r="DN105" s="75">
        <v>24.3</v>
      </c>
      <c r="DO105" s="75">
        <v>59</v>
      </c>
      <c r="DP105" s="75">
        <v>148</v>
      </c>
      <c r="DQ105" s="75">
        <v>25</v>
      </c>
      <c r="DR105" s="75">
        <v>42</v>
      </c>
      <c r="DS105" s="75">
        <v>40</v>
      </c>
      <c r="DT105" s="75">
        <v>44</v>
      </c>
      <c r="DU105" s="75">
        <v>22</v>
      </c>
      <c r="DV105" s="75">
        <v>8</v>
      </c>
      <c r="DW105" s="75">
        <v>55</v>
      </c>
      <c r="DX105" s="75">
        <v>1</v>
      </c>
      <c r="DY105" s="75" t="s">
        <v>2775</v>
      </c>
      <c r="DZ105" s="75" t="str">
        <f>HYPERLINK(".\links\CDD\EEC17055.1-CDD.txt","M13 Peptidase family M13 includes neprilysin and endothelin-converting enzyme I")</f>
        <v>M13 Peptidase family M13 includes neprilysin and endothelin-converting enzyme I</v>
      </c>
      <c r="EA105" s="79">
        <v>3.9999999999999998E-23</v>
      </c>
      <c r="EB105" s="75">
        <v>78.8</v>
      </c>
      <c r="EC105" s="75" t="s">
        <v>3439</v>
      </c>
      <c r="ED105" s="75" t="s">
        <v>3440</v>
      </c>
      <c r="EE105" s="75" t="str">
        <f>HYPERLINK(".\links\KOG\EEC17055.1-KOG.txt","CDD:226118 COG3590, PepO, Predicted metalloendopeptidase")</f>
        <v>CDD:226118 COG3590, PepO, Predicted metalloendopeptidase</v>
      </c>
      <c r="EF105" s="79">
        <v>3.9999999999999998E-6</v>
      </c>
      <c r="EG105" s="75">
        <v>5.4</v>
      </c>
      <c r="EH105" s="75" t="s">
        <v>3441</v>
      </c>
      <c r="EI105" s="75" t="s">
        <v>2779</v>
      </c>
      <c r="EJ105" s="75" t="str">
        <f>HYPERLINK(".\links\PFAM\EEC17055.1-PFAM.txt","Peptidase_M13_N Peptidase family M13")</f>
        <v>Peptidase_M13_N Peptidase family M13</v>
      </c>
      <c r="EK105" s="75">
        <v>3.0000000000000001E-3</v>
      </c>
      <c r="EL105" s="75">
        <v>113.9</v>
      </c>
      <c r="EM105" s="75" t="s">
        <v>3442</v>
      </c>
      <c r="EN105" s="75" t="s">
        <v>2772</v>
      </c>
      <c r="EO105" s="75" t="str">
        <f>HYPERLINK(".\links\SMART\EEC17055.1-SMART.txt","CDD:214594 smart00273, ENTH, Epsin N-terminal homology")</f>
        <v>CDD:214594 smart00273, ENTH, Epsin N-terminal homology</v>
      </c>
      <c r="EP105" s="75">
        <v>0.67</v>
      </c>
      <c r="EQ105" s="75">
        <v>36.200000000000003</v>
      </c>
      <c r="ER105" s="75" t="s">
        <v>3443</v>
      </c>
      <c r="ES105" s="75" t="s">
        <v>2772</v>
      </c>
      <c r="ET105" s="75" t="str">
        <f>HYPERLINK(".\links\TSF\EEC17055.1-TSF.txt","35-98 35-98, M13_peptidase||S|E")</f>
        <v>35-98 35-98, M13_peptidase||S|E</v>
      </c>
      <c r="EU105" s="79">
        <v>8.9999999999999996E-17</v>
      </c>
      <c r="EV105" s="75">
        <v>79.400000000000006</v>
      </c>
      <c r="EW105" s="75" t="s">
        <v>3444</v>
      </c>
      <c r="EX105" s="75" t="s">
        <v>2843</v>
      </c>
      <c r="EY105" s="75" t="s">
        <v>2772</v>
      </c>
      <c r="EZ105" s="75" t="s">
        <v>2785</v>
      </c>
      <c r="FA105" s="75" t="s">
        <v>3445</v>
      </c>
    </row>
    <row r="106" spans="1:157" x14ac:dyDescent="0.2">
      <c r="A106" s="75" t="str">
        <f>HYPERLINK(".\links\PEP\EEC18344.1-PEP.txt","EEC18344.1")</f>
        <v>EEC18344.1</v>
      </c>
      <c r="B106" s="75" t="s">
        <v>2768</v>
      </c>
      <c r="C106" s="75">
        <v>137</v>
      </c>
      <c r="D106" s="75" t="s">
        <v>3446</v>
      </c>
      <c r="E106" s="76" t="s">
        <v>140</v>
      </c>
      <c r="F106" s="75" t="s">
        <v>2771</v>
      </c>
      <c r="G106" s="75" t="str">
        <f>HYPERLINK(".\links\Sigp\EEC18344.1-SigP.txt","BL/ANC")</f>
        <v>BL/ANC</v>
      </c>
      <c r="H106" s="75" t="s">
        <v>2772</v>
      </c>
      <c r="I106" s="75">
        <v>15.331</v>
      </c>
      <c r="J106" s="75">
        <v>9.32</v>
      </c>
      <c r="K106" s="75" t="s">
        <v>2772</v>
      </c>
      <c r="L106" s="75" t="s">
        <v>2772</v>
      </c>
      <c r="M106" s="75" t="str">
        <f>HYPERLINK(".\links\netoglyc\EEC18344.1-netoglyc.txt","0")</f>
        <v>0</v>
      </c>
      <c r="N106" s="75" t="s">
        <v>3447</v>
      </c>
      <c r="O106" s="75">
        <v>137</v>
      </c>
      <c r="P106" s="75" t="str">
        <f>HYPERLINK(".\links\tmhmm\EEC18344.1-tmhmm.txt","1")</f>
        <v>1</v>
      </c>
      <c r="Q106" s="75">
        <v>16.100000000000001</v>
      </c>
      <c r="R106" s="75">
        <v>39.4</v>
      </c>
      <c r="S106" s="75">
        <v>44.5</v>
      </c>
      <c r="T106" s="75" t="s">
        <v>2772</v>
      </c>
      <c r="U106" s="75">
        <v>61</v>
      </c>
      <c r="V106" s="75" t="s">
        <v>3448</v>
      </c>
      <c r="W106" s="75">
        <v>15.7</v>
      </c>
      <c r="X106" s="75">
        <v>7.1</v>
      </c>
      <c r="Y106" s="75">
        <v>2.1</v>
      </c>
      <c r="Z106" s="75" t="s">
        <v>2774</v>
      </c>
      <c r="AA106" s="77">
        <v>9.4890510948905096</v>
      </c>
      <c r="AB106" s="75">
        <v>0.38</v>
      </c>
      <c r="AC106" s="75" t="s">
        <v>3449</v>
      </c>
      <c r="AD106" s="75">
        <v>11</v>
      </c>
      <c r="AE106" s="75" t="s">
        <v>2772</v>
      </c>
      <c r="AF106" s="75" t="s">
        <v>2772</v>
      </c>
      <c r="AG106" s="75" t="s">
        <v>2772</v>
      </c>
      <c r="AH106" s="75">
        <v>1</v>
      </c>
      <c r="AI106" s="75" t="s">
        <v>2772</v>
      </c>
      <c r="AJ106" s="75">
        <v>1</v>
      </c>
      <c r="AK106" s="75" t="s">
        <v>2772</v>
      </c>
      <c r="AL106" s="75" t="s">
        <v>2772</v>
      </c>
      <c r="AM106" s="75" t="s">
        <v>2772</v>
      </c>
      <c r="AN106" s="75" t="s">
        <v>2772</v>
      </c>
      <c r="AO106" s="78" t="str">
        <f>HYPERLINK(".\links\AAM-CEMENT-2018\EEC18344.1-AAM-CEMENT-2018.txt","Extracted CDS")</f>
        <v>Extracted CDS</v>
      </c>
      <c r="AP106" s="75" t="str">
        <f>HYPERLINK("http://www.ncbi.nlm.nih.gov/sutils/blink.cgi?pid=Aam-194352","7E-15")</f>
        <v>7E-15</v>
      </c>
      <c r="AQ106" s="75" t="str">
        <f>HYPERLINK("http://www.ncbi.nlm.nih.gov/protein/Aam-194352","Aam-194352")</f>
        <v>Aam-194352</v>
      </c>
      <c r="AR106" s="75">
        <v>60.8</v>
      </c>
      <c r="AS106" s="75">
        <v>56</v>
      </c>
      <c r="AT106" s="75">
        <v>148</v>
      </c>
      <c r="AU106" s="75">
        <v>58</v>
      </c>
      <c r="AV106" s="75">
        <v>66</v>
      </c>
      <c r="AW106" s="75">
        <v>38</v>
      </c>
      <c r="AX106" s="75">
        <v>23</v>
      </c>
      <c r="AY106" s="75">
        <v>5</v>
      </c>
      <c r="AZ106" s="75">
        <v>55</v>
      </c>
      <c r="BA106" s="75">
        <v>85</v>
      </c>
      <c r="BB106" s="75">
        <v>1</v>
      </c>
      <c r="BC106" s="75" t="s">
        <v>2775</v>
      </c>
      <c r="BD106" s="78" t="str">
        <f>HYPERLINK(".\links\CDD\EEC18344.1-CDD.txt","TIL Trypsin Inhibitor like cysteine rich domain")</f>
        <v>TIL Trypsin Inhibitor like cysteine rich domain</v>
      </c>
      <c r="BE106" s="79">
        <v>3.9999999999999998E-11</v>
      </c>
      <c r="BF106" s="75">
        <v>103.6</v>
      </c>
      <c r="BG106" s="75" t="s">
        <v>3450</v>
      </c>
      <c r="BH106" s="75" t="s">
        <v>3451</v>
      </c>
      <c r="BI106" s="75" t="str">
        <f>HYPERLINK(".\links\KOG\EEC18344.1-KOG.txt","CDD:223988 COG1060, ThiH, Thiamine biosynthesis enzyme ThiH and related uncharacterized enzymes")</f>
        <v>CDD:223988 COG1060, ThiH, Thiamine biosynthesis enzyme ThiH and related uncharacterized enzymes</v>
      </c>
      <c r="BJ106" s="75">
        <v>1.4E-2</v>
      </c>
      <c r="BK106" s="75">
        <v>5.0999999999999996</v>
      </c>
      <c r="BL106" s="75" t="s">
        <v>3452</v>
      </c>
      <c r="BM106" s="75" t="s">
        <v>2779</v>
      </c>
      <c r="BN106" s="78" t="str">
        <f>HYPERLINK(".\links\PFAM\EEC18344.1-PFAM.txt","TIL Trypsin Inhibitor like cysteine rich domain")</f>
        <v>TIL Trypsin Inhibitor like cysteine rich domain</v>
      </c>
      <c r="BO106" s="79">
        <v>8.9999999999999996E-12</v>
      </c>
      <c r="BP106" s="75">
        <v>103.6</v>
      </c>
      <c r="BQ106" s="75" t="s">
        <v>3450</v>
      </c>
      <c r="BR106" s="75" t="s">
        <v>2772</v>
      </c>
      <c r="BS106" s="78" t="str">
        <f>HYPERLINK(".\links\SMART\EEC18344.1-SMART.txt","CDD:128914 smart00668, CTLH, C-terminal to LisH motif")</f>
        <v>CDD:128914 smart00668, CTLH, C-terminal to LisH motif</v>
      </c>
      <c r="BT106" s="75">
        <v>5.3</v>
      </c>
      <c r="BU106" s="75">
        <v>22.4</v>
      </c>
      <c r="BV106" s="75" t="s">
        <v>3453</v>
      </c>
      <c r="BW106" s="75" t="s">
        <v>2772</v>
      </c>
      <c r="BX106" s="78" t="str">
        <f>HYPERLINK(".\links\TSF\EEC18344.1-TSF.txt","50-252 50-252, TIL||S|PI")</f>
        <v>50-252 50-252, TIL||S|PI</v>
      </c>
      <c r="BY106" s="79">
        <v>2.0000000000000001E-25</v>
      </c>
      <c r="BZ106" s="75">
        <v>64.8</v>
      </c>
      <c r="CA106" s="75" t="s">
        <v>3454</v>
      </c>
      <c r="CB106" s="75" t="s">
        <v>3293</v>
      </c>
      <c r="CC106" s="75" t="s">
        <v>2772</v>
      </c>
      <c r="CD106" s="75" t="s">
        <v>2785</v>
      </c>
      <c r="CE106" s="75" t="s">
        <v>3455</v>
      </c>
      <c r="CF106" s="75">
        <v>67</v>
      </c>
      <c r="CG106" s="75">
        <v>1</v>
      </c>
      <c r="CH106" s="75">
        <v>78</v>
      </c>
      <c r="CI106" s="75">
        <v>1</v>
      </c>
      <c r="CJ106" s="75">
        <v>80</v>
      </c>
      <c r="CK106" s="75">
        <v>1</v>
      </c>
      <c r="CL106" s="75">
        <v>84</v>
      </c>
      <c r="CM106" s="75">
        <v>1</v>
      </c>
      <c r="CN106" s="75">
        <v>88</v>
      </c>
      <c r="CO106" s="75">
        <v>1</v>
      </c>
      <c r="CP106" s="75">
        <v>90</v>
      </c>
      <c r="CQ106" s="75">
        <v>1</v>
      </c>
      <c r="CR106" s="75">
        <v>91</v>
      </c>
      <c r="CS106" s="75">
        <v>1</v>
      </c>
      <c r="CT106" s="75">
        <v>95</v>
      </c>
      <c r="CU106" s="75">
        <v>1</v>
      </c>
      <c r="CV106" s="75">
        <v>98</v>
      </c>
      <c r="CW106" s="75">
        <v>1</v>
      </c>
      <c r="CX106" s="75">
        <v>102</v>
      </c>
      <c r="CY106" s="75">
        <v>1</v>
      </c>
      <c r="CZ106" s="75">
        <v>105</v>
      </c>
      <c r="DA106" s="75">
        <v>1</v>
      </c>
      <c r="DB106" s="75">
        <v>111</v>
      </c>
      <c r="DC106" s="75">
        <v>1</v>
      </c>
      <c r="DD106" s="75">
        <v>115</v>
      </c>
      <c r="DE106" s="75">
        <v>1</v>
      </c>
      <c r="DF106" s="75">
        <v>117</v>
      </c>
      <c r="DG106" s="75">
        <v>1</v>
      </c>
      <c r="DH106" s="75">
        <v>118</v>
      </c>
      <c r="DI106" s="75">
        <v>1</v>
      </c>
      <c r="DJ106" s="75" t="s">
        <v>73</v>
      </c>
      <c r="DK106" s="75" t="str">
        <f>HYPERLINK(".\links\AAM-CEMENT-2018\EEC18344.1-AAM-CEMENT-2018.txt","Extracted CDS")</f>
        <v>Extracted CDS</v>
      </c>
      <c r="DL106" s="75" t="str">
        <f>HYPERLINK("http://www.ncbi.nlm.nih.gov/sutils/blink.cgi?pid=Aam-194352","7E-15")</f>
        <v>7E-15</v>
      </c>
      <c r="DM106" s="75" t="str">
        <f>HYPERLINK("http://www.ncbi.nlm.nih.gov/protein/Aam-194352","Aam-194352")</f>
        <v>Aam-194352</v>
      </c>
      <c r="DN106" s="75">
        <v>60.8</v>
      </c>
      <c r="DO106" s="75">
        <v>56</v>
      </c>
      <c r="DP106" s="75">
        <v>148</v>
      </c>
      <c r="DQ106" s="75">
        <v>58</v>
      </c>
      <c r="DR106" s="75">
        <v>66</v>
      </c>
      <c r="DS106" s="75">
        <v>38</v>
      </c>
      <c r="DT106" s="75">
        <v>23</v>
      </c>
      <c r="DU106" s="75">
        <v>5</v>
      </c>
      <c r="DV106" s="75">
        <v>55</v>
      </c>
      <c r="DW106" s="75">
        <v>85</v>
      </c>
      <c r="DX106" s="75">
        <v>1</v>
      </c>
      <c r="DY106" s="75" t="s">
        <v>2775</v>
      </c>
      <c r="DZ106" s="75" t="str">
        <f>HYPERLINK(".\links\CDD\EEC18344.1-CDD.txt","TIL Trypsin Inhibitor like cysteine rich domain")</f>
        <v>TIL Trypsin Inhibitor like cysteine rich domain</v>
      </c>
      <c r="EA106" s="79">
        <v>3.9999999999999998E-11</v>
      </c>
      <c r="EB106" s="75">
        <v>103.6</v>
      </c>
      <c r="EC106" s="75" t="s">
        <v>3450</v>
      </c>
      <c r="ED106" s="75" t="s">
        <v>3451</v>
      </c>
      <c r="EE106" s="75" t="str">
        <f>HYPERLINK(".\links\KOG\EEC18344.1-KOG.txt","CDD:223988 COG1060, ThiH, Thiamine biosynthesis enzyme ThiH and related uncharacterized enzymes")</f>
        <v>CDD:223988 COG1060, ThiH, Thiamine biosynthesis enzyme ThiH and related uncharacterized enzymes</v>
      </c>
      <c r="EF106" s="75">
        <v>1.4E-2</v>
      </c>
      <c r="EG106" s="75">
        <v>5.0999999999999996</v>
      </c>
      <c r="EH106" s="75" t="s">
        <v>3452</v>
      </c>
      <c r="EI106" s="75" t="s">
        <v>2779</v>
      </c>
      <c r="EJ106" s="75" t="str">
        <f>HYPERLINK(".\links\PFAM\EEC18344.1-PFAM.txt","TIL Trypsin Inhibitor like cysteine rich domain")</f>
        <v>TIL Trypsin Inhibitor like cysteine rich domain</v>
      </c>
      <c r="EK106" s="79">
        <v>8.9999999999999996E-12</v>
      </c>
      <c r="EL106" s="75">
        <v>103.6</v>
      </c>
      <c r="EM106" s="75" t="s">
        <v>3450</v>
      </c>
      <c r="EN106" s="75" t="s">
        <v>2772</v>
      </c>
      <c r="EO106" s="75" t="str">
        <f>HYPERLINK(".\links\SMART\EEC18344.1-SMART.txt","CDD:128914 smart00668, CTLH, C-terminal to LisH motif")</f>
        <v>CDD:128914 smart00668, CTLH, C-terminal to LisH motif</v>
      </c>
      <c r="EP106" s="75">
        <v>5.3</v>
      </c>
      <c r="EQ106" s="75">
        <v>22.4</v>
      </c>
      <c r="ER106" s="75" t="s">
        <v>3453</v>
      </c>
      <c r="ES106" s="75" t="s">
        <v>2772</v>
      </c>
      <c r="ET106" s="75" t="str">
        <f>HYPERLINK(".\links\TSF\EEC18344.1-TSF.txt","50-252 50-252, TIL||S|PI")</f>
        <v>50-252 50-252, TIL||S|PI</v>
      </c>
      <c r="EU106" s="79">
        <v>2.0000000000000001E-25</v>
      </c>
      <c r="EV106" s="75">
        <v>64.8</v>
      </c>
      <c r="EW106" s="75" t="s">
        <v>3454</v>
      </c>
      <c r="EX106" s="75" t="s">
        <v>3293</v>
      </c>
      <c r="EY106" s="75" t="s">
        <v>2772</v>
      </c>
      <c r="EZ106" s="75" t="s">
        <v>2785</v>
      </c>
      <c r="FA106" s="75" t="s">
        <v>3455</v>
      </c>
    </row>
    <row r="107" spans="1:157" x14ac:dyDescent="0.2">
      <c r="A107" s="75" t="str">
        <f>HYPERLINK(".\links\PEP\AAM93648.1-PEP.txt","AAM93648.1")</f>
        <v>AAM93648.1</v>
      </c>
      <c r="B107" s="75" t="s">
        <v>2768</v>
      </c>
      <c r="C107" s="75">
        <v>82</v>
      </c>
      <c r="D107" s="75" t="s">
        <v>3456</v>
      </c>
      <c r="E107" s="76" t="s">
        <v>140</v>
      </c>
      <c r="F107" s="75" t="s">
        <v>2771</v>
      </c>
      <c r="G107" s="75" t="str">
        <f>HYPERLINK(".\links\Sigp\AAM93648.1-SigP.txt","SIG")</f>
        <v>SIG</v>
      </c>
      <c r="H107" s="75" t="s">
        <v>3164</v>
      </c>
      <c r="I107" s="75">
        <v>8.968</v>
      </c>
      <c r="J107" s="75">
        <v>9.64</v>
      </c>
      <c r="K107" s="75">
        <v>6.585</v>
      </c>
      <c r="L107" s="75">
        <v>9.82</v>
      </c>
      <c r="M107" s="75" t="str">
        <f>HYPERLINK(".\links\netoglyc\AAM93648.1-netoglyc.txt","1")</f>
        <v>1</v>
      </c>
      <c r="N107" s="75" t="s">
        <v>3457</v>
      </c>
      <c r="O107" s="75">
        <v>82</v>
      </c>
      <c r="P107" s="75" t="str">
        <f>HYPERLINK(".\links\tmhmm\AAM93648.1-tmhmm.txt","1")</f>
        <v>1</v>
      </c>
      <c r="Q107" s="75">
        <v>20.7</v>
      </c>
      <c r="R107" s="75">
        <v>4.9000000000000004</v>
      </c>
      <c r="S107" s="75">
        <v>74.400000000000006</v>
      </c>
      <c r="T107" s="75" t="s">
        <v>2772</v>
      </c>
      <c r="U107" s="75">
        <v>61</v>
      </c>
      <c r="V107" s="75" t="s">
        <v>2772</v>
      </c>
      <c r="W107" s="75">
        <v>11.8</v>
      </c>
      <c r="X107" s="75">
        <v>9.4</v>
      </c>
      <c r="Y107" s="75">
        <v>3.5</v>
      </c>
      <c r="Z107" s="75" t="s">
        <v>2774</v>
      </c>
      <c r="AA107" s="77">
        <v>13.4146341463415</v>
      </c>
      <c r="AB107" s="75">
        <v>0.48</v>
      </c>
      <c r="AC107" s="75" t="s">
        <v>3458</v>
      </c>
      <c r="AD107" s="75">
        <v>7</v>
      </c>
      <c r="AE107" s="75" t="s">
        <v>2772</v>
      </c>
      <c r="AF107" s="75" t="s">
        <v>2772</v>
      </c>
      <c r="AG107" s="75" t="s">
        <v>2772</v>
      </c>
      <c r="AH107" s="75" t="s">
        <v>2772</v>
      </c>
      <c r="AI107" s="75" t="s">
        <v>2772</v>
      </c>
      <c r="AJ107" s="75">
        <v>1</v>
      </c>
      <c r="AK107" s="75" t="s">
        <v>2772</v>
      </c>
      <c r="AL107" s="75" t="s">
        <v>2772</v>
      </c>
      <c r="AM107" s="75" t="s">
        <v>2772</v>
      </c>
      <c r="AN107" s="75" t="s">
        <v>2772</v>
      </c>
      <c r="AO107" s="78" t="str">
        <f>HYPERLINK(".\links\AAM-CEMENT-2018\AAM93648.1-AAM-CEMENT-2018.txt","Extracted CDS")</f>
        <v>Extracted CDS</v>
      </c>
      <c r="AP107" s="75" t="str">
        <f>HYPERLINK("http://www.ncbi.nlm.nih.gov/sutils/blink.cgi?pid=Aam-176736","5E-15")</f>
        <v>5E-15</v>
      </c>
      <c r="AQ107" s="75" t="str">
        <f>HYPERLINK("http://www.ncbi.nlm.nih.gov/protein/Aam-176736","Aam-176736")</f>
        <v>Aam-176736</v>
      </c>
      <c r="AR107" s="75">
        <v>58.2</v>
      </c>
      <c r="AS107" s="75">
        <v>78</v>
      </c>
      <c r="AT107" s="75">
        <v>108</v>
      </c>
      <c r="AU107" s="75">
        <v>41</v>
      </c>
      <c r="AV107" s="75">
        <v>56</v>
      </c>
      <c r="AW107" s="75">
        <v>72</v>
      </c>
      <c r="AX107" s="75">
        <v>46</v>
      </c>
      <c r="AY107" s="75">
        <v>4</v>
      </c>
      <c r="AZ107" s="75">
        <v>4</v>
      </c>
      <c r="BA107" s="75">
        <v>5</v>
      </c>
      <c r="BB107" s="75">
        <v>1</v>
      </c>
      <c r="BC107" s="75" t="s">
        <v>2775</v>
      </c>
      <c r="BD107" s="78" t="str">
        <f>HYPERLINK(".\links\CDD\AAM93648.1-CDD.txt","Kunitz_BPTI Kunitz/Bovine pancreatic trypsin inhibitor domain")</f>
        <v>Kunitz_BPTI Kunitz/Bovine pancreatic trypsin inhibitor domain</v>
      </c>
      <c r="BE107" s="79">
        <v>7.9999999999999998E-12</v>
      </c>
      <c r="BF107" s="75">
        <v>100</v>
      </c>
      <c r="BG107" s="75" t="s">
        <v>3459</v>
      </c>
      <c r="BH107" s="75" t="s">
        <v>3460</v>
      </c>
      <c r="BI107" s="75" t="str">
        <f>HYPERLINK(".\links\KOG\AAM93648.1-KOG.txt","CDD:223884 COG0814, SdaC, Amino acid permeases")</f>
        <v>CDD:223884 COG0814, SdaC, Amino acid permeases</v>
      </c>
      <c r="BJ107" s="75">
        <v>0.41</v>
      </c>
      <c r="BK107" s="75">
        <v>4.8</v>
      </c>
      <c r="BL107" s="75" t="s">
        <v>3461</v>
      </c>
      <c r="BM107" s="75" t="s">
        <v>2779</v>
      </c>
      <c r="BN107" s="78" t="str">
        <f>HYPERLINK(".\links\PFAM\AAM93648.1-PFAM.txt","Kunitz_BPTI Kunitz/Bovine pancreatic trypsin inhibitor domain")</f>
        <v>Kunitz_BPTI Kunitz/Bovine pancreatic trypsin inhibitor domain</v>
      </c>
      <c r="BO107" s="79">
        <v>2E-12</v>
      </c>
      <c r="BP107" s="75">
        <v>100</v>
      </c>
      <c r="BQ107" s="75" t="s">
        <v>3459</v>
      </c>
      <c r="BR107" s="75" t="s">
        <v>2772</v>
      </c>
      <c r="BS107" s="78" t="str">
        <f>HYPERLINK(".\links\SMART\AAM93648.1-SMART.txt","CDD:197529 smart00131, KU, BPTI/Kunitz family of serine protease inhibitors")</f>
        <v>CDD:197529 smart00131, KU, BPTI/Kunitz family of serine protease inhibitors</v>
      </c>
      <c r="BT107" s="79">
        <v>8.0000000000000002E-13</v>
      </c>
      <c r="BU107" s="75">
        <v>100</v>
      </c>
      <c r="BV107" s="75" t="s">
        <v>3462</v>
      </c>
      <c r="BW107" s="75" t="s">
        <v>2772</v>
      </c>
      <c r="BX107" s="78" t="str">
        <f>HYPERLINK(".\links\TSF\AAM93648.1-TSF.txt","50-687 50-687, Kunitz||S|PI")</f>
        <v>50-687 50-687, Kunitz||S|PI</v>
      </c>
      <c r="BY107" s="79">
        <v>6.9999999999999997E-33</v>
      </c>
      <c r="BZ107" s="75">
        <v>100</v>
      </c>
      <c r="CA107" s="75" t="s">
        <v>3463</v>
      </c>
      <c r="CB107" s="75" t="s">
        <v>3105</v>
      </c>
      <c r="CC107" s="75" t="s">
        <v>2772</v>
      </c>
      <c r="CD107" s="75" t="s">
        <v>2785</v>
      </c>
      <c r="CE107" s="75" t="s">
        <v>3464</v>
      </c>
      <c r="CF107" s="75">
        <v>20</v>
      </c>
      <c r="CG107" s="75">
        <v>1</v>
      </c>
      <c r="CH107" s="75">
        <v>21</v>
      </c>
      <c r="CI107" s="75">
        <v>1</v>
      </c>
      <c r="CJ107" s="75">
        <v>20</v>
      </c>
      <c r="CK107" s="75">
        <v>1</v>
      </c>
      <c r="CL107" s="75">
        <v>22</v>
      </c>
      <c r="CM107" s="75">
        <v>1</v>
      </c>
      <c r="CN107" s="75">
        <v>20</v>
      </c>
      <c r="CO107" s="75">
        <v>1</v>
      </c>
      <c r="CP107" s="75">
        <v>20</v>
      </c>
      <c r="CQ107" s="75">
        <v>1</v>
      </c>
      <c r="CR107" s="75">
        <v>21</v>
      </c>
      <c r="CS107" s="75">
        <v>1</v>
      </c>
      <c r="CT107" s="75">
        <v>22</v>
      </c>
      <c r="CU107" s="75">
        <v>1</v>
      </c>
      <c r="CV107" s="75">
        <v>20</v>
      </c>
      <c r="CW107" s="75">
        <v>1</v>
      </c>
      <c r="CX107" s="75">
        <v>19</v>
      </c>
      <c r="CY107" s="75">
        <v>1</v>
      </c>
      <c r="CZ107" s="75">
        <v>17</v>
      </c>
      <c r="DA107" s="75">
        <v>1</v>
      </c>
      <c r="DB107" s="75">
        <v>14</v>
      </c>
      <c r="DC107" s="75">
        <v>1</v>
      </c>
      <c r="DD107" s="75">
        <v>12</v>
      </c>
      <c r="DE107" s="75">
        <v>1</v>
      </c>
      <c r="DF107" s="75">
        <v>11</v>
      </c>
      <c r="DG107" s="75">
        <v>1</v>
      </c>
      <c r="DH107" s="75">
        <v>10</v>
      </c>
      <c r="DI107" s="75">
        <v>1</v>
      </c>
      <c r="DJ107" s="75" t="s">
        <v>72</v>
      </c>
      <c r="DK107" s="75" t="str">
        <f>HYPERLINK(".\links\AAM-CEMENT-2018\AAM93648.1-AAM-CEMENT-2018.txt","Extracted CDS")</f>
        <v>Extracted CDS</v>
      </c>
      <c r="DL107" s="75" t="str">
        <f>HYPERLINK("http://www.ncbi.nlm.nih.gov/sutils/blink.cgi?pid=Aam-176736","5E-15")</f>
        <v>5E-15</v>
      </c>
      <c r="DM107" s="75" t="str">
        <f>HYPERLINK("http://www.ncbi.nlm.nih.gov/protein/Aam-176736","Aam-176736")</f>
        <v>Aam-176736</v>
      </c>
      <c r="DN107" s="75">
        <v>58.2</v>
      </c>
      <c r="DO107" s="75">
        <v>78</v>
      </c>
      <c r="DP107" s="75">
        <v>108</v>
      </c>
      <c r="DQ107" s="75">
        <v>41</v>
      </c>
      <c r="DR107" s="75">
        <v>56</v>
      </c>
      <c r="DS107" s="75">
        <v>72</v>
      </c>
      <c r="DT107" s="75">
        <v>46</v>
      </c>
      <c r="DU107" s="75">
        <v>4</v>
      </c>
      <c r="DV107" s="75">
        <v>4</v>
      </c>
      <c r="DW107" s="75">
        <v>5</v>
      </c>
      <c r="DX107" s="75">
        <v>1</v>
      </c>
      <c r="DY107" s="75" t="s">
        <v>2775</v>
      </c>
      <c r="DZ107" s="75" t="str">
        <f>HYPERLINK(".\links\CDD\AAM93648.1-CDD.txt","Kunitz_BPTI Kunitz/Bovine pancreatic trypsin inhibitor domain")</f>
        <v>Kunitz_BPTI Kunitz/Bovine pancreatic trypsin inhibitor domain</v>
      </c>
      <c r="EA107" s="79">
        <v>7.9999999999999998E-12</v>
      </c>
      <c r="EB107" s="75">
        <v>100</v>
      </c>
      <c r="EC107" s="75" t="s">
        <v>3459</v>
      </c>
      <c r="ED107" s="75" t="s">
        <v>3460</v>
      </c>
      <c r="EE107" s="75" t="str">
        <f>HYPERLINK(".\links\KOG\AAM93648.1-KOG.txt","CDD:223884 COG0814, SdaC, Amino acid permeases")</f>
        <v>CDD:223884 COG0814, SdaC, Amino acid permeases</v>
      </c>
      <c r="EF107" s="75">
        <v>0.41</v>
      </c>
      <c r="EG107" s="75">
        <v>4.8</v>
      </c>
      <c r="EH107" s="75" t="s">
        <v>3461</v>
      </c>
      <c r="EI107" s="75" t="s">
        <v>2779</v>
      </c>
      <c r="EJ107" s="75" t="str">
        <f>HYPERLINK(".\links\PFAM\AAM93648.1-PFAM.txt","Kunitz_BPTI Kunitz/Bovine pancreatic trypsin inhibitor domain")</f>
        <v>Kunitz_BPTI Kunitz/Bovine pancreatic trypsin inhibitor domain</v>
      </c>
      <c r="EK107" s="79">
        <v>2E-12</v>
      </c>
      <c r="EL107" s="75">
        <v>100</v>
      </c>
      <c r="EM107" s="75" t="s">
        <v>3459</v>
      </c>
      <c r="EN107" s="75" t="s">
        <v>2772</v>
      </c>
      <c r="EO107" s="75" t="str">
        <f>HYPERLINK(".\links\SMART\AAM93648.1-SMART.txt","CDD:197529 smart00131, KU, BPTI/Kunitz family of serine protease inhibitors")</f>
        <v>CDD:197529 smart00131, KU, BPTI/Kunitz family of serine protease inhibitors</v>
      </c>
      <c r="EP107" s="79">
        <v>8.0000000000000002E-13</v>
      </c>
      <c r="EQ107" s="75">
        <v>100</v>
      </c>
      <c r="ER107" s="75" t="s">
        <v>3462</v>
      </c>
      <c r="ES107" s="75" t="s">
        <v>2772</v>
      </c>
      <c r="ET107" s="75" t="str">
        <f>HYPERLINK(".\links\TSF\AAM93648.1-TSF.txt","50-687 50-687, Kunitz||S|PI")</f>
        <v>50-687 50-687, Kunitz||S|PI</v>
      </c>
      <c r="EU107" s="79">
        <v>6.9999999999999997E-33</v>
      </c>
      <c r="EV107" s="75">
        <v>100</v>
      </c>
      <c r="EW107" s="75" t="s">
        <v>3463</v>
      </c>
      <c r="EX107" s="75" t="s">
        <v>3105</v>
      </c>
      <c r="EY107" s="75" t="s">
        <v>2772</v>
      </c>
      <c r="EZ107" s="75" t="s">
        <v>2785</v>
      </c>
      <c r="FA107" s="75" t="s">
        <v>3464</v>
      </c>
    </row>
    <row r="108" spans="1:157" x14ac:dyDescent="0.2">
      <c r="A108" s="75" t="str">
        <f>HYPERLINK(".\links\PEP\EEC07262.1-PEP.txt","EEC07262.1")</f>
        <v>EEC07262.1</v>
      </c>
      <c r="B108" s="75" t="s">
        <v>2768</v>
      </c>
      <c r="C108" s="75">
        <v>133</v>
      </c>
      <c r="D108" s="75" t="s">
        <v>3465</v>
      </c>
      <c r="E108" s="76" t="s">
        <v>140</v>
      </c>
      <c r="F108" s="75" t="s">
        <v>2771</v>
      </c>
      <c r="G108" s="75" t="str">
        <f>HYPERLINK(".\links\Sigp\EEC07262.1-SigP.txt","SIG")</f>
        <v>SIG</v>
      </c>
      <c r="H108" s="75" t="s">
        <v>3208</v>
      </c>
      <c r="I108" s="75">
        <v>14.417999999999999</v>
      </c>
      <c r="J108" s="75">
        <v>6.03</v>
      </c>
      <c r="K108" s="75">
        <v>12.579000000000001</v>
      </c>
      <c r="L108" s="75">
        <v>6.05</v>
      </c>
      <c r="M108" s="75" t="str">
        <f>HYPERLINK(".\links\netoglyc\EEC07262.1-netoglyc.txt","2")</f>
        <v>2</v>
      </c>
      <c r="N108" s="75" t="s">
        <v>3466</v>
      </c>
      <c r="O108" s="75">
        <v>133</v>
      </c>
      <c r="P108" s="75">
        <v>0</v>
      </c>
      <c r="Q108" s="75" t="s">
        <v>2772</v>
      </c>
      <c r="R108" s="75" t="s">
        <v>2772</v>
      </c>
      <c r="S108" s="75" t="s">
        <v>2772</v>
      </c>
      <c r="T108" s="75" t="s">
        <v>2772</v>
      </c>
      <c r="U108" s="75" t="s">
        <v>2772</v>
      </c>
      <c r="V108" s="75" t="s">
        <v>2772</v>
      </c>
      <c r="W108" s="75">
        <v>18.399999999999999</v>
      </c>
      <c r="X108" s="75">
        <v>5.9</v>
      </c>
      <c r="Y108" s="75">
        <v>2.2000000000000002</v>
      </c>
      <c r="Z108" s="75">
        <v>2.2000000000000002</v>
      </c>
      <c r="AA108" s="77">
        <v>8.2706766917293209</v>
      </c>
      <c r="AB108" s="75">
        <v>0.35</v>
      </c>
      <c r="AD108" s="75">
        <v>6</v>
      </c>
      <c r="AE108" s="75" t="s">
        <v>2772</v>
      </c>
      <c r="AF108" s="75" t="s">
        <v>2772</v>
      </c>
      <c r="AG108" s="75" t="s">
        <v>2772</v>
      </c>
      <c r="AH108" s="75" t="s">
        <v>2772</v>
      </c>
      <c r="AI108" s="75" t="s">
        <v>2772</v>
      </c>
      <c r="AJ108" s="75">
        <v>2</v>
      </c>
      <c r="AK108" s="75" t="s">
        <v>2772</v>
      </c>
      <c r="AL108" s="75" t="s">
        <v>2772</v>
      </c>
      <c r="AM108" s="75" t="s">
        <v>2772</v>
      </c>
      <c r="AN108" s="75" t="s">
        <v>2772</v>
      </c>
      <c r="AO108" s="78" t="str">
        <f>HYPERLINK(".\links\AAM-CEMENT-2018\EEC07262.1-AAM-CEMENT-2018.txt","Extracted CDS")</f>
        <v>Extracted CDS</v>
      </c>
      <c r="AP108" s="75" t="str">
        <f>HYPERLINK("http://www.ncbi.nlm.nih.gov/sutils/blink.cgi?pid=Aam-38535","0.27")</f>
        <v>0.27</v>
      </c>
      <c r="AQ108" s="75" t="str">
        <f>HYPERLINK("http://www.ncbi.nlm.nih.gov/protein/Aam-38535","Aam-38535")</f>
        <v>Aam-38535</v>
      </c>
      <c r="AR108" s="75">
        <v>23.5</v>
      </c>
      <c r="AS108" s="75">
        <v>64</v>
      </c>
      <c r="AT108" s="75">
        <v>380</v>
      </c>
      <c r="AU108" s="75">
        <v>29</v>
      </c>
      <c r="AV108" s="75">
        <v>46</v>
      </c>
      <c r="AW108" s="75">
        <v>17</v>
      </c>
      <c r="AX108" s="75">
        <v>45</v>
      </c>
      <c r="AY108" s="75">
        <v>15</v>
      </c>
      <c r="AZ108" s="75">
        <v>13</v>
      </c>
      <c r="BA108" s="75">
        <v>83</v>
      </c>
      <c r="BB108" s="75">
        <v>1</v>
      </c>
      <c r="BC108" s="75" t="s">
        <v>2775</v>
      </c>
      <c r="BD108" s="78" t="str">
        <f>HYPERLINK(".\links\CDD\EEC07262.1-CDD.txt","CY Cystatin-like domain")</f>
        <v>CY Cystatin-like domain</v>
      </c>
      <c r="BE108" s="79">
        <v>5.9999999999999997E-7</v>
      </c>
      <c r="BF108" s="75">
        <v>94.3</v>
      </c>
      <c r="BG108" s="75" t="s">
        <v>3467</v>
      </c>
      <c r="BH108" s="75" t="s">
        <v>3468</v>
      </c>
      <c r="BI108" s="75" t="str">
        <f>HYPERLINK(".\links\KOG\EEC07262.1-KOG.txt","CDD:223397 COG0320, LipA, Lipoate synthase")</f>
        <v>CDD:223397 COG0320, LipA, Lipoate synthase</v>
      </c>
      <c r="BJ108" s="75">
        <v>2.6</v>
      </c>
      <c r="BK108" s="75">
        <v>9.8000000000000007</v>
      </c>
      <c r="BL108" s="75" t="s">
        <v>3469</v>
      </c>
      <c r="BM108" s="75" t="s">
        <v>2779</v>
      </c>
      <c r="BN108" s="78" t="str">
        <f>HYPERLINK(".\links\PFAM\EEC07262.1-PFAM.txt","Cystatin Cystatin domain")</f>
        <v>Cystatin Cystatin domain</v>
      </c>
      <c r="BO108" s="79">
        <v>2.9999999999999999E-7</v>
      </c>
      <c r="BP108" s="75">
        <v>85.9</v>
      </c>
      <c r="BQ108" s="75" t="s">
        <v>3470</v>
      </c>
      <c r="BR108" s="75" t="s">
        <v>2772</v>
      </c>
      <c r="BS108" s="78" t="str">
        <f>HYPERLINK(".\links\SMART\EEC07262.1-SMART.txt","CDD:214484 smart00043, CY, Cystatin-like domain")</f>
        <v>CDD:214484 smart00043, CY, Cystatin-like domain</v>
      </c>
      <c r="BT108" s="79">
        <v>7.0000000000000005E-8</v>
      </c>
      <c r="BU108" s="75">
        <v>89.7</v>
      </c>
      <c r="BV108" s="75" t="s">
        <v>3471</v>
      </c>
      <c r="BW108" s="75" t="s">
        <v>2772</v>
      </c>
      <c r="BX108" s="78" t="str">
        <f>HYPERLINK(".\links\TSF\EEC07262.1-TSF.txt","40-39 40-39, Cystatin||S|PI")</f>
        <v>40-39 40-39, Cystatin||S|PI</v>
      </c>
      <c r="BY108" s="79">
        <v>4E-41</v>
      </c>
      <c r="BZ108" s="75">
        <v>84.2</v>
      </c>
      <c r="CA108" s="75" t="s">
        <v>3472</v>
      </c>
      <c r="CB108" s="75" t="s">
        <v>3473</v>
      </c>
      <c r="CC108" s="75" t="s">
        <v>2772</v>
      </c>
      <c r="CD108" s="75" t="s">
        <v>2785</v>
      </c>
      <c r="CE108" s="75" t="s">
        <v>3474</v>
      </c>
      <c r="CF108" s="75">
        <f>HYPERLINK(".\links\cluster-b\Ixsc-cement-202225-50SimCLU13.txt", 13)</f>
        <v>13</v>
      </c>
      <c r="CG108" s="75">
        <f>HYPERLINK(".\links\cluster-b\Ixsc-cement-202225-50SimCLTL13.txt", 2)</f>
        <v>2</v>
      </c>
      <c r="CH108" s="75">
        <f>HYPERLINK(".\links\cluster-b\Ixsc-cement-202230-50SimCLU13.txt", 13)</f>
        <v>13</v>
      </c>
      <c r="CI108" s="75">
        <f>HYPERLINK(".\links\cluster-b\Ixsc-cement-202230-50SimCLTL13.txt", 2)</f>
        <v>2</v>
      </c>
      <c r="CJ108" s="75">
        <f>HYPERLINK(".\links\cluster-b\Ixsc-cement-202235-50SimCLU12.txt", 12)</f>
        <v>12</v>
      </c>
      <c r="CK108" s="75">
        <f>HYPERLINK(".\links\cluster-b\Ixsc-cement-202235-50SimCLTL12.txt", 2)</f>
        <v>2</v>
      </c>
      <c r="CL108" s="75">
        <f>HYPERLINK(".\links\cluster-b\Ixsc-cement-202240-50SimCLU13.txt", 13)</f>
        <v>13</v>
      </c>
      <c r="CM108" s="75">
        <f>HYPERLINK(".\links\cluster-b\Ixsc-cement-202240-50SimCLTL13.txt", 2)</f>
        <v>2</v>
      </c>
      <c r="CN108" s="75">
        <f>HYPERLINK(".\links\cluster-b\Ixsc-cement-202245-50SimCLU13.txt", 13)</f>
        <v>13</v>
      </c>
      <c r="CO108" s="75">
        <f>HYPERLINK(".\links\cluster-b\Ixsc-cement-202245-50SimCLTL13.txt", 2)</f>
        <v>2</v>
      </c>
      <c r="CP108" s="75">
        <f>HYPERLINK(".\links\cluster-b\Ixsc-cement-202250-50SimCLU12.txt", 12)</f>
        <v>12</v>
      </c>
      <c r="CQ108" s="75">
        <f>HYPERLINK(".\links\cluster-b\Ixsc-cement-202250-50SimCLTL12.txt", 2)</f>
        <v>2</v>
      </c>
      <c r="CR108" s="75">
        <f>HYPERLINK(".\links\cluster-b\Ixsc-cement-202255-50SimCLU12.txt", 12)</f>
        <v>12</v>
      </c>
      <c r="CS108" s="75">
        <f>HYPERLINK(".\links\cluster-b\Ixsc-cement-202255-50SimCLTL12.txt", 2)</f>
        <v>2</v>
      </c>
      <c r="CT108" s="75">
        <f>HYPERLINK(".\links\cluster-b\Ixsc-cement-202260-50SimCLU11.txt", 11)</f>
        <v>11</v>
      </c>
      <c r="CU108" s="75">
        <f>HYPERLINK(".\links\cluster-b\Ixsc-cement-202260-50SimCLTL11.txt", 2)</f>
        <v>2</v>
      </c>
      <c r="CV108" s="75">
        <f>HYPERLINK(".\links\cluster-b\Ixsc-cement-202265-50SimCLU10.txt", 10)</f>
        <v>10</v>
      </c>
      <c r="CW108" s="75">
        <f>HYPERLINK(".\links\cluster-b\Ixsc-cement-202265-50SimCLTL10.txt", 2)</f>
        <v>2</v>
      </c>
      <c r="CX108" s="75">
        <f>HYPERLINK(".\links\cluster-b\Ixsc-cement-202270-50SimCLU10.txt", 10)</f>
        <v>10</v>
      </c>
      <c r="CY108" s="75">
        <f>HYPERLINK(".\links\cluster-b\Ixsc-cement-202270-50SimCLTL10.txt", 2)</f>
        <v>2</v>
      </c>
      <c r="CZ108" s="75">
        <f>HYPERLINK(".\links\cluster-b\Ixsc-cement-202275-50SimCLU10.txt", 10)</f>
        <v>10</v>
      </c>
      <c r="DA108" s="75">
        <f>HYPERLINK(".\links\cluster-b\Ixsc-cement-202275-50SimCLTL10.txt", 2)</f>
        <v>2</v>
      </c>
      <c r="DB108" s="75">
        <v>62</v>
      </c>
      <c r="DC108" s="75">
        <v>1</v>
      </c>
      <c r="DD108" s="75">
        <v>63</v>
      </c>
      <c r="DE108" s="75">
        <v>1</v>
      </c>
      <c r="DF108" s="75">
        <v>64</v>
      </c>
      <c r="DG108" s="75">
        <v>1</v>
      </c>
      <c r="DH108" s="75">
        <v>65</v>
      </c>
      <c r="DI108" s="75">
        <v>1</v>
      </c>
      <c r="DJ108" s="75" t="s">
        <v>133</v>
      </c>
      <c r="DK108" s="75" t="str">
        <f>HYPERLINK(".\links\AAM-CEMENT-2018\EEC07262.1-AAM-CEMENT-2018.txt","Extracted CDS")</f>
        <v>Extracted CDS</v>
      </c>
      <c r="DL108" s="75" t="str">
        <f>HYPERLINK("http://www.ncbi.nlm.nih.gov/sutils/blink.cgi?pid=Aam-38535","0.27")</f>
        <v>0.27</v>
      </c>
      <c r="DM108" s="75" t="str">
        <f>HYPERLINK("http://www.ncbi.nlm.nih.gov/protein/Aam-38535","Aam-38535")</f>
        <v>Aam-38535</v>
      </c>
      <c r="DN108" s="75">
        <v>23.5</v>
      </c>
      <c r="DO108" s="75">
        <v>64</v>
      </c>
      <c r="DP108" s="75">
        <v>380</v>
      </c>
      <c r="DQ108" s="75">
        <v>29</v>
      </c>
      <c r="DR108" s="75">
        <v>46</v>
      </c>
      <c r="DS108" s="75">
        <v>17</v>
      </c>
      <c r="DT108" s="75">
        <v>45</v>
      </c>
      <c r="DU108" s="75">
        <v>15</v>
      </c>
      <c r="DV108" s="75">
        <v>13</v>
      </c>
      <c r="DW108" s="75">
        <v>83</v>
      </c>
      <c r="DX108" s="75">
        <v>1</v>
      </c>
      <c r="DY108" s="75" t="s">
        <v>2775</v>
      </c>
      <c r="DZ108" s="75" t="str">
        <f>HYPERLINK(".\links\CDD\EEC07262.1-CDD.txt","CY Cystatin-like domain")</f>
        <v>CY Cystatin-like domain</v>
      </c>
      <c r="EA108" s="79">
        <v>5.9999999999999997E-7</v>
      </c>
      <c r="EB108" s="75">
        <v>94.3</v>
      </c>
      <c r="EC108" s="75" t="s">
        <v>3467</v>
      </c>
      <c r="ED108" s="75" t="s">
        <v>3468</v>
      </c>
      <c r="EE108" s="75" t="str">
        <f>HYPERLINK(".\links\KOG\EEC07262.1-KOG.txt","CDD:223397 COG0320, LipA, Lipoate synthase")</f>
        <v>CDD:223397 COG0320, LipA, Lipoate synthase</v>
      </c>
      <c r="EF108" s="75">
        <v>2.6</v>
      </c>
      <c r="EG108" s="75">
        <v>9.8000000000000007</v>
      </c>
      <c r="EH108" s="75" t="s">
        <v>3469</v>
      </c>
      <c r="EI108" s="75" t="s">
        <v>2779</v>
      </c>
      <c r="EJ108" s="75" t="str">
        <f>HYPERLINK(".\links\PFAM\EEC07262.1-PFAM.txt","Cystatin Cystatin domain")</f>
        <v>Cystatin Cystatin domain</v>
      </c>
      <c r="EK108" s="79">
        <v>2.9999999999999999E-7</v>
      </c>
      <c r="EL108" s="75">
        <v>85.9</v>
      </c>
      <c r="EM108" s="75" t="s">
        <v>3470</v>
      </c>
      <c r="EN108" s="75" t="s">
        <v>2772</v>
      </c>
      <c r="EO108" s="75" t="str">
        <f>HYPERLINK(".\links\SMART\EEC07262.1-SMART.txt","CDD:214484 smart00043, CY, Cystatin-like domain")</f>
        <v>CDD:214484 smart00043, CY, Cystatin-like domain</v>
      </c>
      <c r="EP108" s="79">
        <v>7.0000000000000005E-8</v>
      </c>
      <c r="EQ108" s="75">
        <v>89.7</v>
      </c>
      <c r="ER108" s="75" t="s">
        <v>3471</v>
      </c>
      <c r="ES108" s="75" t="s">
        <v>2772</v>
      </c>
      <c r="ET108" s="75" t="str">
        <f>HYPERLINK(".\links\TSF\EEC07262.1-TSF.txt","40-39 40-39, Cystatin||S|PI")</f>
        <v>40-39 40-39, Cystatin||S|PI</v>
      </c>
      <c r="EU108" s="79">
        <v>4E-41</v>
      </c>
      <c r="EV108" s="75">
        <v>84.2</v>
      </c>
      <c r="EW108" s="75" t="s">
        <v>3472</v>
      </c>
      <c r="EX108" s="75" t="s">
        <v>3473</v>
      </c>
      <c r="EY108" s="75" t="s">
        <v>2772</v>
      </c>
      <c r="EZ108" s="75" t="s">
        <v>2785</v>
      </c>
      <c r="FA108" s="75" t="s">
        <v>3474</v>
      </c>
    </row>
    <row r="109" spans="1:157" x14ac:dyDescent="0.2">
      <c r="A109" s="75" t="str">
        <f>HYPERLINK(".\links\PEP\AAY66685.1-PEP.txt","AAY66685.1")</f>
        <v>AAY66685.1</v>
      </c>
      <c r="B109" s="75" t="s">
        <v>2768</v>
      </c>
      <c r="C109" s="75">
        <v>132</v>
      </c>
      <c r="D109" s="75" t="s">
        <v>3475</v>
      </c>
      <c r="E109" s="76" t="s">
        <v>140</v>
      </c>
      <c r="F109" s="75" t="s">
        <v>2771</v>
      </c>
      <c r="G109" s="75" t="str">
        <f>HYPERLINK(".\links\Sigp\AAY66685.1-SigP.txt","SIG")</f>
        <v>SIG</v>
      </c>
      <c r="H109" s="75" t="s">
        <v>2813</v>
      </c>
      <c r="I109" s="75">
        <v>14.387</v>
      </c>
      <c r="J109" s="75">
        <v>5.33</v>
      </c>
      <c r="K109" s="75">
        <v>12.672000000000001</v>
      </c>
      <c r="L109" s="75">
        <v>5.33</v>
      </c>
      <c r="M109" s="75" t="str">
        <f>HYPERLINK(".\links\netoglyc\AAY66685.1-netoglyc.txt","1")</f>
        <v>1</v>
      </c>
      <c r="N109" s="75" t="s">
        <v>3476</v>
      </c>
      <c r="O109" s="75">
        <v>132</v>
      </c>
      <c r="P109" s="75">
        <v>0</v>
      </c>
      <c r="Q109" s="75" t="s">
        <v>2772</v>
      </c>
      <c r="R109" s="75" t="s">
        <v>2772</v>
      </c>
      <c r="S109" s="75" t="s">
        <v>2772</v>
      </c>
      <c r="T109" s="75" t="s">
        <v>2772</v>
      </c>
      <c r="U109" s="75" t="s">
        <v>2772</v>
      </c>
      <c r="V109" s="75" t="s">
        <v>2772</v>
      </c>
      <c r="W109" s="75">
        <v>18.5</v>
      </c>
      <c r="X109" s="75">
        <v>5.2</v>
      </c>
      <c r="Y109" s="75">
        <v>1.5</v>
      </c>
      <c r="Z109" s="75">
        <v>2.2000000000000002</v>
      </c>
      <c r="AA109" s="77">
        <v>6.8181818181818201</v>
      </c>
      <c r="AB109" s="75">
        <v>0.37</v>
      </c>
      <c r="AD109" s="75">
        <v>5</v>
      </c>
      <c r="AE109" s="75" t="str">
        <f>HYPERLINK(".\links\pep\AAY66685.1-sulf.txt","1")</f>
        <v>1</v>
      </c>
      <c r="AF109" s="75" t="str">
        <f>HYPERLINK(".\links\pep\AAY66685.1-tyr-sulf.txt","Fasta with y")</f>
        <v>Fasta with y</v>
      </c>
      <c r="AG109" s="75" t="s">
        <v>2772</v>
      </c>
      <c r="AH109" s="75" t="s">
        <v>2772</v>
      </c>
      <c r="AI109" s="75" t="s">
        <v>2772</v>
      </c>
      <c r="AJ109" s="75">
        <v>1</v>
      </c>
      <c r="AK109" s="75" t="s">
        <v>2772</v>
      </c>
      <c r="AL109" s="75" t="s">
        <v>2772</v>
      </c>
      <c r="AM109" s="75" t="s">
        <v>2772</v>
      </c>
      <c r="AN109" s="75" t="s">
        <v>2772</v>
      </c>
      <c r="AO109" s="78" t="str">
        <f>HYPERLINK(".\links\AAM-CEMENT-2018\AAY66685.1-AAM-CEMENT-2018.txt","Extracted CDS")</f>
        <v>Extracted CDS</v>
      </c>
      <c r="AP109" s="75" t="str">
        <f>HYPERLINK("http://www.ncbi.nlm.nih.gov/sutils/blink.cgi?pid=Aam-38535","5.9")</f>
        <v>5.9</v>
      </c>
      <c r="AQ109" s="75" t="str">
        <f>HYPERLINK("http://www.ncbi.nlm.nih.gov/protein/Aam-38535","Aam-38535")</f>
        <v>Aam-38535</v>
      </c>
      <c r="AR109" s="75">
        <v>19.600000000000001</v>
      </c>
      <c r="AS109" s="75">
        <v>69</v>
      </c>
      <c r="AT109" s="75">
        <v>380</v>
      </c>
      <c r="AU109" s="75">
        <v>21</v>
      </c>
      <c r="AV109" s="75">
        <v>40</v>
      </c>
      <c r="AW109" s="75">
        <v>18</v>
      </c>
      <c r="AX109" s="75">
        <v>54</v>
      </c>
      <c r="AY109" s="75">
        <v>15</v>
      </c>
      <c r="AZ109" s="75">
        <v>10</v>
      </c>
      <c r="BA109" s="75">
        <v>79</v>
      </c>
      <c r="BB109" s="75">
        <v>1</v>
      </c>
      <c r="BC109" s="75" t="s">
        <v>2775</v>
      </c>
      <c r="BD109" s="78" t="str">
        <f>HYPERLINK(".\links\CDD\AAY66685.1-CDD.txt","CY Cystatin-like domain")</f>
        <v>CY Cystatin-like domain</v>
      </c>
      <c r="BE109" s="79">
        <v>7.9999999999999998E-12</v>
      </c>
      <c r="BF109" s="75">
        <v>100</v>
      </c>
      <c r="BG109" s="75" t="s">
        <v>3471</v>
      </c>
      <c r="BH109" s="75" t="s">
        <v>3477</v>
      </c>
      <c r="BI109" s="75" t="str">
        <f>HYPERLINK(".\links\KOG\AAY66685.1-KOG.txt","CDD:223500 COG0423, GRS1, Glycyl-tRNA synthetase")</f>
        <v>CDD:223500 COG0423, GRS1, Glycyl-tRNA synthetase</v>
      </c>
      <c r="BJ109" s="75">
        <v>0.18</v>
      </c>
      <c r="BK109" s="75">
        <v>3.9</v>
      </c>
      <c r="BL109" s="75" t="s">
        <v>3478</v>
      </c>
      <c r="BM109" s="75" t="s">
        <v>2779</v>
      </c>
      <c r="BN109" s="78" t="str">
        <f>HYPERLINK(".\links\PFAM\AAY66685.1-PFAM.txt","Cystatin Cystatin domain")</f>
        <v>Cystatin Cystatin domain</v>
      </c>
      <c r="BO109" s="79">
        <v>4.0000000000000001E-10</v>
      </c>
      <c r="BP109" s="75">
        <v>92.4</v>
      </c>
      <c r="BQ109" s="75" t="s">
        <v>3470</v>
      </c>
      <c r="BR109" s="75" t="s">
        <v>2772</v>
      </c>
      <c r="BS109" s="78" t="str">
        <f>HYPERLINK(".\links\SMART\AAY66685.1-SMART.txt","CDD:214484 smart00043, CY, Cystatin-like domain")</f>
        <v>CDD:214484 smart00043, CY, Cystatin-like domain</v>
      </c>
      <c r="BT109" s="79">
        <v>8E-14</v>
      </c>
      <c r="BU109" s="75">
        <v>100</v>
      </c>
      <c r="BV109" s="75" t="s">
        <v>3471</v>
      </c>
      <c r="BW109" s="75" t="s">
        <v>2772</v>
      </c>
      <c r="BX109" s="78" t="str">
        <f>HYPERLINK(".\links\TSF\AAY66685.1-TSF.txt","40-39 40-39, Cystatin||S|PI")</f>
        <v>40-39 40-39, Cystatin||S|PI</v>
      </c>
      <c r="BY109" s="79">
        <v>3.9999999999999999E-47</v>
      </c>
      <c r="BZ109" s="75">
        <v>99.3</v>
      </c>
      <c r="CA109" s="75" t="s">
        <v>3472</v>
      </c>
      <c r="CB109" s="75" t="s">
        <v>3473</v>
      </c>
      <c r="CC109" s="75" t="s">
        <v>2772</v>
      </c>
      <c r="CD109" s="75" t="s">
        <v>2785</v>
      </c>
      <c r="CE109" s="75" t="s">
        <v>3474</v>
      </c>
      <c r="CF109" s="75">
        <f>HYPERLINK(".\links\cluster-b\Ixsc-cement-202225-50SimCLU13.txt", 13)</f>
        <v>13</v>
      </c>
      <c r="CG109" s="75">
        <f>HYPERLINK(".\links\cluster-b\Ixsc-cement-202225-50SimCLTL13.txt", 2)</f>
        <v>2</v>
      </c>
      <c r="CH109" s="75">
        <f>HYPERLINK(".\links\cluster-b\Ixsc-cement-202230-50SimCLU13.txt", 13)</f>
        <v>13</v>
      </c>
      <c r="CI109" s="75">
        <f>HYPERLINK(".\links\cluster-b\Ixsc-cement-202230-50SimCLTL13.txt", 2)</f>
        <v>2</v>
      </c>
      <c r="CJ109" s="75">
        <f>HYPERLINK(".\links\cluster-b\Ixsc-cement-202235-50SimCLU12.txt", 12)</f>
        <v>12</v>
      </c>
      <c r="CK109" s="75">
        <f>HYPERLINK(".\links\cluster-b\Ixsc-cement-202235-50SimCLTL12.txt", 2)</f>
        <v>2</v>
      </c>
      <c r="CL109" s="75">
        <f>HYPERLINK(".\links\cluster-b\Ixsc-cement-202240-50SimCLU13.txt", 13)</f>
        <v>13</v>
      </c>
      <c r="CM109" s="75">
        <f>HYPERLINK(".\links\cluster-b\Ixsc-cement-202240-50SimCLTL13.txt", 2)</f>
        <v>2</v>
      </c>
      <c r="CN109" s="75">
        <f>HYPERLINK(".\links\cluster-b\Ixsc-cement-202245-50SimCLU13.txt", 13)</f>
        <v>13</v>
      </c>
      <c r="CO109" s="75">
        <f>HYPERLINK(".\links\cluster-b\Ixsc-cement-202245-50SimCLTL13.txt", 2)</f>
        <v>2</v>
      </c>
      <c r="CP109" s="75">
        <f>HYPERLINK(".\links\cluster-b\Ixsc-cement-202250-50SimCLU12.txt", 12)</f>
        <v>12</v>
      </c>
      <c r="CQ109" s="75">
        <f>HYPERLINK(".\links\cluster-b\Ixsc-cement-202250-50SimCLTL12.txt", 2)</f>
        <v>2</v>
      </c>
      <c r="CR109" s="75">
        <f>HYPERLINK(".\links\cluster-b\Ixsc-cement-202255-50SimCLU12.txt", 12)</f>
        <v>12</v>
      </c>
      <c r="CS109" s="75">
        <f>HYPERLINK(".\links\cluster-b\Ixsc-cement-202255-50SimCLTL12.txt", 2)</f>
        <v>2</v>
      </c>
      <c r="CT109" s="75">
        <f>HYPERLINK(".\links\cluster-b\Ixsc-cement-202260-50SimCLU11.txt", 11)</f>
        <v>11</v>
      </c>
      <c r="CU109" s="75">
        <f>HYPERLINK(".\links\cluster-b\Ixsc-cement-202260-50SimCLTL11.txt", 2)</f>
        <v>2</v>
      </c>
      <c r="CV109" s="75">
        <f>HYPERLINK(".\links\cluster-b\Ixsc-cement-202265-50SimCLU10.txt", 10)</f>
        <v>10</v>
      </c>
      <c r="CW109" s="75">
        <f>HYPERLINK(".\links\cluster-b\Ixsc-cement-202265-50SimCLTL10.txt", 2)</f>
        <v>2</v>
      </c>
      <c r="CX109" s="75">
        <f>HYPERLINK(".\links\cluster-b\Ixsc-cement-202270-50SimCLU10.txt", 10)</f>
        <v>10</v>
      </c>
      <c r="CY109" s="75">
        <f>HYPERLINK(".\links\cluster-b\Ixsc-cement-202270-50SimCLTL10.txt", 2)</f>
        <v>2</v>
      </c>
      <c r="CZ109" s="75">
        <f>HYPERLINK(".\links\cluster-b\Ixsc-cement-202275-50SimCLU10.txt", 10)</f>
        <v>10</v>
      </c>
      <c r="DA109" s="75">
        <f>HYPERLINK(".\links\cluster-b\Ixsc-cement-202275-50SimCLTL10.txt", 2)</f>
        <v>2</v>
      </c>
      <c r="DB109" s="75">
        <v>21</v>
      </c>
      <c r="DC109" s="75">
        <v>1</v>
      </c>
      <c r="DD109" s="75">
        <v>19</v>
      </c>
      <c r="DE109" s="75">
        <v>1</v>
      </c>
      <c r="DF109" s="75">
        <v>18</v>
      </c>
      <c r="DG109" s="75">
        <v>1</v>
      </c>
      <c r="DH109" s="75">
        <v>17</v>
      </c>
      <c r="DI109" s="75">
        <v>1</v>
      </c>
      <c r="DJ109" s="75" t="s">
        <v>132</v>
      </c>
      <c r="DK109" s="75" t="str">
        <f>HYPERLINK(".\links\AAM-CEMENT-2018\AAY66685.1-AAM-CEMENT-2018.txt","Extracted CDS")</f>
        <v>Extracted CDS</v>
      </c>
      <c r="DL109" s="75" t="str">
        <f>HYPERLINK("http://www.ncbi.nlm.nih.gov/sutils/blink.cgi?pid=Aam-38535","5.9")</f>
        <v>5.9</v>
      </c>
      <c r="DM109" s="75" t="str">
        <f>HYPERLINK("http://www.ncbi.nlm.nih.gov/protein/Aam-38535","Aam-38535")</f>
        <v>Aam-38535</v>
      </c>
      <c r="DN109" s="75">
        <v>19.600000000000001</v>
      </c>
      <c r="DO109" s="75">
        <v>69</v>
      </c>
      <c r="DP109" s="75">
        <v>380</v>
      </c>
      <c r="DQ109" s="75">
        <v>21</v>
      </c>
      <c r="DR109" s="75">
        <v>40</v>
      </c>
      <c r="DS109" s="75">
        <v>18</v>
      </c>
      <c r="DT109" s="75">
        <v>54</v>
      </c>
      <c r="DU109" s="75">
        <v>15</v>
      </c>
      <c r="DV109" s="75">
        <v>10</v>
      </c>
      <c r="DW109" s="75">
        <v>79</v>
      </c>
      <c r="DX109" s="75">
        <v>1</v>
      </c>
      <c r="DY109" s="75" t="s">
        <v>2775</v>
      </c>
      <c r="DZ109" s="75" t="str">
        <f>HYPERLINK(".\links\CDD\AAY66685.1-CDD.txt","CY Cystatin-like domain")</f>
        <v>CY Cystatin-like domain</v>
      </c>
      <c r="EA109" s="79">
        <v>7.9999999999999998E-12</v>
      </c>
      <c r="EB109" s="75">
        <v>100</v>
      </c>
      <c r="EC109" s="75" t="s">
        <v>3471</v>
      </c>
      <c r="ED109" s="75" t="s">
        <v>3477</v>
      </c>
      <c r="EE109" s="75" t="str">
        <f>HYPERLINK(".\links\KOG\AAY66685.1-KOG.txt","CDD:223500 COG0423, GRS1, Glycyl-tRNA synthetase")</f>
        <v>CDD:223500 COG0423, GRS1, Glycyl-tRNA synthetase</v>
      </c>
      <c r="EF109" s="75">
        <v>0.18</v>
      </c>
      <c r="EG109" s="75">
        <v>3.9</v>
      </c>
      <c r="EH109" s="75" t="s">
        <v>3478</v>
      </c>
      <c r="EI109" s="75" t="s">
        <v>2779</v>
      </c>
      <c r="EJ109" s="75" t="str">
        <f>HYPERLINK(".\links\PFAM\AAY66685.1-PFAM.txt","Cystatin Cystatin domain")</f>
        <v>Cystatin Cystatin domain</v>
      </c>
      <c r="EK109" s="79">
        <v>4.0000000000000001E-10</v>
      </c>
      <c r="EL109" s="75">
        <v>92.4</v>
      </c>
      <c r="EM109" s="75" t="s">
        <v>3470</v>
      </c>
      <c r="EN109" s="75" t="s">
        <v>2772</v>
      </c>
      <c r="EO109" s="75" t="str">
        <f>HYPERLINK(".\links\SMART\AAY66685.1-SMART.txt","CDD:214484 smart00043, CY, Cystatin-like domain")</f>
        <v>CDD:214484 smart00043, CY, Cystatin-like domain</v>
      </c>
      <c r="EP109" s="79">
        <v>8E-14</v>
      </c>
      <c r="EQ109" s="75">
        <v>100</v>
      </c>
      <c r="ER109" s="75" t="s">
        <v>3471</v>
      </c>
      <c r="ES109" s="75" t="s">
        <v>2772</v>
      </c>
      <c r="ET109" s="75" t="str">
        <f>HYPERLINK(".\links\TSF\AAY66685.1-TSF.txt","40-39 40-39, Cystatin||S|PI")</f>
        <v>40-39 40-39, Cystatin||S|PI</v>
      </c>
      <c r="EU109" s="79">
        <v>3.9999999999999999E-47</v>
      </c>
      <c r="EV109" s="75">
        <v>99.3</v>
      </c>
      <c r="EW109" s="75" t="s">
        <v>3472</v>
      </c>
      <c r="EX109" s="75" t="s">
        <v>3473</v>
      </c>
      <c r="EY109" s="75" t="s">
        <v>2772</v>
      </c>
      <c r="EZ109" s="75" t="s">
        <v>2785</v>
      </c>
      <c r="FA109" s="75" t="s">
        <v>3474</v>
      </c>
    </row>
    <row r="110" spans="1:157" x14ac:dyDescent="0.2">
      <c r="A110" s="75" t="str">
        <f>HYPERLINK(".\links\PEP\EEC14106.1-PEP.txt","EEC14106.1")</f>
        <v>EEC14106.1</v>
      </c>
      <c r="B110" s="75" t="s">
        <v>2768</v>
      </c>
      <c r="C110" s="75">
        <v>258</v>
      </c>
      <c r="D110" s="75" t="s">
        <v>3479</v>
      </c>
      <c r="E110" s="76" t="s">
        <v>3480</v>
      </c>
      <c r="F110" s="75" t="s">
        <v>2771</v>
      </c>
      <c r="G110" s="75" t="str">
        <f>HYPERLINK(".\links\Sigp\EEC14106.1-SigP.txt","CYT")</f>
        <v>CYT</v>
      </c>
      <c r="H110" s="75" t="s">
        <v>2772</v>
      </c>
      <c r="I110" s="75">
        <v>29.523</v>
      </c>
      <c r="J110" s="75">
        <v>4.6900000000000004</v>
      </c>
      <c r="K110" s="75" t="s">
        <v>2772</v>
      </c>
      <c r="L110" s="75" t="s">
        <v>2772</v>
      </c>
      <c r="M110" s="75" t="str">
        <f>HYPERLINK(".\links\netoglyc\EEC14106.1-netoglyc.txt","2")</f>
        <v>2</v>
      </c>
      <c r="N110" s="75" t="s">
        <v>3481</v>
      </c>
      <c r="O110" s="75">
        <v>258</v>
      </c>
      <c r="P110" s="75">
        <v>0</v>
      </c>
      <c r="Q110" s="75" t="s">
        <v>2772</v>
      </c>
      <c r="R110" s="75" t="s">
        <v>2772</v>
      </c>
      <c r="S110" s="75" t="s">
        <v>2772</v>
      </c>
      <c r="T110" s="75" t="s">
        <v>2772</v>
      </c>
      <c r="U110" s="75" t="s">
        <v>2772</v>
      </c>
      <c r="V110" s="75" t="s">
        <v>2772</v>
      </c>
      <c r="W110" s="75">
        <v>10.3</v>
      </c>
      <c r="X110" s="75">
        <v>3.8</v>
      </c>
      <c r="Y110" s="75">
        <v>1.9</v>
      </c>
      <c r="Z110" s="75" t="s">
        <v>2774</v>
      </c>
      <c r="AA110" s="77">
        <v>5.81395348837209</v>
      </c>
      <c r="AB110" s="75">
        <v>0.28000000000000003</v>
      </c>
      <c r="AD110" s="75">
        <v>2</v>
      </c>
      <c r="AE110" s="75" t="str">
        <f>HYPERLINK(".\links\pep\EEC14106.1-sulf.txt","1")</f>
        <v>1</v>
      </c>
      <c r="AF110" s="75" t="str">
        <f>HYPERLINK(".\links\pep\EEC14106.1-tyr-sulf.txt","Fasta with y")</f>
        <v>Fasta with y</v>
      </c>
      <c r="AG110" s="75" t="s">
        <v>2772</v>
      </c>
      <c r="AH110" s="75" t="s">
        <v>2772</v>
      </c>
      <c r="AI110" s="75">
        <v>2</v>
      </c>
      <c r="AJ110" s="75">
        <v>2</v>
      </c>
      <c r="AK110" s="75" t="s">
        <v>2772</v>
      </c>
      <c r="AL110" s="75" t="s">
        <v>2772</v>
      </c>
      <c r="AM110" s="75" t="s">
        <v>2772</v>
      </c>
      <c r="AN110" s="75" t="s">
        <v>2772</v>
      </c>
      <c r="AO110" s="78" t="str">
        <f>HYPERLINK(".\links\AAM-CEMENT-2018\EEC14106.1-AAM-CEMENT-2018.txt","Extracted CDS")</f>
        <v>Extracted CDS</v>
      </c>
      <c r="AP110" s="75" t="str">
        <f>HYPERLINK("http://www.ncbi.nlm.nih.gov/sutils/blink.cgi?pid=Aam-3359","0.0")</f>
        <v>0.0</v>
      </c>
      <c r="AQ110" s="75" t="str">
        <f>HYPERLINK("http://www.ncbi.nlm.nih.gov/protein/Aam-3359","Aam-3359")</f>
        <v>Aam-3359</v>
      </c>
      <c r="AR110" s="75">
        <v>504</v>
      </c>
      <c r="AS110" s="75">
        <v>258</v>
      </c>
      <c r="AT110" s="75">
        <v>256</v>
      </c>
      <c r="AU110" s="75">
        <v>95</v>
      </c>
      <c r="AV110" s="75">
        <v>97</v>
      </c>
      <c r="AW110" s="75">
        <v>101</v>
      </c>
      <c r="AX110" s="75">
        <v>11</v>
      </c>
      <c r="AY110" s="75">
        <v>2</v>
      </c>
      <c r="AZ110" s="75">
        <v>1</v>
      </c>
      <c r="BA110" s="75">
        <v>1</v>
      </c>
      <c r="BB110" s="75">
        <v>1</v>
      </c>
      <c r="BC110" s="75" t="s">
        <v>2775</v>
      </c>
      <c r="BD110" s="78" t="str">
        <f>HYPERLINK(".\links\CDD\EEC14106.1-CDD.txt","14-3-3_epsilon 14-3-3 epsilon an isoform of 14-3-3 protein")</f>
        <v>14-3-3_epsilon 14-3-3 epsilon an isoform of 14-3-3 protein</v>
      </c>
      <c r="BE110" s="79">
        <v>4.0000000000000002E-172</v>
      </c>
      <c r="BF110" s="75">
        <v>100</v>
      </c>
      <c r="BG110" s="75" t="s">
        <v>3482</v>
      </c>
      <c r="BH110" s="75" t="s">
        <v>3483</v>
      </c>
      <c r="BI110" s="75" t="str">
        <f>HYPERLINK(".\links\KOG\EEC14106.1-KOG.txt","CDD:227373 COG5040, BMH1, 14-3-3 family protein")</f>
        <v>CDD:227373 COG5040, BMH1, 14-3-3 family protein</v>
      </c>
      <c r="BJ110" s="79">
        <v>3.9999999999999999E-147</v>
      </c>
      <c r="BK110" s="75">
        <v>94.4</v>
      </c>
      <c r="BL110" s="75" t="s">
        <v>3484</v>
      </c>
      <c r="BM110" s="75" t="s">
        <v>2779</v>
      </c>
      <c r="BN110" s="78" t="str">
        <f>HYPERLINK(".\links\PFAM\EEC14106.1-PFAM.txt","14-3-3 14-3-3 protein")</f>
        <v>14-3-3 14-3-3 protein</v>
      </c>
      <c r="BO110" s="79">
        <v>2.0000000000000001E-152</v>
      </c>
      <c r="BP110" s="75">
        <v>100.9</v>
      </c>
      <c r="BQ110" s="75" t="s">
        <v>3485</v>
      </c>
      <c r="BR110" s="75" t="s">
        <v>2772</v>
      </c>
      <c r="BS110" s="78" t="str">
        <f>HYPERLINK(".\links\SMART\EEC14106.1-SMART.txt","CDD:128412 smart00101, 14_3_3, 14-3-3 homologues")</f>
        <v>CDD:128412 smart00101, 14_3_3, 14-3-3 homologues</v>
      </c>
      <c r="BT110" s="79">
        <v>7.0000000000000001E-143</v>
      </c>
      <c r="BU110" s="75">
        <v>98.8</v>
      </c>
      <c r="BV110" s="75" t="s">
        <v>3486</v>
      </c>
      <c r="BW110" s="75" t="s">
        <v>2772</v>
      </c>
      <c r="BX110" s="78" t="str">
        <f>HYPERLINK(".\links\TSF\EEC14106.1-TSF.txt","30-171 30-171, Long-chain-fatty-acid--CoA ligase 3||H|E")</f>
        <v>30-171 30-171, Long-chain-fatty-acid--CoA ligase 3||H|E</v>
      </c>
      <c r="BY110" s="75">
        <v>1</v>
      </c>
      <c r="BZ110" s="75">
        <v>5.5</v>
      </c>
      <c r="CA110" s="75" t="s">
        <v>3487</v>
      </c>
      <c r="CB110" s="75" t="s">
        <v>3488</v>
      </c>
      <c r="CC110" s="75" t="s">
        <v>2772</v>
      </c>
      <c r="CD110" s="75" t="s">
        <v>2808</v>
      </c>
      <c r="CE110" s="75" t="s">
        <v>2844</v>
      </c>
      <c r="CF110" s="75">
        <v>54</v>
      </c>
      <c r="CG110" s="75">
        <v>1</v>
      </c>
      <c r="CH110" s="75">
        <v>63</v>
      </c>
      <c r="CI110" s="75">
        <v>1</v>
      </c>
      <c r="CJ110" s="75">
        <v>64</v>
      </c>
      <c r="CK110" s="75">
        <v>1</v>
      </c>
      <c r="CL110" s="75">
        <v>68</v>
      </c>
      <c r="CM110" s="75">
        <v>1</v>
      </c>
      <c r="CN110" s="75">
        <v>72</v>
      </c>
      <c r="CO110" s="75">
        <v>1</v>
      </c>
      <c r="CP110" s="75">
        <v>74</v>
      </c>
      <c r="CQ110" s="75">
        <v>1</v>
      </c>
      <c r="CR110" s="75">
        <v>75</v>
      </c>
      <c r="CS110" s="75">
        <v>1</v>
      </c>
      <c r="CT110" s="75">
        <v>79</v>
      </c>
      <c r="CU110" s="75">
        <v>1</v>
      </c>
      <c r="CV110" s="75">
        <v>82</v>
      </c>
      <c r="CW110" s="75">
        <v>1</v>
      </c>
      <c r="CX110" s="75">
        <v>86</v>
      </c>
      <c r="CY110" s="75">
        <v>1</v>
      </c>
      <c r="CZ110" s="75">
        <v>88</v>
      </c>
      <c r="DA110" s="75">
        <v>1</v>
      </c>
      <c r="DB110" s="75">
        <v>94</v>
      </c>
      <c r="DC110" s="75">
        <v>1</v>
      </c>
      <c r="DD110" s="75">
        <v>97</v>
      </c>
      <c r="DE110" s="75">
        <v>1</v>
      </c>
      <c r="DF110" s="75">
        <v>99</v>
      </c>
      <c r="DG110" s="75">
        <v>1</v>
      </c>
      <c r="DH110" s="75">
        <v>100</v>
      </c>
      <c r="DI110" s="75">
        <v>1</v>
      </c>
      <c r="DJ110" s="75" t="s">
        <v>228</v>
      </c>
      <c r="DK110" s="75" t="str">
        <f>HYPERLINK(".\links\AAM-CEMENT-2018\EEC14106.1-AAM-CEMENT-2018.txt","Extracted CDS")</f>
        <v>Extracted CDS</v>
      </c>
      <c r="DL110" s="75" t="str">
        <f>HYPERLINK("http://www.ncbi.nlm.nih.gov/sutils/blink.cgi?pid=Aam-3359","0.0")</f>
        <v>0.0</v>
      </c>
      <c r="DM110" s="75" t="str">
        <f>HYPERLINK("http://www.ncbi.nlm.nih.gov/protein/Aam-3359","Aam-3359")</f>
        <v>Aam-3359</v>
      </c>
      <c r="DN110" s="75">
        <v>504</v>
      </c>
      <c r="DO110" s="75">
        <v>258</v>
      </c>
      <c r="DP110" s="75">
        <v>256</v>
      </c>
      <c r="DQ110" s="75">
        <v>95</v>
      </c>
      <c r="DR110" s="75">
        <v>97</v>
      </c>
      <c r="DS110" s="75">
        <v>101</v>
      </c>
      <c r="DT110" s="75">
        <v>11</v>
      </c>
      <c r="DU110" s="75">
        <v>2</v>
      </c>
      <c r="DV110" s="75">
        <v>1</v>
      </c>
      <c r="DW110" s="75">
        <v>1</v>
      </c>
      <c r="DX110" s="75">
        <v>1</v>
      </c>
      <c r="DY110" s="75" t="s">
        <v>2775</v>
      </c>
      <c r="DZ110" s="75" t="str">
        <f>HYPERLINK(".\links\CDD\EEC14106.1-CDD.txt","14-3-3_epsilon 14-3-3 epsilon an isoform of 14-3-3 protein")</f>
        <v>14-3-3_epsilon 14-3-3 epsilon an isoform of 14-3-3 protein</v>
      </c>
      <c r="EA110" s="79">
        <v>4.0000000000000002E-172</v>
      </c>
      <c r="EB110" s="75">
        <v>100</v>
      </c>
      <c r="EC110" s="75" t="s">
        <v>3482</v>
      </c>
      <c r="ED110" s="75" t="s">
        <v>3483</v>
      </c>
      <c r="EE110" s="75" t="str">
        <f>HYPERLINK(".\links\KOG\EEC14106.1-KOG.txt","CDD:227373 COG5040, BMH1, 14-3-3 family protein")</f>
        <v>CDD:227373 COG5040, BMH1, 14-3-3 family protein</v>
      </c>
      <c r="EF110" s="79">
        <v>3.9999999999999999E-147</v>
      </c>
      <c r="EG110" s="75">
        <v>94.4</v>
      </c>
      <c r="EH110" s="75" t="s">
        <v>3484</v>
      </c>
      <c r="EI110" s="75" t="s">
        <v>2779</v>
      </c>
      <c r="EJ110" s="75" t="str">
        <f>HYPERLINK(".\links\PFAM\EEC14106.1-PFAM.txt","14-3-3 14-3-3 protein")</f>
        <v>14-3-3 14-3-3 protein</v>
      </c>
      <c r="EK110" s="79">
        <v>2.0000000000000001E-152</v>
      </c>
      <c r="EL110" s="75">
        <v>100.9</v>
      </c>
      <c r="EM110" s="75" t="s">
        <v>3485</v>
      </c>
      <c r="EN110" s="75" t="s">
        <v>2772</v>
      </c>
      <c r="EO110" s="75" t="str">
        <f>HYPERLINK(".\links\SMART\EEC14106.1-SMART.txt","CDD:128412 smart00101, 14_3_3, 14-3-3 homologues")</f>
        <v>CDD:128412 smart00101, 14_3_3, 14-3-3 homologues</v>
      </c>
      <c r="EP110" s="79">
        <v>7.0000000000000001E-143</v>
      </c>
      <c r="EQ110" s="75">
        <v>98.8</v>
      </c>
      <c r="ER110" s="75" t="s">
        <v>3486</v>
      </c>
      <c r="ES110" s="75" t="s">
        <v>2772</v>
      </c>
      <c r="ET110" s="75" t="str">
        <f>HYPERLINK(".\links\TSF\EEC14106.1-TSF.txt","30-171 30-171, Long-chain-fatty-acid--CoA ligase 3||H|E")</f>
        <v>30-171 30-171, Long-chain-fatty-acid--CoA ligase 3||H|E</v>
      </c>
      <c r="EU110" s="75">
        <v>1</v>
      </c>
      <c r="EV110" s="75">
        <v>5.5</v>
      </c>
      <c r="EW110" s="75" t="s">
        <v>3487</v>
      </c>
      <c r="EX110" s="75" t="s">
        <v>3488</v>
      </c>
      <c r="EY110" s="75" t="s">
        <v>2772</v>
      </c>
      <c r="EZ110" s="75" t="s">
        <v>2808</v>
      </c>
      <c r="FA110" s="75" t="s">
        <v>2844</v>
      </c>
    </row>
    <row r="111" spans="1:157" x14ac:dyDescent="0.2">
      <c r="A111" s="75" t="str">
        <f>HYPERLINK(".\links\PEP\EEC11563.1-PEP.txt","EEC11563.1")</f>
        <v>EEC11563.1</v>
      </c>
      <c r="B111" s="75" t="s">
        <v>2768</v>
      </c>
      <c r="C111" s="75">
        <v>330</v>
      </c>
      <c r="D111" s="75" t="s">
        <v>2936</v>
      </c>
      <c r="E111" s="76" t="s">
        <v>3480</v>
      </c>
      <c r="F111" s="75" t="s">
        <v>2771</v>
      </c>
      <c r="G111" s="75" t="str">
        <f>HYPERLINK(".\links\Sigp\EEC11563.1-SigP.txt","SIG")</f>
        <v>SIG</v>
      </c>
      <c r="H111" s="75" t="s">
        <v>3489</v>
      </c>
      <c r="I111" s="75">
        <v>37.393999999999998</v>
      </c>
      <c r="J111" s="75">
        <v>5.46</v>
      </c>
      <c r="K111" s="75">
        <v>34.968000000000004</v>
      </c>
      <c r="L111" s="75">
        <v>5.36</v>
      </c>
      <c r="M111" s="75" t="str">
        <f>HYPERLINK(".\links\netoglyc\EEC11563.1-netoglyc.txt","4")</f>
        <v>4</v>
      </c>
      <c r="N111" s="75" t="s">
        <v>3490</v>
      </c>
      <c r="O111" s="75">
        <v>330</v>
      </c>
      <c r="P111" s="75">
        <v>0</v>
      </c>
      <c r="Q111" s="75" t="s">
        <v>2772</v>
      </c>
      <c r="R111" s="75" t="s">
        <v>2772</v>
      </c>
      <c r="S111" s="75" t="s">
        <v>2772</v>
      </c>
      <c r="T111" s="75" t="s">
        <v>2772</v>
      </c>
      <c r="U111" s="75" t="s">
        <v>2772</v>
      </c>
      <c r="V111" s="75" t="s">
        <v>2772</v>
      </c>
      <c r="W111" s="75">
        <v>13.1</v>
      </c>
      <c r="X111" s="75">
        <v>4.2</v>
      </c>
      <c r="Y111" s="75">
        <v>7.4</v>
      </c>
      <c r="Z111" s="75" t="s">
        <v>2774</v>
      </c>
      <c r="AA111" s="77">
        <v>11.818181818181801</v>
      </c>
      <c r="AB111" s="75">
        <v>0.34</v>
      </c>
      <c r="AC111" s="75" t="s">
        <v>3491</v>
      </c>
      <c r="AD111" s="75">
        <v>6</v>
      </c>
      <c r="AE111" s="75" t="s">
        <v>2772</v>
      </c>
      <c r="AF111" s="75" t="s">
        <v>2772</v>
      </c>
      <c r="AG111" s="75" t="s">
        <v>2772</v>
      </c>
      <c r="AH111" s="75">
        <v>1</v>
      </c>
      <c r="AI111" s="75" t="s">
        <v>2772</v>
      </c>
      <c r="AJ111" s="75">
        <v>1</v>
      </c>
      <c r="AK111" s="75" t="s">
        <v>2772</v>
      </c>
      <c r="AL111" s="75" t="s">
        <v>2772</v>
      </c>
      <c r="AM111" s="75" t="s">
        <v>2772</v>
      </c>
      <c r="AN111" s="75" t="s">
        <v>2772</v>
      </c>
      <c r="AO111" s="78" t="str">
        <f>HYPERLINK(".\links\AAM-CEMENT-2018\EEC11563.1-AAM-CEMENT-2018.txt","Extracted CDS")</f>
        <v>Extracted CDS</v>
      </c>
      <c r="AP111" s="75" t="str">
        <f>HYPERLINK("http://www.ncbi.nlm.nih.gov/sutils/blink.cgi?pid=Aam-16746","4.8")</f>
        <v>4.8</v>
      </c>
      <c r="AQ111" s="75" t="str">
        <f>HYPERLINK("http://www.ncbi.nlm.nih.gov/protein/Aam-16746","Aam-16746")</f>
        <v>Aam-16746</v>
      </c>
      <c r="AR111" s="75">
        <v>21.6</v>
      </c>
      <c r="AS111" s="75">
        <v>19</v>
      </c>
      <c r="AT111" s="75">
        <v>343</v>
      </c>
      <c r="AU111" s="75">
        <v>52</v>
      </c>
      <c r="AV111" s="75">
        <v>52</v>
      </c>
      <c r="AW111" s="75">
        <v>6</v>
      </c>
      <c r="AX111" s="75">
        <v>9</v>
      </c>
      <c r="AY111" s="75">
        <v>0</v>
      </c>
      <c r="AZ111" s="75">
        <v>225</v>
      </c>
      <c r="BA111" s="75">
        <v>176</v>
      </c>
      <c r="BB111" s="75">
        <v>1</v>
      </c>
      <c r="BC111" s="75" t="s">
        <v>2775</v>
      </c>
      <c r="BD111" s="78" t="str">
        <f>HYPERLINK(".\links\CDD\EEC11563.1-CDD.txt","LRR_1 leucine-rich repeats")</f>
        <v>LRR_1 leucine-rich repeats</v>
      </c>
      <c r="BE111" s="79">
        <v>1E-10</v>
      </c>
      <c r="BF111" s="75">
        <v>104.5</v>
      </c>
      <c r="BG111" s="75" t="s">
        <v>3492</v>
      </c>
      <c r="BH111" s="75" t="s">
        <v>3493</v>
      </c>
      <c r="BI111" s="75" t="str">
        <f>HYPERLINK(".\links\KOG\EEC11563.1-KOG.txt","CDD:227223 COG4886, COG4886, Leucine-rich repeat")</f>
        <v>CDD:227223 COG4886, COG4886, Leucine-rich repeat</v>
      </c>
      <c r="BJ111" s="75">
        <v>4.0000000000000001E-3</v>
      </c>
      <c r="BK111" s="75">
        <v>29.2</v>
      </c>
      <c r="BL111" s="75" t="s">
        <v>3494</v>
      </c>
      <c r="BM111" s="75" t="s">
        <v>2779</v>
      </c>
      <c r="BN111" s="78" t="str">
        <f>HYPERLINK(".\links\PFAM\EEC11563.1-PFAM.txt","LRR_8 Leucine rich repeat")</f>
        <v>LRR_8 Leucine rich repeat</v>
      </c>
      <c r="BO111" s="79">
        <v>4.0000000000000003E-5</v>
      </c>
      <c r="BP111" s="75">
        <v>101.7</v>
      </c>
      <c r="BQ111" s="75" t="s">
        <v>3495</v>
      </c>
      <c r="BR111" s="75" t="s">
        <v>2772</v>
      </c>
      <c r="BS111" s="78" t="str">
        <f>HYPERLINK(".\links\SMART\EEC11563.1-SMART.txt","CDD:197688 smart00370, LRR, Leucine-rich repeats, outliers")</f>
        <v>CDD:197688 smart00370, LRR, Leucine-rich repeats, outliers</v>
      </c>
      <c r="BT111" s="75">
        <v>2.4E-2</v>
      </c>
      <c r="BU111" s="75">
        <v>83.3</v>
      </c>
      <c r="BV111" s="75" t="s">
        <v>3496</v>
      </c>
      <c r="BW111" s="75" t="s">
        <v>2772</v>
      </c>
      <c r="BX111" s="78" t="str">
        <f>HYPERLINK(".\links\TSF\EEC11563.1-TSF.txt","30-29 30-29, Toll-like||S|")</f>
        <v>30-29 30-29, Toll-like||S|</v>
      </c>
      <c r="BY111" s="79">
        <v>3.9999999999999998E-126</v>
      </c>
      <c r="BZ111" s="75">
        <v>96.8</v>
      </c>
      <c r="CA111" s="75" t="s">
        <v>3497</v>
      </c>
      <c r="CB111" s="75" t="s">
        <v>3498</v>
      </c>
      <c r="CC111" s="75" t="s">
        <v>2772</v>
      </c>
      <c r="CD111" s="75" t="s">
        <v>2785</v>
      </c>
      <c r="CE111" s="75" t="s">
        <v>3021</v>
      </c>
      <c r="CF111" s="75">
        <v>45</v>
      </c>
      <c r="CG111" s="75">
        <v>1</v>
      </c>
      <c r="CH111" s="75">
        <v>53</v>
      </c>
      <c r="CI111" s="75">
        <v>1</v>
      </c>
      <c r="CJ111" s="75">
        <v>54</v>
      </c>
      <c r="CK111" s="75">
        <v>1</v>
      </c>
      <c r="CL111" s="75">
        <v>58</v>
      </c>
      <c r="CM111" s="75">
        <v>1</v>
      </c>
      <c r="CN111" s="75">
        <v>61</v>
      </c>
      <c r="CO111" s="75">
        <v>1</v>
      </c>
      <c r="CP111" s="75">
        <v>62</v>
      </c>
      <c r="CQ111" s="75">
        <v>1</v>
      </c>
      <c r="CR111" s="75">
        <v>63</v>
      </c>
      <c r="CS111" s="75">
        <v>1</v>
      </c>
      <c r="CT111" s="75">
        <v>67</v>
      </c>
      <c r="CU111" s="75">
        <v>1</v>
      </c>
      <c r="CV111" s="75">
        <v>70</v>
      </c>
      <c r="CW111" s="75">
        <v>1</v>
      </c>
      <c r="CX111" s="75">
        <v>74</v>
      </c>
      <c r="CY111" s="75">
        <v>1</v>
      </c>
      <c r="CZ111" s="75">
        <v>76</v>
      </c>
      <c r="DA111" s="75">
        <v>1</v>
      </c>
      <c r="DB111" s="75">
        <v>81</v>
      </c>
      <c r="DC111" s="75">
        <v>1</v>
      </c>
      <c r="DD111" s="75">
        <v>84</v>
      </c>
      <c r="DE111" s="75">
        <v>1</v>
      </c>
      <c r="DF111" s="75">
        <v>86</v>
      </c>
      <c r="DG111" s="75">
        <v>1</v>
      </c>
      <c r="DH111" s="75">
        <v>87</v>
      </c>
      <c r="DI111" s="75">
        <v>1</v>
      </c>
      <c r="DJ111" s="75" t="s">
        <v>135</v>
      </c>
      <c r="DK111" s="75" t="str">
        <f>HYPERLINK(".\links\AAM-CEMENT-2018\EEC11563.1-AAM-CEMENT-2018.txt","Extracted CDS")</f>
        <v>Extracted CDS</v>
      </c>
      <c r="DL111" s="75" t="str">
        <f>HYPERLINK("http://www.ncbi.nlm.nih.gov/sutils/blink.cgi?pid=Aam-16746","4.8")</f>
        <v>4.8</v>
      </c>
      <c r="DM111" s="75" t="str">
        <f>HYPERLINK("http://www.ncbi.nlm.nih.gov/protein/Aam-16746","Aam-16746")</f>
        <v>Aam-16746</v>
      </c>
      <c r="DN111" s="75">
        <v>21.6</v>
      </c>
      <c r="DO111" s="75">
        <v>19</v>
      </c>
      <c r="DP111" s="75">
        <v>343</v>
      </c>
      <c r="DQ111" s="75">
        <v>52</v>
      </c>
      <c r="DR111" s="75">
        <v>52</v>
      </c>
      <c r="DS111" s="75">
        <v>6</v>
      </c>
      <c r="DT111" s="75">
        <v>9</v>
      </c>
      <c r="DU111" s="75">
        <v>0</v>
      </c>
      <c r="DV111" s="75">
        <v>225</v>
      </c>
      <c r="DW111" s="75">
        <v>176</v>
      </c>
      <c r="DX111" s="75">
        <v>1</v>
      </c>
      <c r="DY111" s="75" t="s">
        <v>2775</v>
      </c>
      <c r="DZ111" s="75" t="str">
        <f>HYPERLINK(".\links\CDD\EEC11563.1-CDD.txt","LRR_1 leucine-rich repeats")</f>
        <v>LRR_1 leucine-rich repeats</v>
      </c>
      <c r="EA111" s="79">
        <v>1E-10</v>
      </c>
      <c r="EB111" s="75">
        <v>104.5</v>
      </c>
      <c r="EC111" s="75" t="s">
        <v>3492</v>
      </c>
      <c r="ED111" s="75" t="s">
        <v>3493</v>
      </c>
      <c r="EE111" s="75" t="str">
        <f>HYPERLINK(".\links\KOG\EEC11563.1-KOG.txt","CDD:227223 COG4886, COG4886, Leucine-rich repeat")</f>
        <v>CDD:227223 COG4886, COG4886, Leucine-rich repeat</v>
      </c>
      <c r="EF111" s="75">
        <v>4.0000000000000001E-3</v>
      </c>
      <c r="EG111" s="75">
        <v>29.2</v>
      </c>
      <c r="EH111" s="75" t="s">
        <v>3494</v>
      </c>
      <c r="EI111" s="75" t="s">
        <v>2779</v>
      </c>
      <c r="EJ111" s="75" t="str">
        <f>HYPERLINK(".\links\PFAM\EEC11563.1-PFAM.txt","LRR_8 Leucine rich repeat")</f>
        <v>LRR_8 Leucine rich repeat</v>
      </c>
      <c r="EK111" s="79">
        <v>4.0000000000000003E-5</v>
      </c>
      <c r="EL111" s="75">
        <v>101.7</v>
      </c>
      <c r="EM111" s="75" t="s">
        <v>3495</v>
      </c>
      <c r="EN111" s="75" t="s">
        <v>2772</v>
      </c>
      <c r="EO111" s="75" t="str">
        <f>HYPERLINK(".\links\SMART\EEC11563.1-SMART.txt","CDD:197688 smart00370, LRR, Leucine-rich repeats, outliers")</f>
        <v>CDD:197688 smart00370, LRR, Leucine-rich repeats, outliers</v>
      </c>
      <c r="EP111" s="75">
        <v>2.4E-2</v>
      </c>
      <c r="EQ111" s="75">
        <v>83.3</v>
      </c>
      <c r="ER111" s="75" t="s">
        <v>3496</v>
      </c>
      <c r="ES111" s="75" t="s">
        <v>2772</v>
      </c>
      <c r="ET111" s="75" t="str">
        <f>HYPERLINK(".\links\TSF\EEC11563.1-TSF.txt","30-29 30-29, Toll-like||S|")</f>
        <v>30-29 30-29, Toll-like||S|</v>
      </c>
      <c r="EU111" s="79">
        <v>3.9999999999999998E-126</v>
      </c>
      <c r="EV111" s="75">
        <v>96.8</v>
      </c>
      <c r="EW111" s="75" t="s">
        <v>3497</v>
      </c>
      <c r="EX111" s="75" t="s">
        <v>3498</v>
      </c>
      <c r="EY111" s="75" t="s">
        <v>2772</v>
      </c>
      <c r="EZ111" s="75" t="s">
        <v>2785</v>
      </c>
      <c r="FA111" s="75" t="s">
        <v>3021</v>
      </c>
    </row>
    <row r="112" spans="1:157" x14ac:dyDescent="0.2">
      <c r="A112" s="75" t="str">
        <f>HYPERLINK(".\links\PEP\EEC09647.1-PEP.txt","EEC09647.1")</f>
        <v>EEC09647.1</v>
      </c>
      <c r="B112" s="75" t="s">
        <v>2768</v>
      </c>
      <c r="C112" s="75">
        <v>720</v>
      </c>
      <c r="D112" s="75" t="s">
        <v>3499</v>
      </c>
      <c r="E112" s="76" t="s">
        <v>3480</v>
      </c>
      <c r="F112" s="75" t="s">
        <v>2771</v>
      </c>
      <c r="G112" s="75" t="str">
        <f>HYPERLINK(".\links\Sigp\EEC09647.1-SigP.txt","CYT")</f>
        <v>CYT</v>
      </c>
      <c r="H112" s="75" t="s">
        <v>2772</v>
      </c>
      <c r="I112" s="75">
        <v>78.695999999999998</v>
      </c>
      <c r="J112" s="75">
        <v>5.69</v>
      </c>
      <c r="K112" s="75" t="s">
        <v>2772</v>
      </c>
      <c r="L112" s="75" t="s">
        <v>2772</v>
      </c>
      <c r="M112" s="75" t="str">
        <f>HYPERLINK(".\links\netoglyc\EEC09647.1-netoglyc.txt","13")</f>
        <v>13</v>
      </c>
      <c r="N112" s="75" t="s">
        <v>2817</v>
      </c>
      <c r="O112" s="75">
        <v>720</v>
      </c>
      <c r="P112" s="75">
        <v>0</v>
      </c>
      <c r="Q112" s="75" t="s">
        <v>2772</v>
      </c>
      <c r="R112" s="75" t="s">
        <v>2772</v>
      </c>
      <c r="S112" s="75" t="s">
        <v>2772</v>
      </c>
      <c r="T112" s="75" t="s">
        <v>2772</v>
      </c>
      <c r="U112" s="75" t="s">
        <v>2772</v>
      </c>
      <c r="V112" s="75" t="s">
        <v>2772</v>
      </c>
      <c r="W112" s="75">
        <v>9.4</v>
      </c>
      <c r="X112" s="75">
        <v>5.2</v>
      </c>
      <c r="Y112" s="75">
        <v>10.9</v>
      </c>
      <c r="Z112" s="75" t="s">
        <v>2774</v>
      </c>
      <c r="AA112" s="77">
        <v>16.3888888888889</v>
      </c>
      <c r="AB112" s="75">
        <v>0.31</v>
      </c>
      <c r="AD112" s="75">
        <v>15</v>
      </c>
      <c r="AE112" s="75" t="s">
        <v>2772</v>
      </c>
      <c r="AF112" s="75" t="s">
        <v>2772</v>
      </c>
      <c r="AG112" s="75" t="s">
        <v>2772</v>
      </c>
      <c r="AH112" s="75">
        <v>1</v>
      </c>
      <c r="AI112" s="75">
        <v>3</v>
      </c>
      <c r="AJ112" s="75">
        <v>3</v>
      </c>
      <c r="AK112" s="75" t="s">
        <v>2772</v>
      </c>
      <c r="AL112" s="75" t="s">
        <v>2772</v>
      </c>
      <c r="AM112" s="75" t="s">
        <v>2772</v>
      </c>
      <c r="AN112" s="75" t="s">
        <v>2772</v>
      </c>
      <c r="AO112" s="78" t="str">
        <f>HYPERLINK(".\links\AAM-CEMENT-2018\EEC09647.1-AAM-CEMENT-2018.txt","Extracted CDS")</f>
        <v>Extracted CDS</v>
      </c>
      <c r="AP112" s="75" t="str">
        <f>HYPERLINK("http://www.ncbi.nlm.nih.gov/sutils/blink.cgi?pid=Aam-179911","1.9")</f>
        <v>1.9</v>
      </c>
      <c r="AQ112" s="75" t="str">
        <f>HYPERLINK("http://www.ncbi.nlm.nih.gov/protein/Aam-179911","Aam-179911")</f>
        <v>Aam-179911</v>
      </c>
      <c r="AR112" s="75">
        <v>23.9</v>
      </c>
      <c r="AS112" s="75">
        <v>22</v>
      </c>
      <c r="AT112" s="75">
        <v>333</v>
      </c>
      <c r="AU112" s="75">
        <v>50</v>
      </c>
      <c r="AV112" s="75">
        <v>54</v>
      </c>
      <c r="AW112" s="75">
        <v>7</v>
      </c>
      <c r="AX112" s="75">
        <v>11</v>
      </c>
      <c r="AY112" s="75">
        <v>0</v>
      </c>
      <c r="AZ112" s="75">
        <v>257</v>
      </c>
      <c r="BA112" s="75">
        <v>604</v>
      </c>
      <c r="BB112" s="75">
        <v>1</v>
      </c>
      <c r="BC112" s="75" t="s">
        <v>2775</v>
      </c>
      <c r="BD112" s="78" t="str">
        <f>HYPERLINK(".\links\CDD\EEC09647.1-CDD.txt","SH3_ASPP Src homology 3 domain of Apoptosis Stimulating of p53 proteins")</f>
        <v>SH3_ASPP Src homology 3 domain of Apoptosis Stimulating of p53 proteins</v>
      </c>
      <c r="BE112" s="79">
        <v>9.0000000000000008E-34</v>
      </c>
      <c r="BF112" s="75">
        <v>100</v>
      </c>
      <c r="BG112" s="75" t="s">
        <v>3500</v>
      </c>
      <c r="BH112" s="75" t="s">
        <v>3501</v>
      </c>
      <c r="BI112" s="75" t="str">
        <f>HYPERLINK(".\links\KOG\EEC09647.1-KOG.txt","CDD:223738 COG0666, Arp, FOG: Ankyrin repeat")</f>
        <v>CDD:223738 COG0666, Arp, FOG: Ankyrin repeat</v>
      </c>
      <c r="BJ112" s="79">
        <v>1.9999999999999999E-11</v>
      </c>
      <c r="BK112" s="75">
        <v>31.9</v>
      </c>
      <c r="BL112" s="75" t="s">
        <v>3502</v>
      </c>
      <c r="BM112" s="75" t="s">
        <v>2779</v>
      </c>
      <c r="BN112" s="78" t="str">
        <f>HYPERLINK(".\links\PFAM\EEC09647.1-PFAM.txt","Ank_2 Ankyrin repeats")</f>
        <v>Ank_2 Ankyrin repeats</v>
      </c>
      <c r="BO112" s="79">
        <v>9.0000000000000003E-20</v>
      </c>
      <c r="BP112" s="75">
        <v>91.2</v>
      </c>
      <c r="BQ112" s="75" t="s">
        <v>3503</v>
      </c>
      <c r="BR112" s="75" t="s">
        <v>2772</v>
      </c>
      <c r="BS112" s="78" t="str">
        <f>HYPERLINK(".\links\SMART\EEC09647.1-SMART.txt","CDD:214620 smart00326, SH3, Src homology 3 domains")</f>
        <v>CDD:214620 smart00326, SH3, Src homology 3 domains</v>
      </c>
      <c r="BT112" s="79">
        <v>2.9999999999999998E-15</v>
      </c>
      <c r="BU112" s="75">
        <v>87.5</v>
      </c>
      <c r="BV112" s="75" t="s">
        <v>3504</v>
      </c>
      <c r="BW112" s="75" t="s">
        <v>2772</v>
      </c>
      <c r="BX112" s="78" t="str">
        <f>HYPERLINK(".\links\TSF\EEC09647.1-TSF.txt","40-868 40-868, BTSP||S|")</f>
        <v>40-868 40-868, BTSP||S|</v>
      </c>
      <c r="BY112" s="75">
        <v>1.2E-2</v>
      </c>
      <c r="BZ112" s="75">
        <v>38.1</v>
      </c>
      <c r="CA112" s="75" t="s">
        <v>3505</v>
      </c>
      <c r="CB112" s="75" t="s">
        <v>3057</v>
      </c>
      <c r="CC112" s="75" t="s">
        <v>2772</v>
      </c>
      <c r="CD112" s="75" t="s">
        <v>2785</v>
      </c>
      <c r="CE112" s="75" t="s">
        <v>3506</v>
      </c>
      <c r="CF112" s="75">
        <v>38</v>
      </c>
      <c r="CG112" s="75">
        <v>1</v>
      </c>
      <c r="CH112" s="75">
        <v>46</v>
      </c>
      <c r="CI112" s="75">
        <v>1</v>
      </c>
      <c r="CJ112" s="75">
        <v>47</v>
      </c>
      <c r="CK112" s="75">
        <v>1</v>
      </c>
      <c r="CL112" s="75">
        <v>51</v>
      </c>
      <c r="CM112" s="75">
        <v>1</v>
      </c>
      <c r="CN112" s="75">
        <v>53</v>
      </c>
      <c r="CO112" s="75">
        <v>1</v>
      </c>
      <c r="CP112" s="75">
        <v>54</v>
      </c>
      <c r="CQ112" s="75">
        <v>1</v>
      </c>
      <c r="CR112" s="75">
        <v>55</v>
      </c>
      <c r="CS112" s="75">
        <v>1</v>
      </c>
      <c r="CT112" s="75">
        <v>59</v>
      </c>
      <c r="CU112" s="75">
        <v>1</v>
      </c>
      <c r="CV112" s="75">
        <v>61</v>
      </c>
      <c r="CW112" s="75">
        <v>1</v>
      </c>
      <c r="CX112" s="75">
        <v>65</v>
      </c>
      <c r="CY112" s="75">
        <v>1</v>
      </c>
      <c r="CZ112" s="75">
        <v>67</v>
      </c>
      <c r="DA112" s="75">
        <v>1</v>
      </c>
      <c r="DB112" s="75">
        <v>71</v>
      </c>
      <c r="DC112" s="75">
        <v>1</v>
      </c>
      <c r="DD112" s="75">
        <v>74</v>
      </c>
      <c r="DE112" s="75">
        <v>1</v>
      </c>
      <c r="DF112" s="75">
        <v>76</v>
      </c>
      <c r="DG112" s="75">
        <v>1</v>
      </c>
      <c r="DH112" s="75">
        <v>77</v>
      </c>
      <c r="DI112" s="75">
        <v>1</v>
      </c>
      <c r="DJ112" s="75" t="s">
        <v>65</v>
      </c>
      <c r="DK112" s="75" t="str">
        <f>HYPERLINK(".\links\AAM-CEMENT-2018\EEC09647.1-AAM-CEMENT-2018.txt","Extracted CDS")</f>
        <v>Extracted CDS</v>
      </c>
      <c r="DL112" s="75" t="str">
        <f>HYPERLINK("http://www.ncbi.nlm.nih.gov/sutils/blink.cgi?pid=Aam-179911","1.9")</f>
        <v>1.9</v>
      </c>
      <c r="DM112" s="75" t="str">
        <f>HYPERLINK("http://www.ncbi.nlm.nih.gov/protein/Aam-179911","Aam-179911")</f>
        <v>Aam-179911</v>
      </c>
      <c r="DN112" s="75">
        <v>23.9</v>
      </c>
      <c r="DO112" s="75">
        <v>22</v>
      </c>
      <c r="DP112" s="75">
        <v>333</v>
      </c>
      <c r="DQ112" s="75">
        <v>50</v>
      </c>
      <c r="DR112" s="75">
        <v>54</v>
      </c>
      <c r="DS112" s="75">
        <v>7</v>
      </c>
      <c r="DT112" s="75">
        <v>11</v>
      </c>
      <c r="DU112" s="75">
        <v>0</v>
      </c>
      <c r="DV112" s="75">
        <v>257</v>
      </c>
      <c r="DW112" s="75">
        <v>604</v>
      </c>
      <c r="DX112" s="75">
        <v>1</v>
      </c>
      <c r="DY112" s="75" t="s">
        <v>2775</v>
      </c>
      <c r="DZ112" s="75" t="str">
        <f>HYPERLINK(".\links\CDD\EEC09647.1-CDD.txt","SH3_ASPP Src homology 3 domain of Apoptosis Stimulating of p53 proteins")</f>
        <v>SH3_ASPP Src homology 3 domain of Apoptosis Stimulating of p53 proteins</v>
      </c>
      <c r="EA112" s="79">
        <v>9.0000000000000008E-34</v>
      </c>
      <c r="EB112" s="75">
        <v>100</v>
      </c>
      <c r="EC112" s="75" t="s">
        <v>3500</v>
      </c>
      <c r="ED112" s="75" t="s">
        <v>3501</v>
      </c>
      <c r="EE112" s="75" t="str">
        <f>HYPERLINK(".\links\KOG\EEC09647.1-KOG.txt","CDD:223738 COG0666, Arp, FOG: Ankyrin repeat")</f>
        <v>CDD:223738 COG0666, Arp, FOG: Ankyrin repeat</v>
      </c>
      <c r="EF112" s="79">
        <v>1.9999999999999999E-11</v>
      </c>
      <c r="EG112" s="75">
        <v>31.9</v>
      </c>
      <c r="EH112" s="75" t="s">
        <v>3502</v>
      </c>
      <c r="EI112" s="75" t="s">
        <v>2779</v>
      </c>
      <c r="EJ112" s="75" t="str">
        <f>HYPERLINK(".\links\PFAM\EEC09647.1-PFAM.txt","Ank_2 Ankyrin repeats")</f>
        <v>Ank_2 Ankyrin repeats</v>
      </c>
      <c r="EK112" s="79">
        <v>9.0000000000000003E-20</v>
      </c>
      <c r="EL112" s="75">
        <v>91.2</v>
      </c>
      <c r="EM112" s="75" t="s">
        <v>3503</v>
      </c>
      <c r="EN112" s="75" t="s">
        <v>2772</v>
      </c>
      <c r="EO112" s="75" t="str">
        <f>HYPERLINK(".\links\SMART\EEC09647.1-SMART.txt","CDD:214620 smart00326, SH3, Src homology 3 domains")</f>
        <v>CDD:214620 smart00326, SH3, Src homology 3 domains</v>
      </c>
      <c r="EP112" s="79">
        <v>2.9999999999999998E-15</v>
      </c>
      <c r="EQ112" s="75">
        <v>87.5</v>
      </c>
      <c r="ER112" s="75" t="s">
        <v>3504</v>
      </c>
      <c r="ES112" s="75" t="s">
        <v>2772</v>
      </c>
      <c r="ET112" s="75" t="str">
        <f>HYPERLINK(".\links\TSF\EEC09647.1-TSF.txt","40-868 40-868, BTSP||S|")</f>
        <v>40-868 40-868, BTSP||S|</v>
      </c>
      <c r="EU112" s="75">
        <v>1.2E-2</v>
      </c>
      <c r="EV112" s="75">
        <v>38.1</v>
      </c>
      <c r="EW112" s="75" t="s">
        <v>3505</v>
      </c>
      <c r="EX112" s="75" t="s">
        <v>3057</v>
      </c>
      <c r="EY112" s="75" t="s">
        <v>2772</v>
      </c>
      <c r="EZ112" s="75" t="s">
        <v>2785</v>
      </c>
      <c r="FA112" s="75" t="s">
        <v>3506</v>
      </c>
    </row>
    <row r="113" spans="1:157" x14ac:dyDescent="0.2">
      <c r="A113" s="75" t="str">
        <f>HYPERLINK(".\links\PEP\EEC10156.1-PEP.txt","EEC10156.1")</f>
        <v>EEC10156.1</v>
      </c>
      <c r="B113" s="75" t="s">
        <v>2600</v>
      </c>
      <c r="C113" s="75">
        <v>530</v>
      </c>
      <c r="D113" s="75" t="s">
        <v>3507</v>
      </c>
      <c r="E113" s="76" t="s">
        <v>3480</v>
      </c>
      <c r="F113" s="75" t="s">
        <v>2771</v>
      </c>
      <c r="G113" s="75" t="str">
        <f>HYPERLINK(".\links\Sigp\EEC10156.1-SigP.txt","CYT")</f>
        <v>CYT</v>
      </c>
      <c r="H113" s="75" t="s">
        <v>2772</v>
      </c>
      <c r="I113" s="75">
        <v>60.448999999999998</v>
      </c>
      <c r="J113" s="75">
        <v>5.56</v>
      </c>
      <c r="K113" s="75" t="s">
        <v>2772</v>
      </c>
      <c r="L113" s="75" t="s">
        <v>2772</v>
      </c>
      <c r="M113" s="75" t="str">
        <f>HYPERLINK(".\links\netoglyc\EEC10156.1-netoglyc.txt","5")</f>
        <v>5</v>
      </c>
      <c r="N113" s="75" t="s">
        <v>2817</v>
      </c>
      <c r="O113" s="75">
        <v>530</v>
      </c>
      <c r="P113" s="75">
        <v>0</v>
      </c>
      <c r="Q113" s="75" t="s">
        <v>2772</v>
      </c>
      <c r="R113" s="75" t="s">
        <v>2772</v>
      </c>
      <c r="S113" s="75" t="s">
        <v>2772</v>
      </c>
      <c r="T113" s="75" t="s">
        <v>2772</v>
      </c>
      <c r="U113" s="75" t="s">
        <v>2772</v>
      </c>
      <c r="V113" s="75" t="s">
        <v>3508</v>
      </c>
      <c r="W113" s="75">
        <v>10</v>
      </c>
      <c r="X113" s="75">
        <v>4.5999999999999996</v>
      </c>
      <c r="Y113" s="75">
        <v>5.8</v>
      </c>
      <c r="Z113" s="75" t="s">
        <v>2774</v>
      </c>
      <c r="AA113" s="77">
        <v>10.5660377358491</v>
      </c>
      <c r="AB113" s="75">
        <v>0.27</v>
      </c>
      <c r="AD113" s="75">
        <v>14</v>
      </c>
      <c r="AE113" s="75" t="s">
        <v>2772</v>
      </c>
      <c r="AF113" s="75" t="s">
        <v>2772</v>
      </c>
      <c r="AG113" s="75" t="s">
        <v>2772</v>
      </c>
      <c r="AH113" s="75" t="s">
        <v>2772</v>
      </c>
      <c r="AI113" s="75" t="s">
        <v>2772</v>
      </c>
      <c r="AJ113" s="75">
        <v>3</v>
      </c>
      <c r="AK113" s="75" t="s">
        <v>2772</v>
      </c>
      <c r="AL113" s="75" t="s">
        <v>2772</v>
      </c>
      <c r="AM113" s="75" t="s">
        <v>2772</v>
      </c>
      <c r="AN113" s="75" t="s">
        <v>2772</v>
      </c>
      <c r="AO113" s="78" t="str">
        <f>HYPERLINK(".\links\AAM-CEMENT-2018\EEC10156.1-AAM-CEMENT-2018.txt","Extracted CDS")</f>
        <v>Extracted CDS</v>
      </c>
      <c r="AP113" s="75" t="str">
        <f>HYPERLINK("http://www.ncbi.nlm.nih.gov/sutils/blink.cgi?pid=Aam-63932","3.9")</f>
        <v>3.9</v>
      </c>
      <c r="AQ113" s="75" t="str">
        <f>HYPERLINK("http://www.ncbi.nlm.nih.gov/protein/Aam-63932","Aam-63932")</f>
        <v>Aam-63932</v>
      </c>
      <c r="AR113" s="75">
        <v>22.7</v>
      </c>
      <c r="AS113" s="75">
        <v>36</v>
      </c>
      <c r="AT113" s="75">
        <v>503</v>
      </c>
      <c r="AU113" s="75">
        <v>38</v>
      </c>
      <c r="AV113" s="75">
        <v>50</v>
      </c>
      <c r="AW113" s="75">
        <v>7</v>
      </c>
      <c r="AX113" s="75">
        <v>22</v>
      </c>
      <c r="AY113" s="75">
        <v>3</v>
      </c>
      <c r="AZ113" s="75">
        <v>306</v>
      </c>
      <c r="BA113" s="75">
        <v>349</v>
      </c>
      <c r="BB113" s="75">
        <v>1</v>
      </c>
      <c r="BC113" s="75" t="s">
        <v>2775</v>
      </c>
      <c r="BD113" s="78" t="str">
        <f>HYPERLINK(".\links\CDD\EEC10156.1-CDD.txt","LIM_Mical_like_2 This domain belongs to the LIM domain family which are found on Mical")</f>
        <v>LIM_Mical_like_2 This domain belongs to the LIM domain family which are found on Mical</v>
      </c>
      <c r="BE113" s="79">
        <v>1.0000000000000001E-30</v>
      </c>
      <c r="BF113" s="75">
        <v>100</v>
      </c>
      <c r="BG113" s="75" t="s">
        <v>3509</v>
      </c>
      <c r="BH113" s="75" t="s">
        <v>3510</v>
      </c>
      <c r="BI113" s="75" t="str">
        <f>HYPERLINK(".\links\KOG\EEC10156.1-KOG.txt","CDD:227507 COG5180, PBP1, Protein interacting with pol")</f>
        <v>CDD:227507 COG5180, PBP1, Protein interacting with pol</v>
      </c>
      <c r="BJ113" s="75">
        <v>7.5999999999999998E-2</v>
      </c>
      <c r="BK113" s="75">
        <v>6.3</v>
      </c>
      <c r="BL113" s="75" t="s">
        <v>3511</v>
      </c>
      <c r="BM113" s="75" t="s">
        <v>2779</v>
      </c>
      <c r="BN113" s="78" t="str">
        <f>HYPERLINK(".\links\PFAM\EEC10156.1-PFAM.txt","LIM LIM domain")</f>
        <v>LIM LIM domain</v>
      </c>
      <c r="BO113" s="79">
        <v>6E-10</v>
      </c>
      <c r="BP113" s="75">
        <v>101.8</v>
      </c>
      <c r="BQ113" s="75" t="s">
        <v>3512</v>
      </c>
      <c r="BR113" s="75" t="s">
        <v>2772</v>
      </c>
      <c r="BS113" s="78" t="str">
        <f>HYPERLINK(".\links\SMART\EEC10156.1-SMART.txt","CDD:214528 smart00132, LIM, Zinc-binding domain present in Lin-11, Isl-1, Mec-3")</f>
        <v>CDD:214528 smart00132, LIM, Zinc-binding domain present in Lin-11, Isl-1, Mec-3</v>
      </c>
      <c r="BT113" s="79">
        <v>2E-14</v>
      </c>
      <c r="BU113" s="75">
        <v>98.1</v>
      </c>
      <c r="BV113" s="75" t="s">
        <v>3513</v>
      </c>
      <c r="BW113" s="75" t="s">
        <v>2772</v>
      </c>
      <c r="BX113" s="78" t="str">
        <f>HYPERLINK(".\links\TSF\EEC10156.1-TSF.txt","30-433 30-433, BTSP||S|")</f>
        <v>30-433 30-433, BTSP||S|</v>
      </c>
      <c r="BY113" s="75">
        <v>7.3999999999999996E-2</v>
      </c>
      <c r="BZ113" s="75">
        <v>21.8</v>
      </c>
      <c r="CA113" s="75" t="s">
        <v>3136</v>
      </c>
      <c r="CB113" s="75" t="s">
        <v>3057</v>
      </c>
      <c r="CC113" s="75" t="s">
        <v>2772</v>
      </c>
      <c r="CD113" s="75" t="s">
        <v>2785</v>
      </c>
      <c r="CE113" s="75" t="s">
        <v>3137</v>
      </c>
      <c r="CF113" s="75">
        <v>40</v>
      </c>
      <c r="CG113" s="75">
        <v>1</v>
      </c>
      <c r="CH113" s="75">
        <v>48</v>
      </c>
      <c r="CI113" s="75">
        <v>1</v>
      </c>
      <c r="CJ113" s="75">
        <v>49</v>
      </c>
      <c r="CK113" s="75">
        <v>1</v>
      </c>
      <c r="CL113" s="75">
        <v>53</v>
      </c>
      <c r="CM113" s="75">
        <v>1</v>
      </c>
      <c r="CN113" s="75">
        <v>55</v>
      </c>
      <c r="CO113" s="75">
        <v>1</v>
      </c>
      <c r="CP113" s="75">
        <v>56</v>
      </c>
      <c r="CQ113" s="75">
        <v>1</v>
      </c>
      <c r="CR113" s="75">
        <v>57</v>
      </c>
      <c r="CS113" s="75">
        <v>1</v>
      </c>
      <c r="CT113" s="75">
        <v>61</v>
      </c>
      <c r="CU113" s="75">
        <v>1</v>
      </c>
      <c r="CV113" s="75">
        <v>63</v>
      </c>
      <c r="CW113" s="75">
        <v>1</v>
      </c>
      <c r="CX113" s="75">
        <v>67</v>
      </c>
      <c r="CY113" s="75">
        <v>1</v>
      </c>
      <c r="CZ113" s="75">
        <v>69</v>
      </c>
      <c r="DA113" s="75">
        <v>1</v>
      </c>
      <c r="DB113" s="75">
        <v>73</v>
      </c>
      <c r="DC113" s="75">
        <v>1</v>
      </c>
      <c r="DD113" s="75">
        <v>76</v>
      </c>
      <c r="DE113" s="75">
        <v>1</v>
      </c>
      <c r="DF113" s="75">
        <v>78</v>
      </c>
      <c r="DG113" s="75">
        <v>1</v>
      </c>
      <c r="DH113" s="75">
        <v>79</v>
      </c>
      <c r="DI113" s="75">
        <v>1</v>
      </c>
      <c r="DJ113" s="75" t="s">
        <v>4</v>
      </c>
      <c r="DK113" s="75" t="str">
        <f>HYPERLINK(".\links\AAM-CEMENT-2018\EEC10156.1-AAM-CEMENT-2018.txt","Extracted CDS")</f>
        <v>Extracted CDS</v>
      </c>
      <c r="DL113" s="75" t="str">
        <f>HYPERLINK("http://www.ncbi.nlm.nih.gov/sutils/blink.cgi?pid=Aam-63932","3.9")</f>
        <v>3.9</v>
      </c>
      <c r="DM113" s="75" t="str">
        <f>HYPERLINK("http://www.ncbi.nlm.nih.gov/protein/Aam-63932","Aam-63932")</f>
        <v>Aam-63932</v>
      </c>
      <c r="DN113" s="75">
        <v>22.7</v>
      </c>
      <c r="DO113" s="75">
        <v>36</v>
      </c>
      <c r="DP113" s="75">
        <v>503</v>
      </c>
      <c r="DQ113" s="75">
        <v>38</v>
      </c>
      <c r="DR113" s="75">
        <v>50</v>
      </c>
      <c r="DS113" s="75">
        <v>7</v>
      </c>
      <c r="DT113" s="75">
        <v>22</v>
      </c>
      <c r="DU113" s="75">
        <v>3</v>
      </c>
      <c r="DV113" s="75">
        <v>306</v>
      </c>
      <c r="DW113" s="75">
        <v>349</v>
      </c>
      <c r="DX113" s="75">
        <v>1</v>
      </c>
      <c r="DY113" s="75" t="s">
        <v>2775</v>
      </c>
      <c r="DZ113" s="75" t="str">
        <f>HYPERLINK(".\links\CDD\EEC10156.1-CDD.txt","LIM_Mical_like_2 This domain belongs to the LIM domain family which are found on Mical")</f>
        <v>LIM_Mical_like_2 This domain belongs to the LIM domain family which are found on Mical</v>
      </c>
      <c r="EA113" s="79">
        <v>1.0000000000000001E-30</v>
      </c>
      <c r="EB113" s="75">
        <v>100</v>
      </c>
      <c r="EC113" s="75" t="s">
        <v>3509</v>
      </c>
      <c r="ED113" s="75" t="s">
        <v>3510</v>
      </c>
      <c r="EE113" s="75" t="str">
        <f>HYPERLINK(".\links\KOG\EEC10156.1-KOG.txt","CDD:227507 COG5180, PBP1, Protein interacting with pol")</f>
        <v>CDD:227507 COG5180, PBP1, Protein interacting with pol</v>
      </c>
      <c r="EF113" s="75">
        <v>7.5999999999999998E-2</v>
      </c>
      <c r="EG113" s="75">
        <v>6.3</v>
      </c>
      <c r="EH113" s="75" t="s">
        <v>3511</v>
      </c>
      <c r="EI113" s="75" t="s">
        <v>2779</v>
      </c>
      <c r="EJ113" s="75" t="str">
        <f>HYPERLINK(".\links\PFAM\EEC10156.1-PFAM.txt","LIM LIM domain")</f>
        <v>LIM LIM domain</v>
      </c>
      <c r="EK113" s="79">
        <v>6E-10</v>
      </c>
      <c r="EL113" s="75">
        <v>101.8</v>
      </c>
      <c r="EM113" s="75" t="s">
        <v>3512</v>
      </c>
      <c r="EN113" s="75" t="s">
        <v>2772</v>
      </c>
      <c r="EO113" s="75" t="str">
        <f>HYPERLINK(".\links\SMART\EEC10156.1-SMART.txt","CDD:214528 smart00132, LIM, Zinc-binding domain present in Lin-11, Isl-1, Mec-3")</f>
        <v>CDD:214528 smart00132, LIM, Zinc-binding domain present in Lin-11, Isl-1, Mec-3</v>
      </c>
      <c r="EP113" s="79">
        <v>2E-14</v>
      </c>
      <c r="EQ113" s="75">
        <v>98.1</v>
      </c>
      <c r="ER113" s="75" t="s">
        <v>3513</v>
      </c>
      <c r="ES113" s="75" t="s">
        <v>2772</v>
      </c>
      <c r="ET113" s="75" t="str">
        <f>HYPERLINK(".\links\TSF\EEC10156.1-TSF.txt","30-433 30-433, BTSP||S|")</f>
        <v>30-433 30-433, BTSP||S|</v>
      </c>
      <c r="EU113" s="75">
        <v>7.3999999999999996E-2</v>
      </c>
      <c r="EV113" s="75">
        <v>21.8</v>
      </c>
      <c r="EW113" s="75" t="s">
        <v>3136</v>
      </c>
      <c r="EX113" s="75" t="s">
        <v>3057</v>
      </c>
      <c r="EY113" s="75" t="s">
        <v>2772</v>
      </c>
      <c r="EZ113" s="75" t="s">
        <v>2785</v>
      </c>
      <c r="FA113" s="75" t="s">
        <v>3137</v>
      </c>
    </row>
    <row r="114" spans="1:157" x14ac:dyDescent="0.2">
      <c r="A114" s="75" t="str">
        <f>HYPERLINK(".\links\PEP\EEC12044.1-PEP.txt","EEC12044.1")</f>
        <v>EEC12044.1</v>
      </c>
      <c r="B114" s="75" t="s">
        <v>3251</v>
      </c>
      <c r="C114" s="75">
        <v>402</v>
      </c>
      <c r="D114" s="75" t="s">
        <v>3514</v>
      </c>
      <c r="E114" s="76" t="s">
        <v>3480</v>
      </c>
      <c r="F114" s="75" t="s">
        <v>2771</v>
      </c>
      <c r="G114" s="75" t="str">
        <f>HYPERLINK(".\links\Sigp\EEC12044.1-SigP.txt","CYT")</f>
        <v>CYT</v>
      </c>
      <c r="H114" s="75" t="s">
        <v>2772</v>
      </c>
      <c r="I114" s="75">
        <v>46.64</v>
      </c>
      <c r="J114" s="75">
        <v>6.58</v>
      </c>
      <c r="K114" s="75" t="s">
        <v>2772</v>
      </c>
      <c r="L114" s="75" t="s">
        <v>2772</v>
      </c>
      <c r="M114" s="75" t="str">
        <f>HYPERLINK(".\links\netoglyc\EEC12044.1-netoglyc.txt","6")</f>
        <v>6</v>
      </c>
      <c r="N114" s="75" t="s">
        <v>2971</v>
      </c>
      <c r="O114" s="75">
        <v>402</v>
      </c>
      <c r="P114" s="75">
        <v>0</v>
      </c>
      <c r="Q114" s="75" t="s">
        <v>2772</v>
      </c>
      <c r="R114" s="75" t="s">
        <v>2772</v>
      </c>
      <c r="S114" s="75" t="s">
        <v>2772</v>
      </c>
      <c r="T114" s="75" t="s">
        <v>2772</v>
      </c>
      <c r="U114" s="75" t="s">
        <v>2772</v>
      </c>
      <c r="V114" s="75" t="s">
        <v>2772</v>
      </c>
      <c r="W114" s="75">
        <v>13.7</v>
      </c>
      <c r="X114" s="75">
        <v>5.6</v>
      </c>
      <c r="Y114" s="75">
        <v>7.6</v>
      </c>
      <c r="Z114" s="75" t="s">
        <v>2774</v>
      </c>
      <c r="AA114" s="77">
        <v>13.4328358208955</v>
      </c>
      <c r="AB114" s="75">
        <v>0.28000000000000003</v>
      </c>
      <c r="AD114" s="75">
        <v>1</v>
      </c>
      <c r="AE114" s="75" t="str">
        <f>HYPERLINK(".\links\pep\EEC12044.1-sulf.txt","3")</f>
        <v>3</v>
      </c>
      <c r="AF114" s="75" t="str">
        <f>HYPERLINK(".\links\pep\EEC12044.1-tyr-sulf.txt","Fasta with y")</f>
        <v>Fasta with y</v>
      </c>
      <c r="AG114" s="75" t="s">
        <v>2772</v>
      </c>
      <c r="AH114" s="75" t="s">
        <v>2772</v>
      </c>
      <c r="AI114" s="75">
        <v>1</v>
      </c>
      <c r="AJ114" s="75">
        <v>2</v>
      </c>
      <c r="AK114" s="75" t="s">
        <v>2772</v>
      </c>
      <c r="AL114" s="75" t="s">
        <v>2772</v>
      </c>
      <c r="AM114" s="75" t="s">
        <v>2772</v>
      </c>
      <c r="AN114" s="75" t="s">
        <v>2772</v>
      </c>
      <c r="AO114" s="78" t="str">
        <f>HYPERLINK(".\links\AAM-CEMENT-2018\EEC12044.1-AAM-CEMENT-2018.txt","Extracted CDS")</f>
        <v>Extracted CDS</v>
      </c>
      <c r="AP114" s="75" t="str">
        <f>HYPERLINK("http://www.ncbi.nlm.nih.gov/sutils/blink.cgi?pid=Aam-664","0.30")</f>
        <v>0.30</v>
      </c>
      <c r="AQ114" s="75" t="str">
        <f>HYPERLINK("http://www.ncbi.nlm.nih.gov/protein/Aam-664","Aam-664")</f>
        <v>Aam-664</v>
      </c>
      <c r="AR114" s="75">
        <v>25.8</v>
      </c>
      <c r="AS114" s="75">
        <v>29</v>
      </c>
      <c r="AT114" s="75">
        <v>303</v>
      </c>
      <c r="AU114" s="75">
        <v>37</v>
      </c>
      <c r="AV114" s="75">
        <v>55</v>
      </c>
      <c r="AW114" s="75">
        <v>10</v>
      </c>
      <c r="AX114" s="75">
        <v>18</v>
      </c>
      <c r="AY114" s="75">
        <v>0</v>
      </c>
      <c r="AZ114" s="75">
        <v>121</v>
      </c>
      <c r="BA114" s="75">
        <v>305</v>
      </c>
      <c r="BB114" s="75">
        <v>1</v>
      </c>
      <c r="BC114" s="75" t="s">
        <v>2775</v>
      </c>
      <c r="BD114" s="78" t="str">
        <f>HYPERLINK(".\links\CDD\EEC12044.1-CDD.txt","SH3_Sorbs_3 Third")</f>
        <v>SH3_Sorbs_3 Third</v>
      </c>
      <c r="BE114" s="79">
        <v>3E-34</v>
      </c>
      <c r="BF114" s="75">
        <v>100</v>
      </c>
      <c r="BG114" s="75" t="s">
        <v>3515</v>
      </c>
      <c r="BH114" s="75" t="s">
        <v>3516</v>
      </c>
      <c r="BI114" s="75" t="str">
        <f>HYPERLINK(".\links\KOG\EEC12044.1-KOG.txt","CDD:225047 COG2136, IMP4, Predicted exosome subunit/U3 small nucleolar ribonucleoprotein")</f>
        <v>CDD:225047 COG2136, IMP4, Predicted exosome subunit/U3 small nucleolar ribonucleoprotein</v>
      </c>
      <c r="BJ114" s="75">
        <v>1.4999999999999999E-2</v>
      </c>
      <c r="BK114" s="75">
        <v>40.299999999999997</v>
      </c>
      <c r="BL114" s="75" t="s">
        <v>3517</v>
      </c>
      <c r="BM114" s="75" t="s">
        <v>2779</v>
      </c>
      <c r="BN114" s="78" t="str">
        <f>HYPERLINK(".\links\PFAM\EEC12044.1-PFAM.txt","SH3_9 Variant SH3 domain")</f>
        <v>SH3_9 Variant SH3 domain</v>
      </c>
      <c r="BO114" s="79">
        <v>8.9999999999999995E-14</v>
      </c>
      <c r="BP114" s="75">
        <v>104.1</v>
      </c>
      <c r="BQ114" s="75" t="s">
        <v>3518</v>
      </c>
      <c r="BR114" s="75" t="s">
        <v>2772</v>
      </c>
      <c r="BS114" s="78" t="str">
        <f>HYPERLINK(".\links\SMART\EEC12044.1-SMART.txt","CDD:214620 smart00326, SH3, Src homology 3 domains")</f>
        <v>CDD:214620 smart00326, SH3, Src homology 3 domains</v>
      </c>
      <c r="BT114" s="79">
        <v>6.9999999999999997E-18</v>
      </c>
      <c r="BU114" s="75">
        <v>94.6</v>
      </c>
      <c r="BV114" s="75" t="s">
        <v>3504</v>
      </c>
      <c r="BW114" s="75" t="s">
        <v>2772</v>
      </c>
      <c r="BX114" s="78" t="str">
        <f>HYPERLINK(".\links\TSF\EEC12044.1-TSF.txt","55-1170 55-1170, G protein-coupled receptors||H|GPI")</f>
        <v>55-1170 55-1170, G protein-coupled receptors||H|GPI</v>
      </c>
      <c r="BY114" s="75">
        <v>0.32</v>
      </c>
      <c r="BZ114" s="75">
        <v>28.4</v>
      </c>
      <c r="CA114" s="75" t="s">
        <v>3519</v>
      </c>
      <c r="CB114" s="75" t="s">
        <v>3520</v>
      </c>
      <c r="CC114" s="75" t="s">
        <v>2772</v>
      </c>
      <c r="CD114" s="75" t="s">
        <v>2808</v>
      </c>
      <c r="CE114" s="75" t="s">
        <v>3521</v>
      </c>
      <c r="CF114" s="75">
        <v>46</v>
      </c>
      <c r="CG114" s="75">
        <v>1</v>
      </c>
      <c r="CH114" s="75">
        <v>54</v>
      </c>
      <c r="CI114" s="75">
        <v>1</v>
      </c>
      <c r="CJ114" s="75">
        <v>55</v>
      </c>
      <c r="CK114" s="75">
        <v>1</v>
      </c>
      <c r="CL114" s="75">
        <v>59</v>
      </c>
      <c r="CM114" s="75">
        <v>1</v>
      </c>
      <c r="CN114" s="75">
        <v>62</v>
      </c>
      <c r="CO114" s="75">
        <v>1</v>
      </c>
      <c r="CP114" s="75">
        <v>64</v>
      </c>
      <c r="CQ114" s="75">
        <v>1</v>
      </c>
      <c r="CR114" s="75">
        <v>65</v>
      </c>
      <c r="CS114" s="75">
        <v>1</v>
      </c>
      <c r="CT114" s="75">
        <v>69</v>
      </c>
      <c r="CU114" s="75">
        <v>1</v>
      </c>
      <c r="CV114" s="75">
        <v>72</v>
      </c>
      <c r="CW114" s="75">
        <v>1</v>
      </c>
      <c r="CX114" s="75">
        <v>76</v>
      </c>
      <c r="CY114" s="75">
        <v>1</v>
      </c>
      <c r="CZ114" s="75">
        <v>78</v>
      </c>
      <c r="DA114" s="75">
        <v>1</v>
      </c>
      <c r="DB114" s="75">
        <v>84</v>
      </c>
      <c r="DC114" s="75">
        <v>1</v>
      </c>
      <c r="DD114" s="75">
        <v>87</v>
      </c>
      <c r="DE114" s="75">
        <v>1</v>
      </c>
      <c r="DF114" s="75">
        <v>89</v>
      </c>
      <c r="DG114" s="75">
        <v>1</v>
      </c>
      <c r="DH114" s="75">
        <v>90</v>
      </c>
      <c r="DI114" s="75">
        <v>1</v>
      </c>
      <c r="DJ114" s="75" t="s">
        <v>12</v>
      </c>
      <c r="DK114" s="75" t="str">
        <f>HYPERLINK(".\links\AAM-CEMENT-2018\EEC12044.1-AAM-CEMENT-2018.txt","Extracted CDS")</f>
        <v>Extracted CDS</v>
      </c>
      <c r="DL114" s="75" t="str">
        <f>HYPERLINK("http://www.ncbi.nlm.nih.gov/sutils/blink.cgi?pid=Aam-664","0.30")</f>
        <v>0.30</v>
      </c>
      <c r="DM114" s="75" t="str">
        <f>HYPERLINK("http://www.ncbi.nlm.nih.gov/protein/Aam-664","Aam-664")</f>
        <v>Aam-664</v>
      </c>
      <c r="DN114" s="75">
        <v>25.8</v>
      </c>
      <c r="DO114" s="75">
        <v>29</v>
      </c>
      <c r="DP114" s="75">
        <v>303</v>
      </c>
      <c r="DQ114" s="75">
        <v>37</v>
      </c>
      <c r="DR114" s="75">
        <v>55</v>
      </c>
      <c r="DS114" s="75">
        <v>10</v>
      </c>
      <c r="DT114" s="75">
        <v>18</v>
      </c>
      <c r="DU114" s="75">
        <v>0</v>
      </c>
      <c r="DV114" s="75">
        <v>121</v>
      </c>
      <c r="DW114" s="75">
        <v>305</v>
      </c>
      <c r="DX114" s="75">
        <v>1</v>
      </c>
      <c r="DY114" s="75" t="s">
        <v>2775</v>
      </c>
      <c r="DZ114" s="75" t="str">
        <f>HYPERLINK(".\links\CDD\EEC12044.1-CDD.txt","SH3_Sorbs_3 Third")</f>
        <v>SH3_Sorbs_3 Third</v>
      </c>
      <c r="EA114" s="79">
        <v>3E-34</v>
      </c>
      <c r="EB114" s="75">
        <v>100</v>
      </c>
      <c r="EC114" s="75" t="s">
        <v>3515</v>
      </c>
      <c r="ED114" s="75" t="s">
        <v>3516</v>
      </c>
      <c r="EE114" s="75" t="str">
        <f>HYPERLINK(".\links\KOG\EEC12044.1-KOG.txt","CDD:225047 COG2136, IMP4, Predicted exosome subunit/U3 small nucleolar ribonucleoprotein")</f>
        <v>CDD:225047 COG2136, IMP4, Predicted exosome subunit/U3 small nucleolar ribonucleoprotein</v>
      </c>
      <c r="EF114" s="75">
        <v>1.4999999999999999E-2</v>
      </c>
      <c r="EG114" s="75">
        <v>40.299999999999997</v>
      </c>
      <c r="EH114" s="75" t="s">
        <v>3517</v>
      </c>
      <c r="EI114" s="75" t="s">
        <v>2779</v>
      </c>
      <c r="EJ114" s="75" t="str">
        <f>HYPERLINK(".\links\PFAM\EEC12044.1-PFAM.txt","SH3_9 Variant SH3 domain")</f>
        <v>SH3_9 Variant SH3 domain</v>
      </c>
      <c r="EK114" s="79">
        <v>8.9999999999999995E-14</v>
      </c>
      <c r="EL114" s="75">
        <v>104.1</v>
      </c>
      <c r="EM114" s="75" t="s">
        <v>3518</v>
      </c>
      <c r="EN114" s="75" t="s">
        <v>2772</v>
      </c>
      <c r="EO114" s="75" t="str">
        <f>HYPERLINK(".\links\SMART\EEC12044.1-SMART.txt","CDD:214620 smart00326, SH3, Src homology 3 domains")</f>
        <v>CDD:214620 smart00326, SH3, Src homology 3 domains</v>
      </c>
      <c r="EP114" s="79">
        <v>6.9999999999999997E-18</v>
      </c>
      <c r="EQ114" s="75">
        <v>94.6</v>
      </c>
      <c r="ER114" s="75" t="s">
        <v>3504</v>
      </c>
      <c r="ES114" s="75" t="s">
        <v>2772</v>
      </c>
      <c r="ET114" s="75" t="str">
        <f>HYPERLINK(".\links\TSF\EEC12044.1-TSF.txt","55-1170 55-1170, G protein-coupled receptors||H|GPI")</f>
        <v>55-1170 55-1170, G protein-coupled receptors||H|GPI</v>
      </c>
      <c r="EU114" s="75">
        <v>0.32</v>
      </c>
      <c r="EV114" s="75">
        <v>28.4</v>
      </c>
      <c r="EW114" s="75" t="s">
        <v>3519</v>
      </c>
      <c r="EX114" s="75" t="s">
        <v>3520</v>
      </c>
      <c r="EY114" s="75" t="s">
        <v>2772</v>
      </c>
      <c r="EZ114" s="75" t="s">
        <v>2808</v>
      </c>
      <c r="FA114" s="75" t="s">
        <v>3521</v>
      </c>
    </row>
    <row r="115" spans="1:157" x14ac:dyDescent="0.2">
      <c r="A115" s="75" t="str">
        <f>HYPERLINK(".\links\PEP\EEC18671.1-PEP.txt","EEC18671.1")</f>
        <v>EEC18671.1</v>
      </c>
      <c r="B115" s="75" t="s">
        <v>2627</v>
      </c>
      <c r="C115" s="75">
        <v>384</v>
      </c>
      <c r="D115" s="75" t="s">
        <v>3522</v>
      </c>
      <c r="E115" s="75" t="s">
        <v>3480</v>
      </c>
      <c r="F115" s="75" t="s">
        <v>2771</v>
      </c>
      <c r="G115" s="75" t="str">
        <f>HYPERLINK(".\links\Sigp\EEC18671.1-SigP.txt","CYT")</f>
        <v>CYT</v>
      </c>
      <c r="H115" s="75" t="s">
        <v>2772</v>
      </c>
      <c r="I115" s="75">
        <v>43.706000000000003</v>
      </c>
      <c r="J115" s="75">
        <v>8.1300000000000008</v>
      </c>
      <c r="K115" s="75" t="s">
        <v>2772</v>
      </c>
      <c r="L115" s="75" t="s">
        <v>2772</v>
      </c>
      <c r="M115" s="75" t="str">
        <f>HYPERLINK(".\links\netoglyc\EEC18671.1-netoglyc.txt","1")</f>
        <v>1</v>
      </c>
      <c r="N115" s="75" t="s">
        <v>2817</v>
      </c>
      <c r="O115" s="75">
        <v>384</v>
      </c>
      <c r="P115" s="75">
        <v>0</v>
      </c>
      <c r="Q115" s="75" t="s">
        <v>2772</v>
      </c>
      <c r="R115" s="75" t="s">
        <v>2772</v>
      </c>
      <c r="S115" s="75" t="s">
        <v>2772</v>
      </c>
      <c r="T115" s="75" t="s">
        <v>2772</v>
      </c>
      <c r="U115" s="75" t="s">
        <v>2772</v>
      </c>
      <c r="V115" s="75" t="s">
        <v>3523</v>
      </c>
      <c r="W115" s="75">
        <v>11.5</v>
      </c>
      <c r="X115" s="75">
        <v>6.9</v>
      </c>
      <c r="Y115" s="75">
        <v>6.1</v>
      </c>
      <c r="Z115" s="75" t="s">
        <v>2774</v>
      </c>
      <c r="AA115" s="77">
        <v>13.28125</v>
      </c>
      <c r="AB115" s="75">
        <v>0.26</v>
      </c>
      <c r="AC115" s="75" t="s">
        <v>3524</v>
      </c>
      <c r="AD115" s="75">
        <v>24</v>
      </c>
      <c r="AE115" s="75" t="s">
        <v>2772</v>
      </c>
      <c r="AF115" s="75" t="s">
        <v>2772</v>
      </c>
      <c r="AG115" s="75" t="s">
        <v>2772</v>
      </c>
      <c r="AH115" s="75" t="s">
        <v>2772</v>
      </c>
      <c r="AI115" s="75" t="s">
        <v>2772</v>
      </c>
      <c r="AJ115" s="75" t="s">
        <v>2772</v>
      </c>
      <c r="AK115" s="75" t="s">
        <v>2772</v>
      </c>
      <c r="AL115" s="75" t="s">
        <v>2772</v>
      </c>
      <c r="AM115" s="75" t="s">
        <v>2772</v>
      </c>
      <c r="AN115" s="75" t="s">
        <v>2772</v>
      </c>
      <c r="AO115" s="78" t="str">
        <f>HYPERLINK(".\links\AAM-CEMENT-2018\EEC18671.1-AAM-CEMENT-2018.txt","Extracted CDS")</f>
        <v>Extracted CDS</v>
      </c>
      <c r="AP115" s="75" t="str">
        <f>HYPERLINK("http://www.ncbi.nlm.nih.gov/sutils/blink.cgi?pid=Aam-177915","8.4")</f>
        <v>8.4</v>
      </c>
      <c r="AQ115" s="75" t="str">
        <f>HYPERLINK("http://www.ncbi.nlm.nih.gov/protein/Aam-177915","Aam-177915")</f>
        <v>Aam-177915</v>
      </c>
      <c r="AR115" s="75">
        <v>20.8</v>
      </c>
      <c r="AS115" s="75">
        <v>25</v>
      </c>
      <c r="AT115" s="75">
        <v>206</v>
      </c>
      <c r="AU115" s="75">
        <v>32</v>
      </c>
      <c r="AV115" s="75">
        <v>48</v>
      </c>
      <c r="AW115" s="75">
        <v>12</v>
      </c>
      <c r="AX115" s="75">
        <v>17</v>
      </c>
      <c r="AY115" s="75">
        <v>0</v>
      </c>
      <c r="AZ115" s="75">
        <v>170</v>
      </c>
      <c r="BA115" s="75">
        <v>182</v>
      </c>
      <c r="BB115" s="75">
        <v>1</v>
      </c>
      <c r="BC115" s="75" t="s">
        <v>2775</v>
      </c>
      <c r="BD115" s="78" t="str">
        <f>HYPERLINK(".\links\CDD\EEC18671.1-CDD.txt","RING-HC_MKRN1_3 RING finger HC subclass found in makorin-1")</f>
        <v>RING-HC_MKRN1_3 RING finger HC subclass found in makorin-1</v>
      </c>
      <c r="BE115" s="79">
        <v>5.0000000000000002E-27</v>
      </c>
      <c r="BF115" s="75">
        <v>100</v>
      </c>
      <c r="BG115" s="75" t="s">
        <v>3525</v>
      </c>
      <c r="BH115" s="75" t="s">
        <v>3526</v>
      </c>
      <c r="BI115" s="75" t="str">
        <f>HYPERLINK(".\links\KOG\EEC18671.1-KOG.txt","CDD:227416 COG5084, YTH1, Cleavage and polyadenylation specificity factor")</f>
        <v>CDD:227416 COG5084, YTH1, Cleavage and polyadenylation specificity factor</v>
      </c>
      <c r="BJ115" s="79">
        <v>9.9999999999999995E-8</v>
      </c>
      <c r="BK115" s="75">
        <v>19.3</v>
      </c>
      <c r="BL115" s="75" t="s">
        <v>3527</v>
      </c>
      <c r="BM115" s="75" t="s">
        <v>2779</v>
      </c>
      <c r="BN115" s="78" t="str">
        <f>HYPERLINK(".\links\PFAM\EEC18671.1-PFAM.txt","zf-CCCH_3 Zinc-finger containing family")</f>
        <v>zf-CCCH_3 Zinc-finger containing family</v>
      </c>
      <c r="BO115" s="79">
        <v>3.9999999999999998E-6</v>
      </c>
      <c r="BP115" s="75">
        <v>44.5</v>
      </c>
      <c r="BQ115" s="75" t="s">
        <v>3528</v>
      </c>
      <c r="BR115" s="75" t="s">
        <v>2772</v>
      </c>
      <c r="BS115" s="78" t="str">
        <f>HYPERLINK(".\links\SMART\EEC18671.1-SMART.txt","CDD:214632 smart00356, ZnF_C3H1, zinc finger")</f>
        <v>CDD:214632 smart00356, ZnF_C3H1, zinc finger</v>
      </c>
      <c r="BT115" s="79">
        <v>6.0000000000000002E-6</v>
      </c>
      <c r="BU115" s="75">
        <v>92.6</v>
      </c>
      <c r="BV115" s="75" t="s">
        <v>3529</v>
      </c>
      <c r="BW115" s="75" t="s">
        <v>2772</v>
      </c>
      <c r="BX115" s="78" t="str">
        <f>HYPERLINK(".\links\TSF\EEC18671.1-TSF.txt","30-577 30-577, E3 ubiquitin ligase||H|E")</f>
        <v>30-577 30-577, E3 ubiquitin ligase||H|E</v>
      </c>
      <c r="BY115" s="75">
        <v>1.0999999999999999E-2</v>
      </c>
      <c r="BZ115" s="75">
        <v>20.6</v>
      </c>
      <c r="CA115" s="75" t="s">
        <v>3530</v>
      </c>
      <c r="CB115" s="75" t="s">
        <v>3531</v>
      </c>
      <c r="CC115" s="75" t="s">
        <v>2772</v>
      </c>
      <c r="CD115" s="75" t="s">
        <v>2808</v>
      </c>
      <c r="CE115" s="75" t="s">
        <v>3532</v>
      </c>
      <c r="CF115" s="75">
        <v>69</v>
      </c>
      <c r="CG115" s="75">
        <v>1</v>
      </c>
      <c r="CH115" s="75">
        <v>80</v>
      </c>
      <c r="CI115" s="75">
        <v>1</v>
      </c>
      <c r="CJ115" s="75">
        <v>82</v>
      </c>
      <c r="CK115" s="75">
        <v>1</v>
      </c>
      <c r="CL115" s="75">
        <v>86</v>
      </c>
      <c r="CM115" s="75">
        <v>1</v>
      </c>
      <c r="CN115" s="75">
        <v>90</v>
      </c>
      <c r="CO115" s="75">
        <v>1</v>
      </c>
      <c r="CP115" s="75">
        <v>92</v>
      </c>
      <c r="CQ115" s="75">
        <v>1</v>
      </c>
      <c r="CR115" s="75">
        <v>93</v>
      </c>
      <c r="CS115" s="75">
        <v>1</v>
      </c>
      <c r="CT115" s="75">
        <v>97</v>
      </c>
      <c r="CU115" s="75">
        <v>1</v>
      </c>
      <c r="CV115" s="75">
        <v>100</v>
      </c>
      <c r="CW115" s="75">
        <v>1</v>
      </c>
      <c r="CX115" s="75">
        <v>104</v>
      </c>
      <c r="CY115" s="75">
        <v>1</v>
      </c>
      <c r="CZ115" s="75">
        <v>107</v>
      </c>
      <c r="DA115" s="75">
        <v>1</v>
      </c>
      <c r="DB115" s="75">
        <v>113</v>
      </c>
      <c r="DC115" s="75">
        <v>1</v>
      </c>
      <c r="DD115" s="75">
        <v>117</v>
      </c>
      <c r="DE115" s="75">
        <v>1</v>
      </c>
      <c r="DF115" s="75">
        <v>119</v>
      </c>
      <c r="DG115" s="75">
        <v>1</v>
      </c>
      <c r="DH115" s="75">
        <v>120</v>
      </c>
      <c r="DI115" s="75">
        <v>1</v>
      </c>
      <c r="DJ115" s="75" t="s">
        <v>74</v>
      </c>
      <c r="DK115" s="75" t="str">
        <f>HYPERLINK(".\links\AAM-CEMENT-2018\EEC18671.1-AAM-CEMENT-2018.txt","Extracted CDS")</f>
        <v>Extracted CDS</v>
      </c>
      <c r="DL115" s="75" t="str">
        <f>HYPERLINK("http://www.ncbi.nlm.nih.gov/sutils/blink.cgi?pid=Aam-177915","8.4")</f>
        <v>8.4</v>
      </c>
      <c r="DM115" s="75" t="str">
        <f>HYPERLINK("http://www.ncbi.nlm.nih.gov/protein/Aam-177915","Aam-177915")</f>
        <v>Aam-177915</v>
      </c>
      <c r="DN115" s="75">
        <v>20.8</v>
      </c>
      <c r="DO115" s="75">
        <v>25</v>
      </c>
      <c r="DP115" s="75">
        <v>206</v>
      </c>
      <c r="DQ115" s="75">
        <v>32</v>
      </c>
      <c r="DR115" s="75">
        <v>48</v>
      </c>
      <c r="DS115" s="75">
        <v>12</v>
      </c>
      <c r="DT115" s="75">
        <v>17</v>
      </c>
      <c r="DU115" s="75">
        <v>0</v>
      </c>
      <c r="DV115" s="75">
        <v>170</v>
      </c>
      <c r="DW115" s="75">
        <v>182</v>
      </c>
      <c r="DX115" s="75">
        <v>1</v>
      </c>
      <c r="DY115" s="75" t="s">
        <v>2775</v>
      </c>
      <c r="DZ115" s="75" t="str">
        <f>HYPERLINK(".\links\CDD\EEC18671.1-CDD.txt","RING-HC_MKRN1_3 RING finger HC subclass found in makorin-1")</f>
        <v>RING-HC_MKRN1_3 RING finger HC subclass found in makorin-1</v>
      </c>
      <c r="EA115" s="79">
        <v>5.0000000000000002E-27</v>
      </c>
      <c r="EB115" s="75">
        <v>100</v>
      </c>
      <c r="EC115" s="75" t="s">
        <v>3525</v>
      </c>
      <c r="ED115" s="75" t="s">
        <v>3526</v>
      </c>
      <c r="EE115" s="75" t="str">
        <f>HYPERLINK(".\links\KOG\EEC18671.1-KOG.txt","CDD:227416 COG5084, YTH1, Cleavage and polyadenylation specificity factor")</f>
        <v>CDD:227416 COG5084, YTH1, Cleavage and polyadenylation specificity factor</v>
      </c>
      <c r="EF115" s="79">
        <v>9.9999999999999995E-8</v>
      </c>
      <c r="EG115" s="75">
        <v>19.3</v>
      </c>
      <c r="EH115" s="75" t="s">
        <v>3527</v>
      </c>
      <c r="EI115" s="75" t="s">
        <v>2779</v>
      </c>
      <c r="EJ115" s="75" t="str">
        <f>HYPERLINK(".\links\PFAM\EEC18671.1-PFAM.txt","zf-CCCH_3 Zinc-finger containing family")</f>
        <v>zf-CCCH_3 Zinc-finger containing family</v>
      </c>
      <c r="EK115" s="79">
        <v>3.9999999999999998E-6</v>
      </c>
      <c r="EL115" s="75">
        <v>44.5</v>
      </c>
      <c r="EM115" s="75" t="s">
        <v>3528</v>
      </c>
      <c r="EN115" s="75" t="s">
        <v>2772</v>
      </c>
      <c r="EO115" s="75" t="str">
        <f>HYPERLINK(".\links\SMART\EEC18671.1-SMART.txt","CDD:214632 smart00356, ZnF_C3H1, zinc finger")</f>
        <v>CDD:214632 smart00356, ZnF_C3H1, zinc finger</v>
      </c>
      <c r="EP115" s="79">
        <v>6.0000000000000002E-6</v>
      </c>
      <c r="EQ115" s="75">
        <v>92.6</v>
      </c>
      <c r="ER115" s="75" t="s">
        <v>3529</v>
      </c>
      <c r="ES115" s="75" t="s">
        <v>2772</v>
      </c>
      <c r="ET115" s="75" t="str">
        <f>HYPERLINK(".\links\TSF\EEC18671.1-TSF.txt","30-577 30-577, E3 ubiquitin ligase||H|E")</f>
        <v>30-577 30-577, E3 ubiquitin ligase||H|E</v>
      </c>
      <c r="EU115" s="75">
        <v>1.0999999999999999E-2</v>
      </c>
      <c r="EV115" s="75">
        <v>20.6</v>
      </c>
      <c r="EW115" s="75" t="s">
        <v>3530</v>
      </c>
      <c r="EX115" s="75" t="s">
        <v>3531</v>
      </c>
      <c r="EY115" s="75" t="s">
        <v>2772</v>
      </c>
      <c r="EZ115" s="75" t="s">
        <v>2808</v>
      </c>
      <c r="FA115" s="75" t="s">
        <v>3532</v>
      </c>
    </row>
    <row r="116" spans="1:157" x14ac:dyDescent="0.2">
      <c r="A116" s="75" t="str">
        <f>HYPERLINK(".\links\PEP\EEC14737.1-PEP.txt","EEC14737.1")</f>
        <v>EEC14737.1</v>
      </c>
      <c r="B116" s="75" t="s">
        <v>2768</v>
      </c>
      <c r="C116" s="75">
        <v>616</v>
      </c>
      <c r="D116" s="75" t="s">
        <v>3533</v>
      </c>
      <c r="E116" s="76" t="s">
        <v>3480</v>
      </c>
      <c r="F116" s="75" t="s">
        <v>2771</v>
      </c>
      <c r="G116" s="75" t="str">
        <f>HYPERLINK(".\links\Sigp\EEC14737.1-SigP.txt","CYT")</f>
        <v>CYT</v>
      </c>
      <c r="H116" s="75" t="s">
        <v>2772</v>
      </c>
      <c r="I116" s="75">
        <v>68.247</v>
      </c>
      <c r="J116" s="75">
        <v>9.86</v>
      </c>
      <c r="K116" s="75" t="s">
        <v>2772</v>
      </c>
      <c r="L116" s="75" t="s">
        <v>2772</v>
      </c>
      <c r="M116" s="75" t="str">
        <f>HYPERLINK(".\links\netoglyc\EEC14737.1-netoglyc.txt","10")</f>
        <v>10</v>
      </c>
      <c r="N116" s="75" t="s">
        <v>2971</v>
      </c>
      <c r="O116" s="75">
        <v>616</v>
      </c>
      <c r="P116" s="75">
        <v>0</v>
      </c>
      <c r="Q116" s="75" t="s">
        <v>2772</v>
      </c>
      <c r="R116" s="75" t="s">
        <v>2772</v>
      </c>
      <c r="S116" s="75" t="s">
        <v>2772</v>
      </c>
      <c r="T116" s="75" t="s">
        <v>2772</v>
      </c>
      <c r="U116" s="75" t="s">
        <v>2772</v>
      </c>
      <c r="V116" s="75" t="s">
        <v>3534</v>
      </c>
      <c r="W116" s="75">
        <v>12.8</v>
      </c>
      <c r="X116" s="75">
        <v>6.7</v>
      </c>
      <c r="Y116" s="75">
        <v>10.5</v>
      </c>
      <c r="Z116" s="75" t="s">
        <v>2774</v>
      </c>
      <c r="AA116" s="77">
        <v>17.5324675324675</v>
      </c>
      <c r="AB116" s="75">
        <v>0.4</v>
      </c>
      <c r="AD116" s="75">
        <v>27</v>
      </c>
      <c r="AE116" s="75" t="s">
        <v>2772</v>
      </c>
      <c r="AF116" s="75" t="s">
        <v>2772</v>
      </c>
      <c r="AG116" s="75" t="s">
        <v>2772</v>
      </c>
      <c r="AH116" s="75">
        <v>2</v>
      </c>
      <c r="AI116" s="75">
        <v>1</v>
      </c>
      <c r="AJ116" s="75">
        <v>2</v>
      </c>
      <c r="AK116" s="75" t="s">
        <v>2772</v>
      </c>
      <c r="AL116" s="75" t="s">
        <v>2772</v>
      </c>
      <c r="AM116" s="75" t="s">
        <v>2772</v>
      </c>
      <c r="AN116" s="75" t="s">
        <v>2772</v>
      </c>
      <c r="AO116" s="78" t="str">
        <f>HYPERLINK(".\links\AAM-CEMENT-2018\EEC14737.1-AAM-CEMENT-2018.txt","Extracted CDS")</f>
        <v>Extracted CDS</v>
      </c>
      <c r="AP116" s="75" t="str">
        <f>HYPERLINK("http://www.ncbi.nlm.nih.gov/sutils/blink.cgi?pid=Aam-179046","1.6")</f>
        <v>1.6</v>
      </c>
      <c r="AQ116" s="75" t="str">
        <f>HYPERLINK("http://www.ncbi.nlm.nih.gov/protein/Aam-179046","Aam-179046")</f>
        <v>Aam-179046</v>
      </c>
      <c r="AR116" s="75">
        <v>24.3</v>
      </c>
      <c r="AS116" s="75">
        <v>73</v>
      </c>
      <c r="AT116" s="75">
        <v>470</v>
      </c>
      <c r="AU116" s="75">
        <v>24</v>
      </c>
      <c r="AV116" s="75">
        <v>38</v>
      </c>
      <c r="AW116" s="75">
        <v>16</v>
      </c>
      <c r="AX116" s="75">
        <v>55</v>
      </c>
      <c r="AY116" s="75">
        <v>13</v>
      </c>
      <c r="AZ116" s="75">
        <v>242</v>
      </c>
      <c r="BA116" s="75">
        <v>240</v>
      </c>
      <c r="BB116" s="75">
        <v>1</v>
      </c>
      <c r="BC116" s="75" t="s">
        <v>2775</v>
      </c>
      <c r="BD116" s="78" t="str">
        <f>HYPERLINK(".\links\CDD\EEC14737.1-CDD.txt","ZF_C2H2 Zinc finger C2H2 type")</f>
        <v>ZF_C2H2 Zinc finger C2H2 type</v>
      </c>
      <c r="BE116" s="79">
        <v>7.9999999999999994E-34</v>
      </c>
      <c r="BF116" s="75">
        <v>100</v>
      </c>
      <c r="BG116" s="75" t="s">
        <v>3535</v>
      </c>
      <c r="BH116" s="75" t="s">
        <v>3536</v>
      </c>
      <c r="BI116" s="75" t="str">
        <f>HYPERLINK(".\links\KOG\EEC14737.1-KOG.txt","CDD:227381 COG5048, COG5048, FOG: Zn-finger")</f>
        <v>CDD:227381 COG5048, COG5048, FOG: Zn-finger</v>
      </c>
      <c r="BJ116" s="79">
        <v>3.9999999999999998E-6</v>
      </c>
      <c r="BK116" s="75">
        <v>11.8</v>
      </c>
      <c r="BL116" s="75" t="s">
        <v>3537</v>
      </c>
      <c r="BM116" s="75" t="s">
        <v>2779</v>
      </c>
      <c r="BN116" s="78" t="str">
        <f>HYPERLINK(".\links\PFAM\EEC14737.1-PFAM.txt","zf-H2C2_2 Zinc-finger double domain")</f>
        <v>zf-H2C2_2 Zinc-finger double domain</v>
      </c>
      <c r="BO116" s="79">
        <v>3.0000000000000001E-6</v>
      </c>
      <c r="BP116" s="75">
        <v>96.2</v>
      </c>
      <c r="BQ116" s="75" t="s">
        <v>3538</v>
      </c>
      <c r="BR116" s="75" t="s">
        <v>2772</v>
      </c>
      <c r="BS116" s="78" t="str">
        <f>HYPERLINK(".\links\SMART\EEC14737.1-SMART.txt","CDD:197676 smart00355, ZnF_C2H2, zinc finger")</f>
        <v>CDD:197676 smart00355, ZnF_C2H2, zinc finger</v>
      </c>
      <c r="BT116" s="79">
        <v>3.0000000000000001E-5</v>
      </c>
      <c r="BU116" s="75">
        <v>100</v>
      </c>
      <c r="BV116" s="75" t="s">
        <v>3539</v>
      </c>
      <c r="BW116" s="75" t="s">
        <v>2772</v>
      </c>
      <c r="BX116" s="78" t="str">
        <f>HYPERLINK(".\links\TSF\EEC14737.1-TSF.txt","30-44 30-44, ZincFinger||H|")</f>
        <v>30-44 30-44, ZincFinger||H|</v>
      </c>
      <c r="BY116" s="79">
        <v>7.9999999999999995E-36</v>
      </c>
      <c r="BZ116" s="75">
        <v>113.2</v>
      </c>
      <c r="CA116" s="75" t="s">
        <v>3540</v>
      </c>
      <c r="CB116" s="75" t="s">
        <v>3541</v>
      </c>
      <c r="CC116" s="75" t="s">
        <v>2772</v>
      </c>
      <c r="CD116" s="75" t="s">
        <v>2808</v>
      </c>
      <c r="CE116" s="75" t="s">
        <v>3542</v>
      </c>
      <c r="CF116" s="75">
        <v>60</v>
      </c>
      <c r="CG116" s="75">
        <v>1</v>
      </c>
      <c r="CH116" s="75">
        <v>70</v>
      </c>
      <c r="CI116" s="75">
        <v>1</v>
      </c>
      <c r="CJ116" s="75">
        <v>71</v>
      </c>
      <c r="CK116" s="75">
        <v>1</v>
      </c>
      <c r="CL116" s="75">
        <v>75</v>
      </c>
      <c r="CM116" s="75">
        <v>1</v>
      </c>
      <c r="CN116" s="75">
        <v>79</v>
      </c>
      <c r="CO116" s="75">
        <v>1</v>
      </c>
      <c r="CP116" s="75">
        <v>81</v>
      </c>
      <c r="CQ116" s="75">
        <v>1</v>
      </c>
      <c r="CR116" s="75">
        <v>82</v>
      </c>
      <c r="CS116" s="75">
        <v>1</v>
      </c>
      <c r="CT116" s="75">
        <v>86</v>
      </c>
      <c r="CU116" s="75">
        <v>1</v>
      </c>
      <c r="CV116" s="75">
        <v>89</v>
      </c>
      <c r="CW116" s="75">
        <v>1</v>
      </c>
      <c r="CX116" s="75">
        <v>93</v>
      </c>
      <c r="CY116" s="75">
        <v>1</v>
      </c>
      <c r="CZ116" s="75">
        <v>95</v>
      </c>
      <c r="DA116" s="75">
        <v>1</v>
      </c>
      <c r="DB116" s="75">
        <v>101</v>
      </c>
      <c r="DC116" s="75">
        <v>1</v>
      </c>
      <c r="DD116" s="75">
        <v>104</v>
      </c>
      <c r="DE116" s="75">
        <v>1</v>
      </c>
      <c r="DF116" s="75">
        <v>106</v>
      </c>
      <c r="DG116" s="75">
        <v>1</v>
      </c>
      <c r="DH116" s="75">
        <v>107</v>
      </c>
      <c r="DI116" s="75">
        <v>1</v>
      </c>
      <c r="DJ116" s="75" t="s">
        <v>77</v>
      </c>
      <c r="DK116" s="75" t="str">
        <f>HYPERLINK(".\links\AAM-CEMENT-2018\EEC14737.1-AAM-CEMENT-2018.txt","Extracted CDS")</f>
        <v>Extracted CDS</v>
      </c>
      <c r="DL116" s="75" t="str">
        <f>HYPERLINK("http://www.ncbi.nlm.nih.gov/sutils/blink.cgi?pid=Aam-179046","1.6")</f>
        <v>1.6</v>
      </c>
      <c r="DM116" s="75" t="str">
        <f>HYPERLINK("http://www.ncbi.nlm.nih.gov/protein/Aam-179046","Aam-179046")</f>
        <v>Aam-179046</v>
      </c>
      <c r="DN116" s="75">
        <v>24.3</v>
      </c>
      <c r="DO116" s="75">
        <v>73</v>
      </c>
      <c r="DP116" s="75">
        <v>470</v>
      </c>
      <c r="DQ116" s="75">
        <v>24</v>
      </c>
      <c r="DR116" s="75">
        <v>38</v>
      </c>
      <c r="DS116" s="75">
        <v>16</v>
      </c>
      <c r="DT116" s="75">
        <v>55</v>
      </c>
      <c r="DU116" s="75">
        <v>13</v>
      </c>
      <c r="DV116" s="75">
        <v>242</v>
      </c>
      <c r="DW116" s="75">
        <v>240</v>
      </c>
      <c r="DX116" s="75">
        <v>1</v>
      </c>
      <c r="DY116" s="75" t="s">
        <v>2775</v>
      </c>
      <c r="DZ116" s="75" t="str">
        <f>HYPERLINK(".\links\CDD\EEC14737.1-CDD.txt","ZF_C2H2 Zinc finger C2H2 type")</f>
        <v>ZF_C2H2 Zinc finger C2H2 type</v>
      </c>
      <c r="EA116" s="79">
        <v>7.9999999999999994E-34</v>
      </c>
      <c r="EB116" s="75">
        <v>100</v>
      </c>
      <c r="EC116" s="75" t="s">
        <v>3535</v>
      </c>
      <c r="ED116" s="75" t="s">
        <v>3536</v>
      </c>
      <c r="EE116" s="75" t="str">
        <f>HYPERLINK(".\links\KOG\EEC14737.1-KOG.txt","CDD:227381 COG5048, COG5048, FOG: Zn-finger")</f>
        <v>CDD:227381 COG5048, COG5048, FOG: Zn-finger</v>
      </c>
      <c r="EF116" s="79">
        <v>3.9999999999999998E-6</v>
      </c>
      <c r="EG116" s="75">
        <v>11.8</v>
      </c>
      <c r="EH116" s="75" t="s">
        <v>3537</v>
      </c>
      <c r="EI116" s="75" t="s">
        <v>2779</v>
      </c>
      <c r="EJ116" s="75" t="str">
        <f>HYPERLINK(".\links\PFAM\EEC14737.1-PFAM.txt","zf-H2C2_2 Zinc-finger double domain")</f>
        <v>zf-H2C2_2 Zinc-finger double domain</v>
      </c>
      <c r="EK116" s="79">
        <v>3.0000000000000001E-6</v>
      </c>
      <c r="EL116" s="75">
        <v>96.2</v>
      </c>
      <c r="EM116" s="75" t="s">
        <v>3538</v>
      </c>
      <c r="EN116" s="75" t="s">
        <v>2772</v>
      </c>
      <c r="EO116" s="75" t="str">
        <f>HYPERLINK(".\links\SMART\EEC14737.1-SMART.txt","CDD:197676 smart00355, ZnF_C2H2, zinc finger")</f>
        <v>CDD:197676 smart00355, ZnF_C2H2, zinc finger</v>
      </c>
      <c r="EP116" s="79">
        <v>3.0000000000000001E-5</v>
      </c>
      <c r="EQ116" s="75">
        <v>100</v>
      </c>
      <c r="ER116" s="75" t="s">
        <v>3539</v>
      </c>
      <c r="ES116" s="75" t="s">
        <v>2772</v>
      </c>
      <c r="ET116" s="75" t="str">
        <f>HYPERLINK(".\links\TSF\EEC14737.1-TSF.txt","30-44 30-44, ZincFinger||H|")</f>
        <v>30-44 30-44, ZincFinger||H|</v>
      </c>
      <c r="EU116" s="79">
        <v>7.9999999999999995E-36</v>
      </c>
      <c r="EV116" s="75">
        <v>113.2</v>
      </c>
      <c r="EW116" s="75" t="s">
        <v>3540</v>
      </c>
      <c r="EX116" s="75" t="s">
        <v>3541</v>
      </c>
      <c r="EY116" s="75" t="s">
        <v>2772</v>
      </c>
      <c r="EZ116" s="75" t="s">
        <v>2808</v>
      </c>
      <c r="FA116" s="75" t="s">
        <v>3542</v>
      </c>
    </row>
    <row r="117" spans="1:157" x14ac:dyDescent="0.2">
      <c r="A117" s="75" t="str">
        <f>HYPERLINK(".\links\PEP\EEC17727.1-PEP.txt","EEC17727.1")</f>
        <v>EEC17727.1</v>
      </c>
      <c r="B117" s="75" t="s">
        <v>2768</v>
      </c>
      <c r="C117" s="75">
        <v>435</v>
      </c>
      <c r="D117" s="75" t="s">
        <v>3543</v>
      </c>
      <c r="E117" s="75" t="s">
        <v>3480</v>
      </c>
      <c r="F117" s="75" t="s">
        <v>2771</v>
      </c>
      <c r="G117" s="75" t="str">
        <f>HYPERLINK(".\links\Sigp\EEC17727.1-SigP.txt","CYT")</f>
        <v>CYT</v>
      </c>
      <c r="H117" s="75" t="s">
        <v>2772</v>
      </c>
      <c r="I117" s="75">
        <v>48.255000000000003</v>
      </c>
      <c r="J117" s="75">
        <v>8.9600000000000009</v>
      </c>
      <c r="K117" s="75" t="s">
        <v>2772</v>
      </c>
      <c r="L117" s="75" t="s">
        <v>2772</v>
      </c>
      <c r="M117" s="75" t="str">
        <f>HYPERLINK(".\links\netoglyc\EEC17727.1-netoglyc.txt","1")</f>
        <v>1</v>
      </c>
      <c r="N117" s="75" t="s">
        <v>2971</v>
      </c>
      <c r="O117" s="75">
        <v>435</v>
      </c>
      <c r="P117" s="75">
        <v>0</v>
      </c>
      <c r="Q117" s="75" t="s">
        <v>2772</v>
      </c>
      <c r="R117" s="75" t="s">
        <v>2772</v>
      </c>
      <c r="S117" s="75" t="s">
        <v>2772</v>
      </c>
      <c r="T117" s="75" t="s">
        <v>2772</v>
      </c>
      <c r="U117" s="75" t="s">
        <v>2772</v>
      </c>
      <c r="V117" s="75" t="s">
        <v>3544</v>
      </c>
      <c r="W117" s="75">
        <v>14.9</v>
      </c>
      <c r="X117" s="75">
        <v>7</v>
      </c>
      <c r="Y117" s="75">
        <v>6.5</v>
      </c>
      <c r="Z117" s="75" t="s">
        <v>2774</v>
      </c>
      <c r="AA117" s="77">
        <v>13.7931034482759</v>
      </c>
      <c r="AB117" s="75">
        <v>0.25</v>
      </c>
      <c r="AD117" s="75">
        <v>11</v>
      </c>
      <c r="AE117" s="75" t="str">
        <f>HYPERLINK(".\links\pep\EEC17727.1-sulf.txt","1")</f>
        <v>1</v>
      </c>
      <c r="AF117" s="75" t="str">
        <f>HYPERLINK(".\links\pep\EEC17727.1-tyr-sulf.txt","Fasta with y")</f>
        <v>Fasta with y</v>
      </c>
      <c r="AG117" s="75" t="s">
        <v>2772</v>
      </c>
      <c r="AH117" s="75">
        <v>2</v>
      </c>
      <c r="AI117" s="75" t="s">
        <v>2772</v>
      </c>
      <c r="AJ117" s="75">
        <v>4</v>
      </c>
      <c r="AK117" s="75" t="s">
        <v>2772</v>
      </c>
      <c r="AL117" s="75" t="s">
        <v>2772</v>
      </c>
      <c r="AM117" s="75" t="s">
        <v>2772</v>
      </c>
      <c r="AN117" s="75" t="s">
        <v>2772</v>
      </c>
      <c r="AO117" s="78" t="str">
        <f>HYPERLINK(".\links\AAM-CEMENT-2018\EEC17727.1-AAM-CEMENT-2018.txt","Extracted CDS")</f>
        <v>Extracted CDS</v>
      </c>
      <c r="AP117" s="75" t="str">
        <f>HYPERLINK("http://www.ncbi.nlm.nih.gov/sutils/blink.cgi?pid=Aam-919","3.0")</f>
        <v>3.0</v>
      </c>
      <c r="AQ117" s="75" t="str">
        <f>HYPERLINK("http://www.ncbi.nlm.nih.gov/protein/Aam-919","Aam-919")</f>
        <v>Aam-919</v>
      </c>
      <c r="AR117" s="75">
        <v>22.7</v>
      </c>
      <c r="AS117" s="75">
        <v>55</v>
      </c>
      <c r="AT117" s="75">
        <v>302</v>
      </c>
      <c r="AU117" s="75">
        <v>21</v>
      </c>
      <c r="AV117" s="75">
        <v>38</v>
      </c>
      <c r="AW117" s="75">
        <v>18</v>
      </c>
      <c r="AX117" s="75">
        <v>43</v>
      </c>
      <c r="AY117" s="75">
        <v>0</v>
      </c>
      <c r="AZ117" s="75">
        <v>193</v>
      </c>
      <c r="BA117" s="75">
        <v>122</v>
      </c>
      <c r="BB117" s="75">
        <v>1</v>
      </c>
      <c r="BC117" s="75" t="s">
        <v>2775</v>
      </c>
      <c r="BD117" s="78" t="str">
        <f>HYPERLINK(".\links\CDD\EEC17727.1-CDD.txt","WD40 WD40 domain found in a number of eukaryotic proteins that cover a wide variety of functions including adaptor/regulatory modules in signal transduction pre-mRNA processing and cytoskeleton assembly")</f>
        <v>WD40 WD40 domain found in a number of eukaryotic proteins that cover a wide variety of functions including adaptor/regulatory modules in signal transduction pre-mRNA processing and cytoskeleton assembly</v>
      </c>
      <c r="BE117" s="79">
        <v>9.0000000000000002E-6</v>
      </c>
      <c r="BF117" s="75">
        <v>46</v>
      </c>
      <c r="BG117" s="75" t="s">
        <v>3545</v>
      </c>
      <c r="BH117" s="75" t="s">
        <v>3546</v>
      </c>
      <c r="BI117" s="75" t="str">
        <f>HYPERLINK(".\links\KOG\EEC17727.1-KOG.txt","CDD:225201 COG2319, COG2319, FOG: WD40 repeat")</f>
        <v>CDD:225201 COG2319, COG2319, FOG: WD40 repeat</v>
      </c>
      <c r="BJ117" s="75">
        <v>2E-3</v>
      </c>
      <c r="BK117" s="75">
        <v>24.9</v>
      </c>
      <c r="BL117" s="75" t="s">
        <v>3547</v>
      </c>
      <c r="BM117" s="75" t="s">
        <v>2779</v>
      </c>
      <c r="BN117" s="78" t="str">
        <f>HYPERLINK(".\links\PFAM\EEC17727.1-PFAM.txt","WD40 WD domain G-beta repeat")</f>
        <v>WD40 WD domain G-beta repeat</v>
      </c>
      <c r="BO117" s="75">
        <v>2.8000000000000001E-2</v>
      </c>
      <c r="BP117" s="75">
        <v>102.6</v>
      </c>
      <c r="BQ117" s="75" t="s">
        <v>3548</v>
      </c>
      <c r="BR117" s="75" t="s">
        <v>2772</v>
      </c>
      <c r="BS117" s="78" t="str">
        <f>HYPERLINK(".\links\SMART\EEC17727.1-SMART.txt","CDD:197651 smart00320, WD40, WD40 repeats")</f>
        <v>CDD:197651 smart00320, WD40, WD40 repeats</v>
      </c>
      <c r="BT117" s="79">
        <v>2.0000000000000001E-4</v>
      </c>
      <c r="BU117" s="75">
        <v>102.5</v>
      </c>
      <c r="BV117" s="75" t="s">
        <v>3549</v>
      </c>
      <c r="BW117" s="75" t="s">
        <v>2772</v>
      </c>
      <c r="BX117" s="78" t="str">
        <f>HYPERLINK(".\links\TSF\EEC17727.1-TSF.txt","40-102 40-102, Kunitz||S|PI")</f>
        <v>40-102 40-102, Kunitz||S|PI</v>
      </c>
      <c r="BY117" s="75">
        <v>9.9000000000000005E-2</v>
      </c>
      <c r="BZ117" s="75">
        <v>44.4</v>
      </c>
      <c r="CA117" s="75" t="s">
        <v>3550</v>
      </c>
      <c r="CB117" s="75" t="s">
        <v>3105</v>
      </c>
      <c r="CC117" s="75" t="s">
        <v>2772</v>
      </c>
      <c r="CD117" s="75" t="s">
        <v>2785</v>
      </c>
      <c r="CE117" s="75" t="s">
        <v>3551</v>
      </c>
      <c r="CF117" s="75">
        <v>66</v>
      </c>
      <c r="CG117" s="75">
        <v>1</v>
      </c>
      <c r="CH117" s="75">
        <v>77</v>
      </c>
      <c r="CI117" s="75">
        <v>1</v>
      </c>
      <c r="CJ117" s="75">
        <v>79</v>
      </c>
      <c r="CK117" s="75">
        <v>1</v>
      </c>
      <c r="CL117" s="75">
        <v>83</v>
      </c>
      <c r="CM117" s="75">
        <v>1</v>
      </c>
      <c r="CN117" s="75">
        <v>87</v>
      </c>
      <c r="CO117" s="75">
        <v>1</v>
      </c>
      <c r="CP117" s="75">
        <v>89</v>
      </c>
      <c r="CQ117" s="75">
        <v>1</v>
      </c>
      <c r="CR117" s="75">
        <v>90</v>
      </c>
      <c r="CS117" s="75">
        <v>1</v>
      </c>
      <c r="CT117" s="75">
        <v>94</v>
      </c>
      <c r="CU117" s="75">
        <v>1</v>
      </c>
      <c r="CV117" s="75">
        <v>97</v>
      </c>
      <c r="CW117" s="75">
        <v>1</v>
      </c>
      <c r="CX117" s="75">
        <v>101</v>
      </c>
      <c r="CY117" s="75">
        <v>1</v>
      </c>
      <c r="CZ117" s="75">
        <v>104</v>
      </c>
      <c r="DA117" s="75">
        <v>1</v>
      </c>
      <c r="DB117" s="75">
        <v>110</v>
      </c>
      <c r="DC117" s="75">
        <v>1</v>
      </c>
      <c r="DD117" s="75">
        <v>114</v>
      </c>
      <c r="DE117" s="75">
        <v>1</v>
      </c>
      <c r="DF117" s="75">
        <v>116</v>
      </c>
      <c r="DG117" s="75">
        <v>1</v>
      </c>
      <c r="DH117" s="75">
        <v>117</v>
      </c>
      <c r="DI117" s="75">
        <v>1</v>
      </c>
      <c r="DJ117" s="75" t="s">
        <v>69</v>
      </c>
      <c r="DK117" s="75" t="str">
        <f>HYPERLINK(".\links\AAM-CEMENT-2018\EEC17727.1-AAM-CEMENT-2018.txt","Extracted CDS")</f>
        <v>Extracted CDS</v>
      </c>
      <c r="DL117" s="75" t="str">
        <f>HYPERLINK("http://www.ncbi.nlm.nih.gov/sutils/blink.cgi?pid=Aam-919","3.0")</f>
        <v>3.0</v>
      </c>
      <c r="DM117" s="75" t="str">
        <f>HYPERLINK("http://www.ncbi.nlm.nih.gov/protein/Aam-919","Aam-919")</f>
        <v>Aam-919</v>
      </c>
      <c r="DN117" s="75">
        <v>22.7</v>
      </c>
      <c r="DO117" s="75">
        <v>55</v>
      </c>
      <c r="DP117" s="75">
        <v>302</v>
      </c>
      <c r="DQ117" s="75">
        <v>21</v>
      </c>
      <c r="DR117" s="75">
        <v>38</v>
      </c>
      <c r="DS117" s="75">
        <v>18</v>
      </c>
      <c r="DT117" s="75">
        <v>43</v>
      </c>
      <c r="DU117" s="75">
        <v>0</v>
      </c>
      <c r="DV117" s="75">
        <v>193</v>
      </c>
      <c r="DW117" s="75">
        <v>122</v>
      </c>
      <c r="DX117" s="75">
        <v>1</v>
      </c>
      <c r="DY117" s="75" t="s">
        <v>2775</v>
      </c>
      <c r="DZ117" s="75" t="str">
        <f>HYPERLINK(".\links\CDD\EEC17727.1-CDD.txt","WD40 WD40 domain found in a number of eukaryotic proteins that cover a wide variety of functions including adaptor/regulatory modules in signal transduction pre-mRNA processing and cytoskeleton assembly")</f>
        <v>WD40 WD40 domain found in a number of eukaryotic proteins that cover a wide variety of functions including adaptor/regulatory modules in signal transduction pre-mRNA processing and cytoskeleton assembly</v>
      </c>
      <c r="EA117" s="79">
        <v>9.0000000000000002E-6</v>
      </c>
      <c r="EB117" s="75">
        <v>46</v>
      </c>
      <c r="EC117" s="75" t="s">
        <v>3545</v>
      </c>
      <c r="ED117" s="75" t="s">
        <v>3546</v>
      </c>
      <c r="EE117" s="75" t="str">
        <f>HYPERLINK(".\links\KOG\EEC17727.1-KOG.txt","CDD:225201 COG2319, COG2319, FOG: WD40 repeat")</f>
        <v>CDD:225201 COG2319, COG2319, FOG: WD40 repeat</v>
      </c>
      <c r="EF117" s="75">
        <v>2E-3</v>
      </c>
      <c r="EG117" s="75">
        <v>24.9</v>
      </c>
      <c r="EH117" s="75" t="s">
        <v>3547</v>
      </c>
      <c r="EI117" s="75" t="s">
        <v>2779</v>
      </c>
      <c r="EJ117" s="75" t="str">
        <f>HYPERLINK(".\links\PFAM\EEC17727.1-PFAM.txt","WD40 WD domain G-beta repeat")</f>
        <v>WD40 WD domain G-beta repeat</v>
      </c>
      <c r="EK117" s="75">
        <v>2.8000000000000001E-2</v>
      </c>
      <c r="EL117" s="75">
        <v>102.6</v>
      </c>
      <c r="EM117" s="75" t="s">
        <v>3548</v>
      </c>
      <c r="EN117" s="75" t="s">
        <v>2772</v>
      </c>
      <c r="EO117" s="75" t="str">
        <f>HYPERLINK(".\links\SMART\EEC17727.1-SMART.txt","CDD:197651 smart00320, WD40, WD40 repeats")</f>
        <v>CDD:197651 smart00320, WD40, WD40 repeats</v>
      </c>
      <c r="EP117" s="79">
        <v>2.0000000000000001E-4</v>
      </c>
      <c r="EQ117" s="75">
        <v>102.5</v>
      </c>
      <c r="ER117" s="75" t="s">
        <v>3549</v>
      </c>
      <c r="ES117" s="75" t="s">
        <v>2772</v>
      </c>
      <c r="ET117" s="75" t="str">
        <f>HYPERLINK(".\links\TSF\EEC17727.1-TSF.txt","40-102 40-102, Kunitz||S|PI")</f>
        <v>40-102 40-102, Kunitz||S|PI</v>
      </c>
      <c r="EU117" s="75">
        <v>9.9000000000000005E-2</v>
      </c>
      <c r="EV117" s="75">
        <v>44.4</v>
      </c>
      <c r="EW117" s="75" t="s">
        <v>3550</v>
      </c>
      <c r="EX117" s="75" t="s">
        <v>3105</v>
      </c>
      <c r="EY117" s="75" t="s">
        <v>2772</v>
      </c>
      <c r="EZ117" s="75" t="s">
        <v>2785</v>
      </c>
      <c r="FA117" s="75" t="s">
        <v>3551</v>
      </c>
    </row>
    <row r="118" spans="1:157" x14ac:dyDescent="0.2">
      <c r="A118" s="75" t="str">
        <f>HYPERLINK(".\links\PEP\AAM93664.1-PEP.txt","AAM93664.1")</f>
        <v>AAM93664.1</v>
      </c>
      <c r="B118" s="75" t="s">
        <v>2768</v>
      </c>
      <c r="C118" s="75">
        <v>210</v>
      </c>
      <c r="D118" s="75" t="s">
        <v>3552</v>
      </c>
      <c r="E118" s="76" t="s">
        <v>3553</v>
      </c>
      <c r="F118" s="75" t="s">
        <v>2771</v>
      </c>
      <c r="G118" s="75" t="str">
        <f>HYPERLINK(".\links\Sigp\AAM93664.1-SigP.txt","SIG")</f>
        <v>SIG</v>
      </c>
      <c r="H118" s="75" t="s">
        <v>3208</v>
      </c>
      <c r="I118" s="75">
        <v>24.696000000000002</v>
      </c>
      <c r="J118" s="75">
        <v>5.47</v>
      </c>
      <c r="K118" s="75">
        <v>22.565999999999999</v>
      </c>
      <c r="L118" s="75">
        <v>5.67</v>
      </c>
      <c r="M118" s="75" t="str">
        <f>HYPERLINK(".\links\netoglyc\AAM93664.1-netoglyc.txt","0")</f>
        <v>0</v>
      </c>
      <c r="N118" s="75" t="s">
        <v>2826</v>
      </c>
      <c r="O118" s="75">
        <v>210</v>
      </c>
      <c r="P118" s="75">
        <v>0</v>
      </c>
      <c r="Q118" s="75" t="s">
        <v>2772</v>
      </c>
      <c r="R118" s="75" t="s">
        <v>2772</v>
      </c>
      <c r="S118" s="75" t="s">
        <v>2772</v>
      </c>
      <c r="T118" s="75" t="s">
        <v>2772</v>
      </c>
      <c r="U118" s="75" t="s">
        <v>2772</v>
      </c>
      <c r="V118" s="75" t="s">
        <v>2772</v>
      </c>
      <c r="W118" s="75">
        <v>10.3</v>
      </c>
      <c r="X118" s="75">
        <v>5.0999999999999996</v>
      </c>
      <c r="Y118" s="75">
        <v>3.3</v>
      </c>
      <c r="Z118" s="75" t="s">
        <v>2774</v>
      </c>
      <c r="AA118" s="77">
        <v>8.5714285714285694</v>
      </c>
      <c r="AB118" s="75">
        <v>0.3</v>
      </c>
      <c r="AD118" s="75">
        <v>7</v>
      </c>
      <c r="AE118" s="75" t="str">
        <f>HYPERLINK(".\links\pep\AAM93664.1-sulf.txt","2")</f>
        <v>2</v>
      </c>
      <c r="AF118" s="75" t="str">
        <f>HYPERLINK(".\links\pep\AAM93664.1-tyr-sulf.txt","Fasta with y")</f>
        <v>Fasta with y</v>
      </c>
      <c r="AG118" s="75" t="s">
        <v>2772</v>
      </c>
      <c r="AH118" s="75" t="s">
        <v>2772</v>
      </c>
      <c r="AI118" s="75">
        <v>1</v>
      </c>
      <c r="AJ118" s="75">
        <v>1</v>
      </c>
      <c r="AK118" s="75" t="s">
        <v>3554</v>
      </c>
      <c r="AL118" s="75" t="s">
        <v>2772</v>
      </c>
      <c r="AM118" s="75" t="s">
        <v>2772</v>
      </c>
      <c r="AN118" s="75" t="s">
        <v>2772</v>
      </c>
      <c r="AO118" s="78" t="str">
        <f>HYPERLINK(".\links\AAM-CEMENT-2018\AAM93664.1-AAM-CEMENT-2018.txt","Extracted CDS")</f>
        <v>Extracted CDS</v>
      </c>
      <c r="AP118" s="75" t="str">
        <f>HYPERLINK("http://www.ncbi.nlm.nih.gov/sutils/blink.cgi?pid=Aam-788","5E-13")</f>
        <v>5E-13</v>
      </c>
      <c r="AQ118" s="75" t="str">
        <f>HYPERLINK("http://www.ncbi.nlm.nih.gov/protein/Aam-788","Aam-788")</f>
        <v>Aam-788</v>
      </c>
      <c r="AR118" s="75">
        <v>58.2</v>
      </c>
      <c r="AS118" s="75">
        <v>158</v>
      </c>
      <c r="AT118" s="75">
        <v>175</v>
      </c>
      <c r="AU118" s="75">
        <v>30</v>
      </c>
      <c r="AV118" s="75">
        <v>50</v>
      </c>
      <c r="AW118" s="75">
        <v>90</v>
      </c>
      <c r="AX118" s="75">
        <v>110</v>
      </c>
      <c r="AY118" s="75">
        <v>22</v>
      </c>
      <c r="AZ118" s="75">
        <v>26</v>
      </c>
      <c r="BA118" s="75">
        <v>38</v>
      </c>
      <c r="BB118" s="75">
        <v>1</v>
      </c>
      <c r="BC118" s="75" t="s">
        <v>2775</v>
      </c>
      <c r="BD118" s="78" t="str">
        <f>HYPERLINK(".\links\CDD\AAM93664.1-CDD.txt","His_binding Tick histamine binding protein")</f>
        <v>His_binding Tick histamine binding protein</v>
      </c>
      <c r="BE118" s="79">
        <v>9.9999999999999997E-49</v>
      </c>
      <c r="BF118" s="75">
        <v>104.7</v>
      </c>
      <c r="BG118" s="75" t="s">
        <v>3555</v>
      </c>
      <c r="BH118" s="75" t="s">
        <v>3556</v>
      </c>
      <c r="BI118" s="75" t="str">
        <f>HYPERLINK(".\links\KOG\AAM93664.1-KOG.txt","CDD:225615 COG3073, RseA, Negative regulator of sigma E activity")</f>
        <v>CDD:225615 COG3073, RseA, Negative regulator of sigma E activity</v>
      </c>
      <c r="BJ118" s="75">
        <v>1.9</v>
      </c>
      <c r="BK118" s="75">
        <v>38.5</v>
      </c>
      <c r="BL118" s="75" t="s">
        <v>3557</v>
      </c>
      <c r="BM118" s="75" t="s">
        <v>2779</v>
      </c>
      <c r="BN118" s="78" t="str">
        <f>HYPERLINK(".\links\PFAM\AAM93664.1-PFAM.txt","His_binding Tick histamine binding protein")</f>
        <v>His_binding Tick histamine binding protein</v>
      </c>
      <c r="BO118" s="79">
        <v>3E-49</v>
      </c>
      <c r="BP118" s="75">
        <v>104.7</v>
      </c>
      <c r="BQ118" s="75" t="s">
        <v>3555</v>
      </c>
      <c r="BR118" s="75" t="s">
        <v>2772</v>
      </c>
      <c r="BS118" s="78" t="str">
        <f>HYPERLINK(".\links\SMART\AAM93664.1-SMART.txt","CDD:214595 smart00275, G_alpha, G protein alpha subunit")</f>
        <v>CDD:214595 smart00275, G_alpha, G protein alpha subunit</v>
      </c>
      <c r="BT118" s="75">
        <v>2.9</v>
      </c>
      <c r="BU118" s="75">
        <v>11.1</v>
      </c>
      <c r="BV118" s="75" t="s">
        <v>3558</v>
      </c>
      <c r="BW118" s="75" t="s">
        <v>2772</v>
      </c>
      <c r="BX118" s="78" t="str">
        <f>HYPERLINK(".\links\TSF\AAM93664.1-TSF.txt","40-22 40-22, Lipocalin|His binding|S|")</f>
        <v>40-22 40-22, Lipocalin|His binding|S|</v>
      </c>
      <c r="BY118" s="79">
        <v>6.0000000000000001E-99</v>
      </c>
      <c r="BZ118" s="75">
        <v>55.8</v>
      </c>
      <c r="CA118" s="75" t="s">
        <v>3559</v>
      </c>
      <c r="CB118" s="75" t="s">
        <v>3004</v>
      </c>
      <c r="CC118" s="75" t="s">
        <v>3311</v>
      </c>
      <c r="CD118" s="75" t="s">
        <v>2785</v>
      </c>
      <c r="CE118" s="75" t="s">
        <v>3560</v>
      </c>
      <c r="CF118" s="75">
        <f>HYPERLINK(".\links\cluster-b\Ixsc-cement-202225-50SimCLU5.txt", 5)</f>
        <v>5</v>
      </c>
      <c r="CG118" s="75">
        <f>HYPERLINK(".\links\cluster-b\Ixsc-cement-202225-50SimCLTL5.txt", 4)</f>
        <v>4</v>
      </c>
      <c r="CH118" s="75">
        <f>HYPERLINK(".\links\cluster-b\Ixsc-cement-202230-50SimCLU4.txt", 4)</f>
        <v>4</v>
      </c>
      <c r="CI118" s="75">
        <f>HYPERLINK(".\links\cluster-b\Ixsc-cement-202230-50SimCLTL4.txt", 4)</f>
        <v>4</v>
      </c>
      <c r="CJ118" s="75">
        <f>HYPERLINK(".\links\cluster-b\Ixsc-cement-202235-50SimCLU4.txt", 4)</f>
        <v>4</v>
      </c>
      <c r="CK118" s="75">
        <f>HYPERLINK(".\links\cluster-b\Ixsc-cement-202235-50SimCLTL4.txt", 4)</f>
        <v>4</v>
      </c>
      <c r="CL118" s="75">
        <f>HYPERLINK(".\links\cluster-b\Ixsc-cement-202240-50SimCLU4.txt", 4)</f>
        <v>4</v>
      </c>
      <c r="CM118" s="75">
        <f>HYPERLINK(".\links\cluster-b\Ixsc-cement-202240-50SimCLTL4.txt", 4)</f>
        <v>4</v>
      </c>
      <c r="CN118" s="75">
        <f>HYPERLINK(".\links\cluster-b\Ixsc-cement-202245-50SimCLU4.txt", 4)</f>
        <v>4</v>
      </c>
      <c r="CO118" s="75">
        <f>HYPERLINK(".\links\cluster-b\Ixsc-cement-202245-50SimCLTL4.txt", 4)</f>
        <v>4</v>
      </c>
      <c r="CP118" s="75">
        <f>HYPERLINK(".\links\cluster-b\Ixsc-cement-202250-50SimCLU4.txt", 4)</f>
        <v>4</v>
      </c>
      <c r="CQ118" s="75">
        <f>HYPERLINK(".\links\cluster-b\Ixsc-cement-202250-50SimCLTL4.txt", 4)</f>
        <v>4</v>
      </c>
      <c r="CR118" s="75">
        <f>HYPERLINK(".\links\cluster-b\Ixsc-cement-202255-50SimCLU4.txt", 4)</f>
        <v>4</v>
      </c>
      <c r="CS118" s="75">
        <f>HYPERLINK(".\links\cluster-b\Ixsc-cement-202255-50SimCLTL4.txt", 4)</f>
        <v>4</v>
      </c>
      <c r="CT118" s="75">
        <f>HYPERLINK(".\links\cluster-b\Ixsc-cement-202260-50SimCLU4.txt", 4)</f>
        <v>4</v>
      </c>
      <c r="CU118" s="75">
        <f>HYPERLINK(".\links\cluster-b\Ixsc-cement-202260-50SimCLTL4.txt", 4)</f>
        <v>4</v>
      </c>
      <c r="CV118" s="75">
        <f>HYPERLINK(".\links\cluster-b\Ixsc-cement-202265-50SimCLU5.txt", 5)</f>
        <v>5</v>
      </c>
      <c r="CW118" s="75">
        <f>HYPERLINK(".\links\cluster-b\Ixsc-cement-202265-50SimCLTL5.txt", 3)</f>
        <v>3</v>
      </c>
      <c r="CX118" s="75">
        <f>HYPERLINK(".\links\cluster-b\Ixsc-cement-202270-50SimCLU8.txt", 8)</f>
        <v>8</v>
      </c>
      <c r="CY118" s="75">
        <f>HYPERLINK(".\links\cluster-b\Ixsc-cement-202270-50SimCLTL8.txt", 2)</f>
        <v>2</v>
      </c>
      <c r="CZ118" s="75">
        <f>HYPERLINK(".\links\cluster-b\Ixsc-cement-202275-50SimCLU8.txt", 8)</f>
        <v>8</v>
      </c>
      <c r="DA118" s="75">
        <f>HYPERLINK(".\links\cluster-b\Ixsc-cement-202275-50SimCLTL8.txt", 2)</f>
        <v>2</v>
      </c>
      <c r="DB118" s="75">
        <v>15</v>
      </c>
      <c r="DC118" s="75">
        <v>1</v>
      </c>
      <c r="DD118" s="75">
        <v>13</v>
      </c>
      <c r="DE118" s="75">
        <v>1</v>
      </c>
      <c r="DF118" s="75">
        <v>12</v>
      </c>
      <c r="DG118" s="75">
        <v>1</v>
      </c>
      <c r="DH118" s="75">
        <v>11</v>
      </c>
      <c r="DI118" s="75">
        <v>1</v>
      </c>
      <c r="DJ118" s="75" t="s">
        <v>14</v>
      </c>
      <c r="DK118" s="75" t="str">
        <f>HYPERLINK(".\links\AAM-CEMENT-2018\AAM93664.1-AAM-CEMENT-2018.txt","Extracted CDS")</f>
        <v>Extracted CDS</v>
      </c>
      <c r="DL118" s="75" t="str">
        <f>HYPERLINK("http://www.ncbi.nlm.nih.gov/sutils/blink.cgi?pid=Aam-788","5E-13")</f>
        <v>5E-13</v>
      </c>
      <c r="DM118" s="75" t="str">
        <f>HYPERLINK("http://www.ncbi.nlm.nih.gov/protein/Aam-788","Aam-788")</f>
        <v>Aam-788</v>
      </c>
      <c r="DN118" s="75">
        <v>58.2</v>
      </c>
      <c r="DO118" s="75">
        <v>158</v>
      </c>
      <c r="DP118" s="75">
        <v>175</v>
      </c>
      <c r="DQ118" s="75">
        <v>30</v>
      </c>
      <c r="DR118" s="75">
        <v>50</v>
      </c>
      <c r="DS118" s="75">
        <v>90</v>
      </c>
      <c r="DT118" s="75">
        <v>110</v>
      </c>
      <c r="DU118" s="75">
        <v>22</v>
      </c>
      <c r="DV118" s="75">
        <v>26</v>
      </c>
      <c r="DW118" s="75">
        <v>38</v>
      </c>
      <c r="DX118" s="75">
        <v>1</v>
      </c>
      <c r="DY118" s="75" t="s">
        <v>2775</v>
      </c>
      <c r="DZ118" s="75" t="str">
        <f>HYPERLINK(".\links\CDD\AAM93664.1-CDD.txt","His_binding Tick histamine binding protein")</f>
        <v>His_binding Tick histamine binding protein</v>
      </c>
      <c r="EA118" s="79">
        <v>9.9999999999999997E-49</v>
      </c>
      <c r="EB118" s="75">
        <v>104.7</v>
      </c>
      <c r="EC118" s="75" t="s">
        <v>3555</v>
      </c>
      <c r="ED118" s="75" t="s">
        <v>3556</v>
      </c>
      <c r="EE118" s="75" t="str">
        <f>HYPERLINK(".\links\KOG\AAM93664.1-KOG.txt","CDD:225615 COG3073, RseA, Negative regulator of sigma E activity")</f>
        <v>CDD:225615 COG3073, RseA, Negative regulator of sigma E activity</v>
      </c>
      <c r="EF118" s="75">
        <v>1.9</v>
      </c>
      <c r="EG118" s="75">
        <v>38.5</v>
      </c>
      <c r="EH118" s="75" t="s">
        <v>3557</v>
      </c>
      <c r="EI118" s="75" t="s">
        <v>2779</v>
      </c>
      <c r="EJ118" s="75" t="str">
        <f>HYPERLINK(".\links\PFAM\AAM93664.1-PFAM.txt","His_binding Tick histamine binding protein")</f>
        <v>His_binding Tick histamine binding protein</v>
      </c>
      <c r="EK118" s="79">
        <v>3E-49</v>
      </c>
      <c r="EL118" s="75">
        <v>104.7</v>
      </c>
      <c r="EM118" s="75" t="s">
        <v>3555</v>
      </c>
      <c r="EN118" s="75" t="s">
        <v>2772</v>
      </c>
      <c r="EO118" s="75" t="str">
        <f>HYPERLINK(".\links\SMART\AAM93664.1-SMART.txt","CDD:214595 smart00275, G_alpha, G protein alpha subunit")</f>
        <v>CDD:214595 smart00275, G_alpha, G protein alpha subunit</v>
      </c>
      <c r="EP118" s="75">
        <v>2.9</v>
      </c>
      <c r="EQ118" s="75">
        <v>11.1</v>
      </c>
      <c r="ER118" s="75" t="s">
        <v>3558</v>
      </c>
      <c r="ES118" s="75" t="s">
        <v>2772</v>
      </c>
      <c r="ET118" s="75" t="str">
        <f>HYPERLINK(".\links\TSF\AAM93664.1-TSF.txt","40-22 40-22, Lipocalin|His binding|S|")</f>
        <v>40-22 40-22, Lipocalin|His binding|S|</v>
      </c>
      <c r="EU118" s="79">
        <v>6.0000000000000001E-99</v>
      </c>
      <c r="EV118" s="75">
        <v>55.8</v>
      </c>
      <c r="EW118" s="75" t="s">
        <v>3559</v>
      </c>
      <c r="EX118" s="75" t="s">
        <v>3004</v>
      </c>
      <c r="EY118" s="75" t="s">
        <v>3311</v>
      </c>
      <c r="EZ118" s="75" t="s">
        <v>2785</v>
      </c>
      <c r="FA118" s="75" t="s">
        <v>3560</v>
      </c>
    </row>
    <row r="119" spans="1:157" x14ac:dyDescent="0.2">
      <c r="A119" s="75" t="str">
        <f>HYPERLINK(".\links\PEP\EEC01472.1-PEP.txt","EEC01472.1")</f>
        <v>EEC01472.1</v>
      </c>
      <c r="B119" s="75" t="s">
        <v>2768</v>
      </c>
      <c r="C119" s="75">
        <v>214</v>
      </c>
      <c r="D119" s="75" t="s">
        <v>2936</v>
      </c>
      <c r="E119" s="76" t="s">
        <v>3553</v>
      </c>
      <c r="F119" s="75" t="s">
        <v>2771</v>
      </c>
      <c r="G119" s="75" t="str">
        <f>HYPERLINK(".\links\Sigp\EEC01472.1-SigP.txt","SIG")</f>
        <v>SIG</v>
      </c>
      <c r="H119" s="75" t="s">
        <v>3208</v>
      </c>
      <c r="I119" s="75">
        <v>24.494</v>
      </c>
      <c r="J119" s="75">
        <v>4.91</v>
      </c>
      <c r="K119" s="75">
        <v>22.297999999999998</v>
      </c>
      <c r="L119" s="75">
        <v>5.0599999999999996</v>
      </c>
      <c r="M119" s="75" t="str">
        <f>HYPERLINK(".\links\netoglyc\EEC01472.1-netoglyc.txt","0")</f>
        <v>0</v>
      </c>
      <c r="N119" s="75" t="s">
        <v>3315</v>
      </c>
      <c r="O119" s="75">
        <v>214</v>
      </c>
      <c r="P119" s="75">
        <v>0</v>
      </c>
      <c r="Q119" s="75" t="s">
        <v>2772</v>
      </c>
      <c r="R119" s="75" t="s">
        <v>2772</v>
      </c>
      <c r="S119" s="75" t="s">
        <v>2772</v>
      </c>
      <c r="T119" s="75" t="s">
        <v>2772</v>
      </c>
      <c r="U119" s="75" t="s">
        <v>2772</v>
      </c>
      <c r="V119" s="75" t="s">
        <v>2772</v>
      </c>
      <c r="W119" s="75">
        <v>12.8</v>
      </c>
      <c r="X119" s="75">
        <v>5</v>
      </c>
      <c r="Y119" s="75">
        <v>3.7</v>
      </c>
      <c r="Z119" s="75" t="s">
        <v>2774</v>
      </c>
      <c r="AA119" s="77">
        <v>8.8785046728972006</v>
      </c>
      <c r="AB119" s="75">
        <v>0.24</v>
      </c>
      <c r="AD119" s="75">
        <v>7</v>
      </c>
      <c r="AE119" s="75" t="s">
        <v>2772</v>
      </c>
      <c r="AF119" s="75" t="s">
        <v>2772</v>
      </c>
      <c r="AG119" s="75" t="s">
        <v>2772</v>
      </c>
      <c r="AH119" s="75" t="s">
        <v>2772</v>
      </c>
      <c r="AI119" s="75">
        <v>1</v>
      </c>
      <c r="AJ119" s="75">
        <v>1</v>
      </c>
      <c r="AK119" s="75" t="s">
        <v>3554</v>
      </c>
      <c r="AL119" s="75" t="s">
        <v>2772</v>
      </c>
      <c r="AM119" s="75" t="s">
        <v>2772</v>
      </c>
      <c r="AN119" s="75" t="s">
        <v>2772</v>
      </c>
      <c r="AO119" s="78" t="str">
        <f>HYPERLINK(".\links\AAM-CEMENT-2018\EEC01472.1-AAM-CEMENT-2018.txt","Extracted CDS")</f>
        <v>Extracted CDS</v>
      </c>
      <c r="AP119" s="75" t="str">
        <f>HYPERLINK("http://www.ncbi.nlm.nih.gov/sutils/blink.cgi?pid=Aam-788","9E-10")</f>
        <v>9E-10</v>
      </c>
      <c r="AQ119" s="75" t="str">
        <f>HYPERLINK("http://www.ncbi.nlm.nih.gov/protein/Aam-788","Aam-788")</f>
        <v>Aam-788</v>
      </c>
      <c r="AR119" s="75">
        <v>49.3</v>
      </c>
      <c r="AS119" s="75">
        <v>144</v>
      </c>
      <c r="AT119" s="75">
        <v>175</v>
      </c>
      <c r="AU119" s="75">
        <v>29</v>
      </c>
      <c r="AV119" s="75">
        <v>45</v>
      </c>
      <c r="AW119" s="75">
        <v>82</v>
      </c>
      <c r="AX119" s="75">
        <v>101</v>
      </c>
      <c r="AY119" s="75">
        <v>23</v>
      </c>
      <c r="AZ119" s="75">
        <v>50</v>
      </c>
      <c r="BA119" s="75">
        <v>67</v>
      </c>
      <c r="BB119" s="75">
        <v>1</v>
      </c>
      <c r="BC119" s="75" t="s">
        <v>2775</v>
      </c>
      <c r="BD119" s="78" t="str">
        <f>HYPERLINK(".\links\CDD\EEC01472.1-CDD.txt","His_binding Tick histamine binding protein")</f>
        <v>His_binding Tick histamine binding protein</v>
      </c>
      <c r="BE119" s="79">
        <v>1.9999999999999999E-29</v>
      </c>
      <c r="BF119" s="75">
        <v>91.3</v>
      </c>
      <c r="BG119" s="75" t="s">
        <v>3555</v>
      </c>
      <c r="BH119" s="75" t="s">
        <v>3561</v>
      </c>
      <c r="BI119" s="75" t="str">
        <f>HYPERLINK(".\links\KOG\EEC01472.1-KOG.txt","CDD:227022 COG4677, PemB, Pectin methylesterase")</f>
        <v>CDD:227022 COG4677, PemB, Pectin methylesterase</v>
      </c>
      <c r="BJ119" s="75">
        <v>1.1000000000000001</v>
      </c>
      <c r="BK119" s="75">
        <v>16</v>
      </c>
      <c r="BL119" s="75" t="s">
        <v>3562</v>
      </c>
      <c r="BM119" s="75" t="s">
        <v>2779</v>
      </c>
      <c r="BN119" s="78" t="str">
        <f>HYPERLINK(".\links\PFAM\EEC01472.1-PFAM.txt","His_binding Tick histamine binding protein")</f>
        <v>His_binding Tick histamine binding protein</v>
      </c>
      <c r="BO119" s="79">
        <v>4.9999999999999997E-30</v>
      </c>
      <c r="BP119" s="75">
        <v>91.3</v>
      </c>
      <c r="BQ119" s="75" t="s">
        <v>3555</v>
      </c>
      <c r="BR119" s="75" t="s">
        <v>2772</v>
      </c>
      <c r="BS119" s="78" t="str">
        <f>HYPERLINK(".\links\SMART\EEC01472.1-SMART.txt","CDD:214595 smart00275, G_alpha, G protein alpha subunit")</f>
        <v>CDD:214595 smart00275, G_alpha, G protein alpha subunit</v>
      </c>
      <c r="BT119" s="75">
        <v>0.79</v>
      </c>
      <c r="BU119" s="75">
        <v>10.199999999999999</v>
      </c>
      <c r="BV119" s="75" t="s">
        <v>3558</v>
      </c>
      <c r="BW119" s="75" t="s">
        <v>2772</v>
      </c>
      <c r="BX119" s="78" t="str">
        <f>HYPERLINK(".\links\TSF\EEC01472.1-TSF.txt","40-22 40-22, Lipocalin|His binding|S|")</f>
        <v>40-22 40-22, Lipocalin|His binding|S|</v>
      </c>
      <c r="BY119" s="79">
        <v>7.0000000000000002E-87</v>
      </c>
      <c r="BZ119" s="75">
        <v>57.3</v>
      </c>
      <c r="CA119" s="75" t="s">
        <v>3559</v>
      </c>
      <c r="CB119" s="75" t="s">
        <v>3004</v>
      </c>
      <c r="CC119" s="75" t="s">
        <v>3311</v>
      </c>
      <c r="CD119" s="75" t="s">
        <v>2785</v>
      </c>
      <c r="CE119" s="75" t="s">
        <v>3560</v>
      </c>
      <c r="CF119" s="75">
        <f>HYPERLINK(".\links\cluster-b\Ixsc-cement-202225-50SimCLU5.txt", 5)</f>
        <v>5</v>
      </c>
      <c r="CG119" s="75">
        <f>HYPERLINK(".\links\cluster-b\Ixsc-cement-202225-50SimCLTL5.txt", 4)</f>
        <v>4</v>
      </c>
      <c r="CH119" s="75">
        <f>HYPERLINK(".\links\cluster-b\Ixsc-cement-202230-50SimCLU4.txt", 4)</f>
        <v>4</v>
      </c>
      <c r="CI119" s="75">
        <f>HYPERLINK(".\links\cluster-b\Ixsc-cement-202230-50SimCLTL4.txt", 4)</f>
        <v>4</v>
      </c>
      <c r="CJ119" s="75">
        <f>HYPERLINK(".\links\cluster-b\Ixsc-cement-202235-50SimCLU4.txt", 4)</f>
        <v>4</v>
      </c>
      <c r="CK119" s="75">
        <f>HYPERLINK(".\links\cluster-b\Ixsc-cement-202235-50SimCLTL4.txt", 4)</f>
        <v>4</v>
      </c>
      <c r="CL119" s="75">
        <f>HYPERLINK(".\links\cluster-b\Ixsc-cement-202240-50SimCLU4.txt", 4)</f>
        <v>4</v>
      </c>
      <c r="CM119" s="75">
        <f>HYPERLINK(".\links\cluster-b\Ixsc-cement-202240-50SimCLTL4.txt", 4)</f>
        <v>4</v>
      </c>
      <c r="CN119" s="75">
        <f>HYPERLINK(".\links\cluster-b\Ixsc-cement-202245-50SimCLU4.txt", 4)</f>
        <v>4</v>
      </c>
      <c r="CO119" s="75">
        <f>HYPERLINK(".\links\cluster-b\Ixsc-cement-202245-50SimCLTL4.txt", 4)</f>
        <v>4</v>
      </c>
      <c r="CP119" s="75">
        <f>HYPERLINK(".\links\cluster-b\Ixsc-cement-202250-50SimCLU4.txt", 4)</f>
        <v>4</v>
      </c>
      <c r="CQ119" s="75">
        <f>HYPERLINK(".\links\cluster-b\Ixsc-cement-202250-50SimCLTL4.txt", 4)</f>
        <v>4</v>
      </c>
      <c r="CR119" s="75">
        <f>HYPERLINK(".\links\cluster-b\Ixsc-cement-202255-50SimCLU4.txt", 4)</f>
        <v>4</v>
      </c>
      <c r="CS119" s="75">
        <f>HYPERLINK(".\links\cluster-b\Ixsc-cement-202255-50SimCLTL4.txt", 4)</f>
        <v>4</v>
      </c>
      <c r="CT119" s="75">
        <f>HYPERLINK(".\links\cluster-b\Ixsc-cement-202260-50SimCLU4.txt", 4)</f>
        <v>4</v>
      </c>
      <c r="CU119" s="75">
        <f>HYPERLINK(".\links\cluster-b\Ixsc-cement-202260-50SimCLTL4.txt", 4)</f>
        <v>4</v>
      </c>
      <c r="CV119" s="75">
        <f>HYPERLINK(".\links\cluster-b\Ixsc-cement-202265-50SimCLU5.txt", 5)</f>
        <v>5</v>
      </c>
      <c r="CW119" s="75">
        <f>HYPERLINK(".\links\cluster-b\Ixsc-cement-202265-50SimCLTL5.txt", 3)</f>
        <v>3</v>
      </c>
      <c r="CX119" s="75">
        <f>HYPERLINK(".\links\cluster-b\Ixsc-cement-202270-50SimCLU8.txt", 8)</f>
        <v>8</v>
      </c>
      <c r="CY119" s="75">
        <f>HYPERLINK(".\links\cluster-b\Ixsc-cement-202270-50SimCLTL8.txt", 2)</f>
        <v>2</v>
      </c>
      <c r="CZ119" s="75">
        <f>HYPERLINK(".\links\cluster-b\Ixsc-cement-202275-50SimCLU8.txt", 8)</f>
        <v>8</v>
      </c>
      <c r="DA119" s="75">
        <f>HYPERLINK(".\links\cluster-b\Ixsc-cement-202275-50SimCLTL8.txt", 2)</f>
        <v>2</v>
      </c>
      <c r="DB119" s="75">
        <v>31</v>
      </c>
      <c r="DC119" s="75">
        <v>1</v>
      </c>
      <c r="DD119" s="75">
        <v>29</v>
      </c>
      <c r="DE119" s="75">
        <v>1</v>
      </c>
      <c r="DF119" s="75">
        <v>28</v>
      </c>
      <c r="DG119" s="75">
        <v>1</v>
      </c>
      <c r="DH119" s="75">
        <v>28</v>
      </c>
      <c r="DI119" s="75">
        <v>1</v>
      </c>
      <c r="DJ119" s="75" t="s">
        <v>16</v>
      </c>
      <c r="DK119" s="75" t="str">
        <f>HYPERLINK(".\links\AAM-CEMENT-2018\EEC01472.1-AAM-CEMENT-2018.txt","Extracted CDS")</f>
        <v>Extracted CDS</v>
      </c>
      <c r="DL119" s="75" t="str">
        <f>HYPERLINK("http://www.ncbi.nlm.nih.gov/sutils/blink.cgi?pid=Aam-788","9E-10")</f>
        <v>9E-10</v>
      </c>
      <c r="DM119" s="75" t="str">
        <f>HYPERLINK("http://www.ncbi.nlm.nih.gov/protein/Aam-788","Aam-788")</f>
        <v>Aam-788</v>
      </c>
      <c r="DN119" s="75">
        <v>49.3</v>
      </c>
      <c r="DO119" s="75">
        <v>144</v>
      </c>
      <c r="DP119" s="75">
        <v>175</v>
      </c>
      <c r="DQ119" s="75">
        <v>29</v>
      </c>
      <c r="DR119" s="75">
        <v>45</v>
      </c>
      <c r="DS119" s="75">
        <v>82</v>
      </c>
      <c r="DT119" s="75">
        <v>101</v>
      </c>
      <c r="DU119" s="75">
        <v>23</v>
      </c>
      <c r="DV119" s="75">
        <v>50</v>
      </c>
      <c r="DW119" s="75">
        <v>67</v>
      </c>
      <c r="DX119" s="75">
        <v>1</v>
      </c>
      <c r="DY119" s="75" t="s">
        <v>2775</v>
      </c>
      <c r="DZ119" s="75" t="str">
        <f>HYPERLINK(".\links\CDD\EEC01472.1-CDD.txt","His_binding Tick histamine binding protein")</f>
        <v>His_binding Tick histamine binding protein</v>
      </c>
      <c r="EA119" s="79">
        <v>1.9999999999999999E-29</v>
      </c>
      <c r="EB119" s="75">
        <v>91.3</v>
      </c>
      <c r="EC119" s="75" t="s">
        <v>3555</v>
      </c>
      <c r="ED119" s="75" t="s">
        <v>3561</v>
      </c>
      <c r="EE119" s="75" t="str">
        <f>HYPERLINK(".\links\KOG\EEC01472.1-KOG.txt","CDD:227022 COG4677, PemB, Pectin methylesterase")</f>
        <v>CDD:227022 COG4677, PemB, Pectin methylesterase</v>
      </c>
      <c r="EF119" s="75">
        <v>1.1000000000000001</v>
      </c>
      <c r="EG119" s="75">
        <v>16</v>
      </c>
      <c r="EH119" s="75" t="s">
        <v>3562</v>
      </c>
      <c r="EI119" s="75" t="s">
        <v>2779</v>
      </c>
      <c r="EJ119" s="75" t="str">
        <f>HYPERLINK(".\links\PFAM\EEC01472.1-PFAM.txt","His_binding Tick histamine binding protein")</f>
        <v>His_binding Tick histamine binding protein</v>
      </c>
      <c r="EK119" s="79">
        <v>4.9999999999999997E-30</v>
      </c>
      <c r="EL119" s="75">
        <v>91.3</v>
      </c>
      <c r="EM119" s="75" t="s">
        <v>3555</v>
      </c>
      <c r="EN119" s="75" t="s">
        <v>2772</v>
      </c>
      <c r="EO119" s="75" t="str">
        <f>HYPERLINK(".\links\SMART\EEC01472.1-SMART.txt","CDD:214595 smart00275, G_alpha, G protein alpha subunit")</f>
        <v>CDD:214595 smart00275, G_alpha, G protein alpha subunit</v>
      </c>
      <c r="EP119" s="75">
        <v>0.79</v>
      </c>
      <c r="EQ119" s="75">
        <v>10.199999999999999</v>
      </c>
      <c r="ER119" s="75" t="s">
        <v>3558</v>
      </c>
      <c r="ES119" s="75" t="s">
        <v>2772</v>
      </c>
      <c r="ET119" s="75" t="str">
        <f>HYPERLINK(".\links\TSF\EEC01472.1-TSF.txt","40-22 40-22, Lipocalin|His binding|S|")</f>
        <v>40-22 40-22, Lipocalin|His binding|S|</v>
      </c>
      <c r="EU119" s="79">
        <v>7.0000000000000002E-87</v>
      </c>
      <c r="EV119" s="75">
        <v>57.3</v>
      </c>
      <c r="EW119" s="75" t="s">
        <v>3559</v>
      </c>
      <c r="EX119" s="75" t="s">
        <v>3004</v>
      </c>
      <c r="EY119" s="75" t="s">
        <v>3311</v>
      </c>
      <c r="EZ119" s="75" t="s">
        <v>2785</v>
      </c>
      <c r="FA119" s="75" t="s">
        <v>3560</v>
      </c>
    </row>
    <row r="120" spans="1:157" x14ac:dyDescent="0.2">
      <c r="A120" s="75" t="str">
        <f>HYPERLINK(".\links\PEP\EEC11497.1-PEP.txt","EEC11497.1")</f>
        <v>EEC11497.1</v>
      </c>
      <c r="B120" s="75" t="s">
        <v>2768</v>
      </c>
      <c r="C120" s="75">
        <v>205</v>
      </c>
      <c r="D120" s="75" t="s">
        <v>3563</v>
      </c>
      <c r="E120" s="76" t="s">
        <v>3553</v>
      </c>
      <c r="F120" s="75" t="s">
        <v>2771</v>
      </c>
      <c r="G120" s="75" t="str">
        <f>HYPERLINK(".\links\Sigp\EEC11497.1-SigP.txt","SIG")</f>
        <v>SIG</v>
      </c>
      <c r="H120" s="75" t="s">
        <v>3208</v>
      </c>
      <c r="I120" s="75">
        <v>24.231999999999999</v>
      </c>
      <c r="J120" s="75">
        <v>5.85</v>
      </c>
      <c r="K120" s="75">
        <v>22.003</v>
      </c>
      <c r="L120" s="75">
        <v>5.86</v>
      </c>
      <c r="M120" s="75" t="str">
        <f>HYPERLINK(".\links\netoglyc\EEC11497.1-netoglyc.txt","0")</f>
        <v>0</v>
      </c>
      <c r="N120" s="75" t="s">
        <v>3564</v>
      </c>
      <c r="O120" s="75">
        <v>205</v>
      </c>
      <c r="P120" s="75">
        <v>0</v>
      </c>
      <c r="Q120" s="75" t="s">
        <v>2772</v>
      </c>
      <c r="R120" s="75" t="s">
        <v>2772</v>
      </c>
      <c r="S120" s="75" t="s">
        <v>2772</v>
      </c>
      <c r="T120" s="75" t="s">
        <v>2772</v>
      </c>
      <c r="U120" s="75" t="s">
        <v>2772</v>
      </c>
      <c r="V120" s="75" t="s">
        <v>2772</v>
      </c>
      <c r="W120" s="75">
        <v>10</v>
      </c>
      <c r="X120" s="75">
        <v>3.3</v>
      </c>
      <c r="Y120" s="75">
        <v>1.4</v>
      </c>
      <c r="Z120" s="75" t="s">
        <v>2774</v>
      </c>
      <c r="AA120" s="77">
        <v>4.8780487804878003</v>
      </c>
      <c r="AB120" s="75">
        <v>0.35</v>
      </c>
      <c r="AD120" s="75">
        <v>8</v>
      </c>
      <c r="AE120" s="75" t="str">
        <f>HYPERLINK(".\links\pep\EEC11497.1-sulf.txt","2")</f>
        <v>2</v>
      </c>
      <c r="AF120" s="75" t="str">
        <f>HYPERLINK(".\links\pep\EEC11497.1-tyr-sulf.txt","Fasta with y")</f>
        <v>Fasta with y</v>
      </c>
      <c r="AG120" s="75" t="s">
        <v>2772</v>
      </c>
      <c r="AH120" s="75" t="s">
        <v>2772</v>
      </c>
      <c r="AI120" s="75" t="s">
        <v>2772</v>
      </c>
      <c r="AJ120" s="75">
        <v>1</v>
      </c>
      <c r="AK120" s="75" t="s">
        <v>2772</v>
      </c>
      <c r="AL120" s="75" t="s">
        <v>2772</v>
      </c>
      <c r="AM120" s="75" t="s">
        <v>2772</v>
      </c>
      <c r="AN120" s="75" t="s">
        <v>2772</v>
      </c>
      <c r="AO120" s="78" t="str">
        <f>HYPERLINK(".\links\AAM-CEMENT-2018\EEC11497.1-AAM-CEMENT-2018.txt","Extracted CDS")</f>
        <v>Extracted CDS</v>
      </c>
      <c r="AP120" s="75" t="str">
        <f>HYPERLINK("http://www.ncbi.nlm.nih.gov/sutils/blink.cgi?pid=Aam-788","5E-09")</f>
        <v>5E-09</v>
      </c>
      <c r="AQ120" s="75" t="str">
        <f>HYPERLINK("http://www.ncbi.nlm.nih.gov/protein/Aam-788","Aam-788")</f>
        <v>Aam-788</v>
      </c>
      <c r="AR120" s="75">
        <v>47</v>
      </c>
      <c r="AS120" s="75">
        <v>163</v>
      </c>
      <c r="AT120" s="75">
        <v>175</v>
      </c>
      <c r="AU120" s="75">
        <v>28</v>
      </c>
      <c r="AV120" s="75">
        <v>42</v>
      </c>
      <c r="AW120" s="75">
        <v>93</v>
      </c>
      <c r="AX120" s="75">
        <v>116</v>
      </c>
      <c r="AY120" s="75">
        <v>20</v>
      </c>
      <c r="AZ120" s="75">
        <v>27</v>
      </c>
      <c r="BA120" s="75">
        <v>40</v>
      </c>
      <c r="BB120" s="75">
        <v>1</v>
      </c>
      <c r="BC120" s="75" t="s">
        <v>2775</v>
      </c>
      <c r="BD120" s="78" t="str">
        <f>HYPERLINK(".\links\CDD\EEC11497.1-CDD.txt","His_binding Tick histamine binding protein")</f>
        <v>His_binding Tick histamine binding protein</v>
      </c>
      <c r="BE120" s="79">
        <v>2.0000000000000001E-22</v>
      </c>
      <c r="BF120" s="75">
        <v>103.3</v>
      </c>
      <c r="BG120" s="75" t="s">
        <v>3555</v>
      </c>
      <c r="BH120" s="75" t="s">
        <v>3565</v>
      </c>
      <c r="BI120" s="75" t="str">
        <f>HYPERLINK(".\links\KOG\EEC11497.1-KOG.txt","CDD:226999 COG4652, COG4652, Uncharacterized protein conserved in bacteria")</f>
        <v>CDD:226999 COG4652, COG4652, Uncharacterized protein conserved in bacteria</v>
      </c>
      <c r="BJ120" s="75">
        <v>6.4000000000000001E-2</v>
      </c>
      <c r="BK120" s="75">
        <v>5.6</v>
      </c>
      <c r="BL120" s="75" t="s">
        <v>3566</v>
      </c>
      <c r="BM120" s="75" t="s">
        <v>2779</v>
      </c>
      <c r="BN120" s="78" t="str">
        <f>HYPERLINK(".\links\PFAM\EEC11497.1-PFAM.txt","His_binding Tick histamine binding protein")</f>
        <v>His_binding Tick histamine binding protein</v>
      </c>
      <c r="BO120" s="79">
        <v>5.0000000000000002E-23</v>
      </c>
      <c r="BP120" s="75">
        <v>103.3</v>
      </c>
      <c r="BQ120" s="75" t="s">
        <v>3555</v>
      </c>
      <c r="BR120" s="75" t="s">
        <v>2772</v>
      </c>
      <c r="BS120" s="78" t="str">
        <f>HYPERLINK(".\links\SMART\EEC11497.1-SMART.txt","CDD:214802 smart00752, HTTM, Horizontally Transferred TransMembrane Domain")</f>
        <v>CDD:214802 smart00752, HTTM, Horizontally Transferred TransMembrane Domain</v>
      </c>
      <c r="BT120" s="75">
        <v>0.88</v>
      </c>
      <c r="BU120" s="75">
        <v>5.2</v>
      </c>
      <c r="BV120" s="75" t="s">
        <v>3567</v>
      </c>
      <c r="BW120" s="75" t="s">
        <v>2772</v>
      </c>
      <c r="BX120" s="78" t="str">
        <f>HYPERLINK(".\links\TSF\EEC11497.1-TSF.txt","40-22 40-22, Lipocalin|His binding|S|")</f>
        <v>40-22 40-22, Lipocalin|His binding|S|</v>
      </c>
      <c r="BY120" s="79">
        <v>8.0000000000000007E-86</v>
      </c>
      <c r="BZ120" s="75">
        <v>55.3</v>
      </c>
      <c r="CA120" s="75" t="s">
        <v>3559</v>
      </c>
      <c r="CB120" s="75" t="s">
        <v>3004</v>
      </c>
      <c r="CC120" s="75" t="s">
        <v>3311</v>
      </c>
      <c r="CD120" s="75" t="s">
        <v>2785</v>
      </c>
      <c r="CE120" s="75" t="s">
        <v>3560</v>
      </c>
      <c r="CF120" s="75">
        <f>HYPERLINK(".\links\cluster-b\Ixsc-cement-202225-50SimCLU5.txt", 5)</f>
        <v>5</v>
      </c>
      <c r="CG120" s="75">
        <f>HYPERLINK(".\links\cluster-b\Ixsc-cement-202225-50SimCLTL5.txt", 4)</f>
        <v>4</v>
      </c>
      <c r="CH120" s="75">
        <f>HYPERLINK(".\links\cluster-b\Ixsc-cement-202230-50SimCLU4.txt", 4)</f>
        <v>4</v>
      </c>
      <c r="CI120" s="75">
        <f>HYPERLINK(".\links\cluster-b\Ixsc-cement-202230-50SimCLTL4.txt", 4)</f>
        <v>4</v>
      </c>
      <c r="CJ120" s="75">
        <f>HYPERLINK(".\links\cluster-b\Ixsc-cement-202235-50SimCLU4.txt", 4)</f>
        <v>4</v>
      </c>
      <c r="CK120" s="75">
        <f>HYPERLINK(".\links\cluster-b\Ixsc-cement-202235-50SimCLTL4.txt", 4)</f>
        <v>4</v>
      </c>
      <c r="CL120" s="75">
        <f>HYPERLINK(".\links\cluster-b\Ixsc-cement-202240-50SimCLU4.txt", 4)</f>
        <v>4</v>
      </c>
      <c r="CM120" s="75">
        <f>HYPERLINK(".\links\cluster-b\Ixsc-cement-202240-50SimCLTL4.txt", 4)</f>
        <v>4</v>
      </c>
      <c r="CN120" s="75">
        <f>HYPERLINK(".\links\cluster-b\Ixsc-cement-202245-50SimCLU4.txt", 4)</f>
        <v>4</v>
      </c>
      <c r="CO120" s="75">
        <f>HYPERLINK(".\links\cluster-b\Ixsc-cement-202245-50SimCLTL4.txt", 4)</f>
        <v>4</v>
      </c>
      <c r="CP120" s="75">
        <f>HYPERLINK(".\links\cluster-b\Ixsc-cement-202250-50SimCLU4.txt", 4)</f>
        <v>4</v>
      </c>
      <c r="CQ120" s="75">
        <f>HYPERLINK(".\links\cluster-b\Ixsc-cement-202250-50SimCLTL4.txt", 4)</f>
        <v>4</v>
      </c>
      <c r="CR120" s="75">
        <f>HYPERLINK(".\links\cluster-b\Ixsc-cement-202255-50SimCLU4.txt", 4)</f>
        <v>4</v>
      </c>
      <c r="CS120" s="75">
        <f>HYPERLINK(".\links\cluster-b\Ixsc-cement-202255-50SimCLTL4.txt", 4)</f>
        <v>4</v>
      </c>
      <c r="CT120" s="75">
        <f>HYPERLINK(".\links\cluster-b\Ixsc-cement-202260-50SimCLU4.txt", 4)</f>
        <v>4</v>
      </c>
      <c r="CU120" s="75">
        <f>HYPERLINK(".\links\cluster-b\Ixsc-cement-202260-50SimCLTL4.txt", 4)</f>
        <v>4</v>
      </c>
      <c r="CV120" s="75">
        <v>68</v>
      </c>
      <c r="CW120" s="75">
        <v>1</v>
      </c>
      <c r="CX120" s="75">
        <v>72</v>
      </c>
      <c r="CY120" s="75">
        <v>1</v>
      </c>
      <c r="CZ120" s="75">
        <v>74</v>
      </c>
      <c r="DA120" s="75">
        <v>1</v>
      </c>
      <c r="DB120" s="75">
        <v>79</v>
      </c>
      <c r="DC120" s="75">
        <v>1</v>
      </c>
      <c r="DD120" s="75">
        <v>82</v>
      </c>
      <c r="DE120" s="75">
        <v>1</v>
      </c>
      <c r="DF120" s="75">
        <v>84</v>
      </c>
      <c r="DG120" s="75">
        <v>1</v>
      </c>
      <c r="DH120" s="75">
        <v>85</v>
      </c>
      <c r="DI120" s="75">
        <v>1</v>
      </c>
      <c r="DJ120" s="75" t="s">
        <v>17</v>
      </c>
      <c r="DK120" s="75" t="str">
        <f>HYPERLINK(".\links\AAM-CEMENT-2018\EEC11497.1-AAM-CEMENT-2018.txt","Extracted CDS")</f>
        <v>Extracted CDS</v>
      </c>
      <c r="DL120" s="75" t="str">
        <f>HYPERLINK("http://www.ncbi.nlm.nih.gov/sutils/blink.cgi?pid=Aam-788","5E-09")</f>
        <v>5E-09</v>
      </c>
      <c r="DM120" s="75" t="str">
        <f>HYPERLINK("http://www.ncbi.nlm.nih.gov/protein/Aam-788","Aam-788")</f>
        <v>Aam-788</v>
      </c>
      <c r="DN120" s="75">
        <v>47</v>
      </c>
      <c r="DO120" s="75">
        <v>163</v>
      </c>
      <c r="DP120" s="75">
        <v>175</v>
      </c>
      <c r="DQ120" s="75">
        <v>28</v>
      </c>
      <c r="DR120" s="75">
        <v>42</v>
      </c>
      <c r="DS120" s="75">
        <v>93</v>
      </c>
      <c r="DT120" s="75">
        <v>116</v>
      </c>
      <c r="DU120" s="75">
        <v>20</v>
      </c>
      <c r="DV120" s="75">
        <v>27</v>
      </c>
      <c r="DW120" s="75">
        <v>40</v>
      </c>
      <c r="DX120" s="75">
        <v>1</v>
      </c>
      <c r="DY120" s="75" t="s">
        <v>2775</v>
      </c>
      <c r="DZ120" s="75" t="str">
        <f>HYPERLINK(".\links\CDD\EEC11497.1-CDD.txt","His_binding Tick histamine binding protein")</f>
        <v>His_binding Tick histamine binding protein</v>
      </c>
      <c r="EA120" s="79">
        <v>2.0000000000000001E-22</v>
      </c>
      <c r="EB120" s="75">
        <v>103.3</v>
      </c>
      <c r="EC120" s="75" t="s">
        <v>3555</v>
      </c>
      <c r="ED120" s="75" t="s">
        <v>3565</v>
      </c>
      <c r="EE120" s="75" t="str">
        <f>HYPERLINK(".\links\KOG\EEC11497.1-KOG.txt","CDD:226999 COG4652, COG4652, Uncharacterized protein conserved in bacteria")</f>
        <v>CDD:226999 COG4652, COG4652, Uncharacterized protein conserved in bacteria</v>
      </c>
      <c r="EF120" s="75">
        <v>6.4000000000000001E-2</v>
      </c>
      <c r="EG120" s="75">
        <v>5.6</v>
      </c>
      <c r="EH120" s="75" t="s">
        <v>3566</v>
      </c>
      <c r="EI120" s="75" t="s">
        <v>2779</v>
      </c>
      <c r="EJ120" s="75" t="str">
        <f>HYPERLINK(".\links\PFAM\EEC11497.1-PFAM.txt","His_binding Tick histamine binding protein")</f>
        <v>His_binding Tick histamine binding protein</v>
      </c>
      <c r="EK120" s="79">
        <v>5.0000000000000002E-23</v>
      </c>
      <c r="EL120" s="75">
        <v>103.3</v>
      </c>
      <c r="EM120" s="75" t="s">
        <v>3555</v>
      </c>
      <c r="EN120" s="75" t="s">
        <v>2772</v>
      </c>
      <c r="EO120" s="75" t="str">
        <f>HYPERLINK(".\links\SMART\EEC11497.1-SMART.txt","CDD:214802 smart00752, HTTM, Horizontally Transferred TransMembrane Domain")</f>
        <v>CDD:214802 smart00752, HTTM, Horizontally Transferred TransMembrane Domain</v>
      </c>
      <c r="EP120" s="75">
        <v>0.88</v>
      </c>
      <c r="EQ120" s="75">
        <v>5.2</v>
      </c>
      <c r="ER120" s="75" t="s">
        <v>3567</v>
      </c>
      <c r="ES120" s="75" t="s">
        <v>2772</v>
      </c>
      <c r="ET120" s="75" t="str">
        <f>HYPERLINK(".\links\TSF\EEC11497.1-TSF.txt","40-22 40-22, Lipocalin|His binding|S|")</f>
        <v>40-22 40-22, Lipocalin|His binding|S|</v>
      </c>
      <c r="EU120" s="79">
        <v>8.0000000000000007E-86</v>
      </c>
      <c r="EV120" s="75">
        <v>55.3</v>
      </c>
      <c r="EW120" s="75" t="s">
        <v>3559</v>
      </c>
      <c r="EX120" s="75" t="s">
        <v>3004</v>
      </c>
      <c r="EY120" s="75" t="s">
        <v>3311</v>
      </c>
      <c r="EZ120" s="75" t="s">
        <v>2785</v>
      </c>
      <c r="FA120" s="75" t="s">
        <v>3560</v>
      </c>
    </row>
    <row r="121" spans="1:157" s="80" customFormat="1" x14ac:dyDescent="0.2">
      <c r="A121" s="75" t="str">
        <f>HYPERLINK(".\links\PEP\AAY66819.1-PEP.txt","AAY66819.1")</f>
        <v>AAY66819.1</v>
      </c>
      <c r="B121" s="75" t="s">
        <v>2768</v>
      </c>
      <c r="C121" s="75">
        <v>176</v>
      </c>
      <c r="D121" s="75" t="s">
        <v>3568</v>
      </c>
      <c r="E121" s="76" t="s">
        <v>3553</v>
      </c>
      <c r="F121" s="75" t="s">
        <v>2771</v>
      </c>
      <c r="G121" s="75" t="str">
        <f>HYPERLINK(".\links\Sigp\AAY66819.1-SigP.txt","SIG")</f>
        <v>SIG</v>
      </c>
      <c r="H121" s="75" t="s">
        <v>3208</v>
      </c>
      <c r="I121" s="75">
        <v>20.725000000000001</v>
      </c>
      <c r="J121" s="75">
        <v>5.71</v>
      </c>
      <c r="K121" s="75">
        <v>18.510999999999999</v>
      </c>
      <c r="L121" s="75">
        <v>6.3</v>
      </c>
      <c r="M121" s="75" t="str">
        <f>HYPERLINK(".\links\netoglyc\AAY66819.1-netoglyc.txt","0")</f>
        <v>0</v>
      </c>
      <c r="N121" s="75" t="s">
        <v>3569</v>
      </c>
      <c r="O121" s="75">
        <v>176</v>
      </c>
      <c r="P121" s="75">
        <v>0</v>
      </c>
      <c r="Q121" s="75" t="s">
        <v>2772</v>
      </c>
      <c r="R121" s="75" t="s">
        <v>2772</v>
      </c>
      <c r="S121" s="75" t="s">
        <v>2772</v>
      </c>
      <c r="T121" s="75" t="s">
        <v>2772</v>
      </c>
      <c r="U121" s="75" t="s">
        <v>2772</v>
      </c>
      <c r="V121" s="75" t="s">
        <v>2772</v>
      </c>
      <c r="W121" s="75">
        <v>10.6</v>
      </c>
      <c r="X121" s="75">
        <v>3.3</v>
      </c>
      <c r="Y121" s="75">
        <v>2.8</v>
      </c>
      <c r="Z121" s="75" t="s">
        <v>2774</v>
      </c>
      <c r="AA121" s="77">
        <v>6.25</v>
      </c>
      <c r="AB121" s="75">
        <v>0.28000000000000003</v>
      </c>
      <c r="AC121" s="75" t="s">
        <v>3570</v>
      </c>
      <c r="AD121" s="75">
        <v>6</v>
      </c>
      <c r="AE121" s="75" t="str">
        <f>HYPERLINK(".\links\pep\AAY66819.1-sulf.txt","1")</f>
        <v>1</v>
      </c>
      <c r="AF121" s="75" t="str">
        <f>HYPERLINK(".\links\pep\AAY66819.1-tyr-sulf.txt","Fasta with y")</f>
        <v>Fasta with y</v>
      </c>
      <c r="AG121" s="75" t="s">
        <v>2772</v>
      </c>
      <c r="AH121" s="75" t="s">
        <v>2772</v>
      </c>
      <c r="AI121" s="75">
        <v>1</v>
      </c>
      <c r="AJ121" s="75">
        <v>1</v>
      </c>
      <c r="AK121" s="75" t="s">
        <v>2772</v>
      </c>
      <c r="AL121" s="75" t="s">
        <v>2772</v>
      </c>
      <c r="AM121" s="75" t="s">
        <v>2772</v>
      </c>
      <c r="AN121" s="75" t="s">
        <v>2772</v>
      </c>
      <c r="AO121" s="78" t="str">
        <f>HYPERLINK(".\links\AAM-CEMENT-2018\AAY66819.1-AAM-CEMENT-2018.txt","Extracted CDS")</f>
        <v>Extracted CDS</v>
      </c>
      <c r="AP121" s="75" t="str">
        <f>HYPERLINK("http://www.ncbi.nlm.nih.gov/sutils/blink.cgi?pid=Aam-788","7E-06")</f>
        <v>7E-06</v>
      </c>
      <c r="AQ121" s="75" t="str">
        <f>HYPERLINK("http://www.ncbi.nlm.nih.gov/protein/Aam-788","Aam-788")</f>
        <v>Aam-788</v>
      </c>
      <c r="AR121" s="75">
        <v>37.4</v>
      </c>
      <c r="AS121" s="75">
        <v>146</v>
      </c>
      <c r="AT121" s="75">
        <v>175</v>
      </c>
      <c r="AU121" s="75">
        <v>27</v>
      </c>
      <c r="AV121" s="75">
        <v>43</v>
      </c>
      <c r="AW121" s="75">
        <v>83</v>
      </c>
      <c r="AX121" s="75">
        <v>106</v>
      </c>
      <c r="AY121" s="75">
        <v>25</v>
      </c>
      <c r="AZ121" s="75">
        <v>26</v>
      </c>
      <c r="BA121" s="75">
        <v>38</v>
      </c>
      <c r="BB121" s="75">
        <v>1</v>
      </c>
      <c r="BC121" s="75" t="s">
        <v>2775</v>
      </c>
      <c r="BD121" s="78" t="str">
        <f>HYPERLINK(".\links\CDD\AAY66819.1-CDD.txt","His_binding Tick histamine binding protein")</f>
        <v>His_binding Tick histamine binding protein</v>
      </c>
      <c r="BE121" s="79">
        <v>2.0000000000000001E-32</v>
      </c>
      <c r="BF121" s="75">
        <v>101.3</v>
      </c>
      <c r="BG121" s="75" t="s">
        <v>3555</v>
      </c>
      <c r="BH121" s="75" t="s">
        <v>3571</v>
      </c>
      <c r="BI121" s="75" t="str">
        <f>HYPERLINK(".\links\KOG\AAY66819.1-KOG.txt","CDD:227905 COG5618, COG5618, Predicted periplasmic lipoprotein")</f>
        <v>CDD:227905 COG5618, COG5618, Predicted periplasmic lipoprotein</v>
      </c>
      <c r="BJ121" s="75">
        <v>0.15</v>
      </c>
      <c r="BK121" s="75">
        <v>21.4</v>
      </c>
      <c r="BL121" s="75" t="s">
        <v>3572</v>
      </c>
      <c r="BM121" s="75" t="s">
        <v>2779</v>
      </c>
      <c r="BN121" s="78" t="str">
        <f>HYPERLINK(".\links\PFAM\AAY66819.1-PFAM.txt","His_binding Tick histamine binding protein")</f>
        <v>His_binding Tick histamine binding protein</v>
      </c>
      <c r="BO121" s="79">
        <v>6.0000000000000003E-33</v>
      </c>
      <c r="BP121" s="75">
        <v>101.3</v>
      </c>
      <c r="BQ121" s="75" t="s">
        <v>3555</v>
      </c>
      <c r="BR121" s="75" t="s">
        <v>2772</v>
      </c>
      <c r="BS121" s="78" t="str">
        <f>HYPERLINK(".\links\SMART\AAY66819.1-SMART.txt","CDD:197773 smart00527, HMG17, domain in high mobilty group proteins HMG14 and HMG 17")</f>
        <v>CDD:197773 smart00527, HMG17, domain in high mobilty group proteins HMG14 and HMG 17</v>
      </c>
      <c r="BT121" s="75">
        <v>0.12</v>
      </c>
      <c r="BU121" s="75">
        <v>39.799999999999997</v>
      </c>
      <c r="BV121" s="75" t="s">
        <v>3573</v>
      </c>
      <c r="BW121" s="75" t="s">
        <v>2772</v>
      </c>
      <c r="BX121" s="78" t="str">
        <f>HYPERLINK(".\links\TSF\AAY66819.1-TSF.txt","40-22 40-22, Lipocalin|His binding|S|")</f>
        <v>40-22 40-22, Lipocalin|His binding|S|</v>
      </c>
      <c r="BY121" s="79">
        <v>1.9999999999999999E-81</v>
      </c>
      <c r="BZ121" s="75">
        <v>54.1</v>
      </c>
      <c r="CA121" s="75" t="s">
        <v>3559</v>
      </c>
      <c r="CB121" s="75" t="s">
        <v>3004</v>
      </c>
      <c r="CC121" s="75" t="s">
        <v>3311</v>
      </c>
      <c r="CD121" s="75" t="s">
        <v>2785</v>
      </c>
      <c r="CE121" s="75" t="s">
        <v>3560</v>
      </c>
      <c r="CF121" s="75">
        <f>HYPERLINK(".\links\cluster-b\Ixsc-cement-202225-50SimCLU5.txt", 5)</f>
        <v>5</v>
      </c>
      <c r="CG121" s="75">
        <f>HYPERLINK(".\links\cluster-b\Ixsc-cement-202225-50SimCLTL5.txt", 4)</f>
        <v>4</v>
      </c>
      <c r="CH121" s="75">
        <f>HYPERLINK(".\links\cluster-b\Ixsc-cement-202230-50SimCLU4.txt", 4)</f>
        <v>4</v>
      </c>
      <c r="CI121" s="75">
        <f>HYPERLINK(".\links\cluster-b\Ixsc-cement-202230-50SimCLTL4.txt", 4)</f>
        <v>4</v>
      </c>
      <c r="CJ121" s="75">
        <f>HYPERLINK(".\links\cluster-b\Ixsc-cement-202235-50SimCLU4.txt", 4)</f>
        <v>4</v>
      </c>
      <c r="CK121" s="75">
        <f>HYPERLINK(".\links\cluster-b\Ixsc-cement-202235-50SimCLTL4.txt", 4)</f>
        <v>4</v>
      </c>
      <c r="CL121" s="75">
        <f>HYPERLINK(".\links\cluster-b\Ixsc-cement-202240-50SimCLU4.txt", 4)</f>
        <v>4</v>
      </c>
      <c r="CM121" s="75">
        <f>HYPERLINK(".\links\cluster-b\Ixsc-cement-202240-50SimCLTL4.txt", 4)</f>
        <v>4</v>
      </c>
      <c r="CN121" s="75">
        <f>HYPERLINK(".\links\cluster-b\Ixsc-cement-202245-50SimCLU4.txt", 4)</f>
        <v>4</v>
      </c>
      <c r="CO121" s="75">
        <f>HYPERLINK(".\links\cluster-b\Ixsc-cement-202245-50SimCLTL4.txt", 4)</f>
        <v>4</v>
      </c>
      <c r="CP121" s="75">
        <f>HYPERLINK(".\links\cluster-b\Ixsc-cement-202250-50SimCLU4.txt", 4)</f>
        <v>4</v>
      </c>
      <c r="CQ121" s="75">
        <f>HYPERLINK(".\links\cluster-b\Ixsc-cement-202250-50SimCLTL4.txt", 4)</f>
        <v>4</v>
      </c>
      <c r="CR121" s="75">
        <f>HYPERLINK(".\links\cluster-b\Ixsc-cement-202255-50SimCLU4.txt", 4)</f>
        <v>4</v>
      </c>
      <c r="CS121" s="75">
        <f>HYPERLINK(".\links\cluster-b\Ixsc-cement-202255-50SimCLTL4.txt", 4)</f>
        <v>4</v>
      </c>
      <c r="CT121" s="75">
        <f>HYPERLINK(".\links\cluster-b\Ixsc-cement-202260-50SimCLU4.txt", 4)</f>
        <v>4</v>
      </c>
      <c r="CU121" s="75">
        <f>HYPERLINK(".\links\cluster-b\Ixsc-cement-202260-50SimCLTL4.txt", 4)</f>
        <v>4</v>
      </c>
      <c r="CV121" s="75">
        <f>HYPERLINK(".\links\cluster-b\Ixsc-cement-202265-50SimCLU5.txt", 5)</f>
        <v>5</v>
      </c>
      <c r="CW121" s="75">
        <f>HYPERLINK(".\links\cluster-b\Ixsc-cement-202265-50SimCLTL5.txt", 3)</f>
        <v>3</v>
      </c>
      <c r="CX121" s="75">
        <v>24</v>
      </c>
      <c r="CY121" s="75">
        <v>1</v>
      </c>
      <c r="CZ121" s="75">
        <v>24</v>
      </c>
      <c r="DA121" s="75">
        <v>1</v>
      </c>
      <c r="DB121" s="75">
        <v>23</v>
      </c>
      <c r="DC121" s="75">
        <v>1</v>
      </c>
      <c r="DD121" s="75">
        <v>21</v>
      </c>
      <c r="DE121" s="75">
        <v>1</v>
      </c>
      <c r="DF121" s="75">
        <v>20</v>
      </c>
      <c r="DG121" s="75">
        <v>1</v>
      </c>
      <c r="DH121" s="75">
        <v>19</v>
      </c>
      <c r="DI121" s="75">
        <v>1</v>
      </c>
      <c r="DJ121" s="75" t="s">
        <v>15</v>
      </c>
      <c r="DK121" s="75" t="str">
        <f>HYPERLINK(".\links\AAM-CEMENT-2018\AAY66819.1-AAM-CEMENT-2018.txt","Extracted CDS")</f>
        <v>Extracted CDS</v>
      </c>
      <c r="DL121" s="75" t="str">
        <f>HYPERLINK("http://www.ncbi.nlm.nih.gov/sutils/blink.cgi?pid=Aam-788","7E-06")</f>
        <v>7E-06</v>
      </c>
      <c r="DM121" s="75" t="str">
        <f>HYPERLINK("http://www.ncbi.nlm.nih.gov/protein/Aam-788","Aam-788")</f>
        <v>Aam-788</v>
      </c>
      <c r="DN121" s="75">
        <v>37.4</v>
      </c>
      <c r="DO121" s="75">
        <v>146</v>
      </c>
      <c r="DP121" s="75">
        <v>175</v>
      </c>
      <c r="DQ121" s="75">
        <v>27</v>
      </c>
      <c r="DR121" s="75">
        <v>43</v>
      </c>
      <c r="DS121" s="75">
        <v>83</v>
      </c>
      <c r="DT121" s="75">
        <v>106</v>
      </c>
      <c r="DU121" s="75">
        <v>25</v>
      </c>
      <c r="DV121" s="75">
        <v>26</v>
      </c>
      <c r="DW121" s="75">
        <v>38</v>
      </c>
      <c r="DX121" s="75">
        <v>1</v>
      </c>
      <c r="DY121" s="75" t="s">
        <v>2775</v>
      </c>
      <c r="DZ121" s="75" t="str">
        <f>HYPERLINK(".\links\CDD\AAY66819.1-CDD.txt","His_binding Tick histamine binding protein")</f>
        <v>His_binding Tick histamine binding protein</v>
      </c>
      <c r="EA121" s="79">
        <v>2.0000000000000001E-32</v>
      </c>
      <c r="EB121" s="75">
        <v>101.3</v>
      </c>
      <c r="EC121" s="75" t="s">
        <v>3555</v>
      </c>
      <c r="ED121" s="75" t="s">
        <v>3571</v>
      </c>
      <c r="EE121" s="75" t="str">
        <f>HYPERLINK(".\links\KOG\AAY66819.1-KOG.txt","CDD:227905 COG5618, COG5618, Predicted periplasmic lipoprotein")</f>
        <v>CDD:227905 COG5618, COG5618, Predicted periplasmic lipoprotein</v>
      </c>
      <c r="EF121" s="75">
        <v>0.15</v>
      </c>
      <c r="EG121" s="75">
        <v>21.4</v>
      </c>
      <c r="EH121" s="75" t="s">
        <v>3572</v>
      </c>
      <c r="EI121" s="75" t="s">
        <v>2779</v>
      </c>
      <c r="EJ121" s="75" t="str">
        <f>HYPERLINK(".\links\PFAM\AAY66819.1-PFAM.txt","His_binding Tick histamine binding protein")</f>
        <v>His_binding Tick histamine binding protein</v>
      </c>
      <c r="EK121" s="79">
        <v>6.0000000000000003E-33</v>
      </c>
      <c r="EL121" s="75">
        <v>101.3</v>
      </c>
      <c r="EM121" s="75" t="s">
        <v>3555</v>
      </c>
      <c r="EN121" s="75" t="s">
        <v>2772</v>
      </c>
      <c r="EO121" s="75" t="str">
        <f>HYPERLINK(".\links\SMART\AAY66819.1-SMART.txt","CDD:197773 smart00527, HMG17, domain in high mobilty group proteins HMG14 and HMG 17")</f>
        <v>CDD:197773 smart00527, HMG17, domain in high mobilty group proteins HMG14 and HMG 17</v>
      </c>
      <c r="EP121" s="75">
        <v>0.12</v>
      </c>
      <c r="EQ121" s="75">
        <v>39.799999999999997</v>
      </c>
      <c r="ER121" s="75" t="s">
        <v>3573</v>
      </c>
      <c r="ES121" s="75" t="s">
        <v>2772</v>
      </c>
      <c r="ET121" s="75" t="str">
        <f>HYPERLINK(".\links\TSF\AAY66819.1-TSF.txt","40-22 40-22, Lipocalin|His binding|S|")</f>
        <v>40-22 40-22, Lipocalin|His binding|S|</v>
      </c>
      <c r="EU121" s="79">
        <v>1.9999999999999999E-81</v>
      </c>
      <c r="EV121" s="75">
        <v>54.1</v>
      </c>
      <c r="EW121" s="75" t="s">
        <v>3559</v>
      </c>
      <c r="EX121" s="75" t="s">
        <v>3004</v>
      </c>
      <c r="EY121" s="75" t="s">
        <v>3311</v>
      </c>
      <c r="EZ121" s="75" t="s">
        <v>2785</v>
      </c>
      <c r="FA121" s="75" t="s">
        <v>3560</v>
      </c>
    </row>
    <row r="122" spans="1:157" s="80" customFormat="1" x14ac:dyDescent="0.2">
      <c r="A122" s="75" t="str">
        <f>HYPERLINK(".\links\PEP\EEC01384.1-PEP.txt","EEC01384.1")</f>
        <v>EEC01384.1</v>
      </c>
      <c r="B122" s="75" t="s">
        <v>2768</v>
      </c>
      <c r="C122" s="75">
        <v>90</v>
      </c>
      <c r="D122" s="75" t="s">
        <v>3507</v>
      </c>
      <c r="E122" s="76" t="s">
        <v>54</v>
      </c>
      <c r="F122" s="75" t="s">
        <v>2771</v>
      </c>
      <c r="G122" s="75" t="str">
        <f>HYPERLINK(".\links\Sigp\EEC01384.1-SigP.txt","CYT")</f>
        <v>CYT</v>
      </c>
      <c r="H122" s="75" t="s">
        <v>2772</v>
      </c>
      <c r="I122" s="75">
        <v>10.145</v>
      </c>
      <c r="J122" s="75">
        <v>5.2</v>
      </c>
      <c r="K122" s="75" t="s">
        <v>2772</v>
      </c>
      <c r="L122" s="75" t="s">
        <v>2772</v>
      </c>
      <c r="M122" s="75" t="str">
        <f>HYPERLINK(".\links\netoglyc\EEC01384.1-netoglyc.txt","0")</f>
        <v>0</v>
      </c>
      <c r="N122" s="75" t="s">
        <v>2817</v>
      </c>
      <c r="O122" s="75">
        <v>90</v>
      </c>
      <c r="P122" s="75">
        <v>0</v>
      </c>
      <c r="Q122" s="75" t="s">
        <v>2772</v>
      </c>
      <c r="R122" s="75" t="s">
        <v>2772</v>
      </c>
      <c r="S122" s="75" t="s">
        <v>2772</v>
      </c>
      <c r="T122" s="75" t="s">
        <v>2772</v>
      </c>
      <c r="U122" s="75" t="s">
        <v>2772</v>
      </c>
      <c r="V122" s="75" t="s">
        <v>2772</v>
      </c>
      <c r="W122" s="75">
        <v>9.6999999999999993</v>
      </c>
      <c r="X122" s="75">
        <v>12.9</v>
      </c>
      <c r="Y122" s="75">
        <v>4.3</v>
      </c>
      <c r="Z122" s="75" t="s">
        <v>2774</v>
      </c>
      <c r="AA122" s="77">
        <v>17.7777777777778</v>
      </c>
      <c r="AB122" s="75">
        <v>0.32</v>
      </c>
      <c r="AC122" s="75"/>
      <c r="AD122" s="75">
        <v>2</v>
      </c>
      <c r="AE122" s="75" t="s">
        <v>2772</v>
      </c>
      <c r="AF122" s="75" t="s">
        <v>2772</v>
      </c>
      <c r="AG122" s="75" t="s">
        <v>2772</v>
      </c>
      <c r="AH122" s="75" t="s">
        <v>2772</v>
      </c>
      <c r="AI122" s="75">
        <v>1</v>
      </c>
      <c r="AJ122" s="75">
        <v>2</v>
      </c>
      <c r="AK122" s="75" t="s">
        <v>2772</v>
      </c>
      <c r="AL122" s="75" t="s">
        <v>2772</v>
      </c>
      <c r="AM122" s="75" t="s">
        <v>2772</v>
      </c>
      <c r="AN122" s="75" t="s">
        <v>2772</v>
      </c>
      <c r="AO122" s="78" t="str">
        <f>HYPERLINK(".\links\AAM-CEMENT-2018\EEC01384.1-AAM-CEMENT-2018.txt","Extracted CDS")</f>
        <v>Extracted CDS</v>
      </c>
      <c r="AP122" s="75" t="str">
        <f>HYPERLINK("http://www.ncbi.nlm.nih.gov/sutils/blink.cgi?pid=Aam-178493","1E-55")</f>
        <v>1E-55</v>
      </c>
      <c r="AQ122" s="75" t="str">
        <f>HYPERLINK("http://www.ncbi.nlm.nih.gov/protein/Aam-178493","Aam-178493")</f>
        <v>Aam-178493</v>
      </c>
      <c r="AR122" s="75">
        <v>171</v>
      </c>
      <c r="AS122" s="75">
        <v>94</v>
      </c>
      <c r="AT122" s="75">
        <v>446</v>
      </c>
      <c r="AU122" s="75">
        <v>85</v>
      </c>
      <c r="AV122" s="75">
        <v>89</v>
      </c>
      <c r="AW122" s="75">
        <v>21</v>
      </c>
      <c r="AX122" s="75">
        <v>14</v>
      </c>
      <c r="AY122" s="75">
        <v>4</v>
      </c>
      <c r="AZ122" s="75">
        <v>1</v>
      </c>
      <c r="BA122" s="75">
        <v>1</v>
      </c>
      <c r="BB122" s="75">
        <v>1</v>
      </c>
      <c r="BC122" s="75" t="s">
        <v>2775</v>
      </c>
      <c r="BD122" s="78" t="str">
        <f>HYPERLINK(".\links\CDD\EEC01384.1-CDD.txt","PLN00220 tubulin beta chain")</f>
        <v>PLN00220 tubulin beta chain</v>
      </c>
      <c r="BE122" s="79">
        <v>3.0000000000000001E-59</v>
      </c>
      <c r="BF122" s="75">
        <v>21</v>
      </c>
      <c r="BG122" s="75" t="s">
        <v>2972</v>
      </c>
      <c r="BH122" s="75" t="s">
        <v>3574</v>
      </c>
      <c r="BI122" s="75" t="str">
        <f>HYPERLINK(".\links\KOG\EEC01384.1-KOG.txt","CDD:227356 COG5023, COG5023, Tubulin")</f>
        <v>CDD:227356 COG5023, COG5023, Tubulin</v>
      </c>
      <c r="BJ122" s="79">
        <v>9.9999999999999995E-45</v>
      </c>
      <c r="BK122" s="75">
        <v>21</v>
      </c>
      <c r="BL122" s="75" t="s">
        <v>2974</v>
      </c>
      <c r="BM122" s="75" t="s">
        <v>2779</v>
      </c>
      <c r="BN122" s="78" t="str">
        <f>HYPERLINK(".\links\PFAM\EEC01384.1-PFAM.txt","Tubulin Tubulin/FtsZ family GTPase domain")</f>
        <v>Tubulin Tubulin/FtsZ family GTPase domain</v>
      </c>
      <c r="BO122" s="79">
        <v>7.0000000000000005E-14</v>
      </c>
      <c r="BP122" s="75">
        <v>48.4</v>
      </c>
      <c r="BQ122" s="75" t="s">
        <v>2995</v>
      </c>
      <c r="BR122" s="75" t="s">
        <v>2772</v>
      </c>
      <c r="BS122" s="78" t="str">
        <f>HYPERLINK(".\links\SMART\EEC01384.1-SMART.txt","CDD:214867 smart00864, Tubulin, Tubulin/FtsZ family, GTPase domain")</f>
        <v>CDD:214867 smart00864, Tubulin, Tubulin/FtsZ family, GTPase domain</v>
      </c>
      <c r="BT122" s="79">
        <v>3E-11</v>
      </c>
      <c r="BU122" s="75">
        <v>24.5</v>
      </c>
      <c r="BV122" s="75" t="s">
        <v>2976</v>
      </c>
      <c r="BW122" s="75" t="s">
        <v>2772</v>
      </c>
      <c r="BX122" s="78" t="str">
        <f>HYPERLINK(".\links\TSF\EEC01384.1-TSF.txt","25-48 25-48, Hyp30||S|")</f>
        <v>25-48 25-48, Hyp30||S|</v>
      </c>
      <c r="BY122" s="75">
        <v>0.45</v>
      </c>
      <c r="BZ122" s="75">
        <v>4.9000000000000004</v>
      </c>
      <c r="CA122" s="75" t="s">
        <v>3575</v>
      </c>
      <c r="CB122" s="75" t="s">
        <v>3576</v>
      </c>
      <c r="CC122" s="75" t="s">
        <v>2772</v>
      </c>
      <c r="CD122" s="75" t="s">
        <v>2785</v>
      </c>
      <c r="CE122" s="75" t="s">
        <v>3577</v>
      </c>
      <c r="CF122" s="75">
        <f>HYPERLINK(".\links\cluster-b\Ixsc-cement-202225-50SimCLU1.txt", 1)</f>
        <v>1</v>
      </c>
      <c r="CG122" s="75">
        <f>HYPERLINK(".\links\cluster-b\Ixsc-cement-202225-50SimCLTL1.txt", 20)</f>
        <v>20</v>
      </c>
      <c r="CH122" s="75">
        <v>27</v>
      </c>
      <c r="CI122" s="75">
        <v>1</v>
      </c>
      <c r="CJ122" s="75">
        <v>26</v>
      </c>
      <c r="CK122" s="75">
        <v>1</v>
      </c>
      <c r="CL122" s="75">
        <v>28</v>
      </c>
      <c r="CM122" s="75">
        <v>1</v>
      </c>
      <c r="CN122" s="75">
        <v>26</v>
      </c>
      <c r="CO122" s="75">
        <v>1</v>
      </c>
      <c r="CP122" s="75">
        <v>26</v>
      </c>
      <c r="CQ122" s="75">
        <v>1</v>
      </c>
      <c r="CR122" s="75">
        <v>27</v>
      </c>
      <c r="CS122" s="75">
        <v>1</v>
      </c>
      <c r="CT122" s="75">
        <v>29</v>
      </c>
      <c r="CU122" s="75">
        <v>1</v>
      </c>
      <c r="CV122" s="75">
        <v>29</v>
      </c>
      <c r="CW122" s="75">
        <v>1</v>
      </c>
      <c r="CX122" s="75">
        <v>30</v>
      </c>
      <c r="CY122" s="75">
        <v>1</v>
      </c>
      <c r="CZ122" s="75">
        <v>30</v>
      </c>
      <c r="DA122" s="75">
        <v>1</v>
      </c>
      <c r="DB122" s="75">
        <v>29</v>
      </c>
      <c r="DC122" s="75">
        <v>1</v>
      </c>
      <c r="DD122" s="75">
        <v>27</v>
      </c>
      <c r="DE122" s="75">
        <v>1</v>
      </c>
      <c r="DF122" s="75">
        <v>26</v>
      </c>
      <c r="DG122" s="75">
        <v>1</v>
      </c>
      <c r="DH122" s="75">
        <v>26</v>
      </c>
      <c r="DI122" s="75">
        <v>1</v>
      </c>
      <c r="DJ122" s="75" t="s">
        <v>192</v>
      </c>
      <c r="DK122" s="75" t="str">
        <f>HYPERLINK(".\links\AAM-CEMENT-2018\EEC01384.1-AAM-CEMENT-2018.txt","Extracted CDS")</f>
        <v>Extracted CDS</v>
      </c>
      <c r="DL122" s="75" t="str">
        <f>HYPERLINK("http://www.ncbi.nlm.nih.gov/sutils/blink.cgi?pid=Aam-178493","1E-55")</f>
        <v>1E-55</v>
      </c>
      <c r="DM122" s="75" t="str">
        <f>HYPERLINK("http://www.ncbi.nlm.nih.gov/protein/Aam-178493","Aam-178493")</f>
        <v>Aam-178493</v>
      </c>
      <c r="DN122" s="75">
        <v>171</v>
      </c>
      <c r="DO122" s="75">
        <v>94</v>
      </c>
      <c r="DP122" s="75">
        <v>446</v>
      </c>
      <c r="DQ122" s="75">
        <v>85</v>
      </c>
      <c r="DR122" s="75">
        <v>89</v>
      </c>
      <c r="DS122" s="75">
        <v>21</v>
      </c>
      <c r="DT122" s="75">
        <v>14</v>
      </c>
      <c r="DU122" s="75">
        <v>4</v>
      </c>
      <c r="DV122" s="75">
        <v>1</v>
      </c>
      <c r="DW122" s="75">
        <v>1</v>
      </c>
      <c r="DX122" s="75">
        <v>1</v>
      </c>
      <c r="DY122" s="75" t="s">
        <v>2775</v>
      </c>
      <c r="DZ122" s="75" t="str">
        <f>HYPERLINK(".\links\CDD\EEC01384.1-CDD.txt","PLN00220 tubulin beta chain")</f>
        <v>PLN00220 tubulin beta chain</v>
      </c>
      <c r="EA122" s="79">
        <v>3.0000000000000001E-59</v>
      </c>
      <c r="EB122" s="75">
        <v>21</v>
      </c>
      <c r="EC122" s="75" t="s">
        <v>2972</v>
      </c>
      <c r="ED122" s="75" t="s">
        <v>3574</v>
      </c>
      <c r="EE122" s="75" t="str">
        <f>HYPERLINK(".\links\KOG\EEC01384.1-KOG.txt","CDD:227356 COG5023, COG5023, Tubulin")</f>
        <v>CDD:227356 COG5023, COG5023, Tubulin</v>
      </c>
      <c r="EF122" s="79">
        <v>9.9999999999999995E-45</v>
      </c>
      <c r="EG122" s="75">
        <v>21</v>
      </c>
      <c r="EH122" s="75" t="s">
        <v>2974</v>
      </c>
      <c r="EI122" s="75" t="s">
        <v>2779</v>
      </c>
      <c r="EJ122" s="75" t="str">
        <f>HYPERLINK(".\links\PFAM\EEC01384.1-PFAM.txt","Tubulin Tubulin/FtsZ family GTPase domain")</f>
        <v>Tubulin Tubulin/FtsZ family GTPase domain</v>
      </c>
      <c r="EK122" s="79">
        <v>7.0000000000000005E-14</v>
      </c>
      <c r="EL122" s="75">
        <v>48.4</v>
      </c>
      <c r="EM122" s="75" t="s">
        <v>2995</v>
      </c>
      <c r="EN122" s="75" t="s">
        <v>2772</v>
      </c>
      <c r="EO122" s="75" t="str">
        <f>HYPERLINK(".\links\SMART\EEC01384.1-SMART.txt","CDD:214867 smart00864, Tubulin, Tubulin/FtsZ family, GTPase domain")</f>
        <v>CDD:214867 smart00864, Tubulin, Tubulin/FtsZ family, GTPase domain</v>
      </c>
      <c r="EP122" s="79">
        <v>3E-11</v>
      </c>
      <c r="EQ122" s="75">
        <v>24.5</v>
      </c>
      <c r="ER122" s="75" t="s">
        <v>2976</v>
      </c>
      <c r="ES122" s="75" t="s">
        <v>2772</v>
      </c>
      <c r="ET122" s="75" t="str">
        <f>HYPERLINK(".\links\TSF\EEC01384.1-TSF.txt","25-48 25-48, Hyp30||S|")</f>
        <v>25-48 25-48, Hyp30||S|</v>
      </c>
      <c r="EU122" s="75">
        <v>0.45</v>
      </c>
      <c r="EV122" s="75">
        <v>4.9000000000000004</v>
      </c>
      <c r="EW122" s="75" t="s">
        <v>3575</v>
      </c>
      <c r="EX122" s="75" t="s">
        <v>3576</v>
      </c>
      <c r="EY122" s="75" t="s">
        <v>2772</v>
      </c>
      <c r="EZ122" s="75" t="s">
        <v>2785</v>
      </c>
      <c r="FA122" s="75" t="s">
        <v>3577</v>
      </c>
    </row>
    <row r="123" spans="1:157" s="80" customFormat="1" x14ac:dyDescent="0.2">
      <c r="A123" s="75" t="str">
        <f>HYPERLINK(".\links\PEP\AAY66605.1-PEP.txt","AAY66605.1")</f>
        <v>AAY66605.1</v>
      </c>
      <c r="B123" s="75" t="s">
        <v>2768</v>
      </c>
      <c r="C123" s="75">
        <v>229</v>
      </c>
      <c r="D123" s="75" t="s">
        <v>3578</v>
      </c>
      <c r="E123" s="76" t="s">
        <v>54</v>
      </c>
      <c r="F123" s="75" t="s">
        <v>2771</v>
      </c>
      <c r="G123" s="75" t="str">
        <f>HYPERLINK(".\links\Sigp\AAY66605.1-SigP.txt","SIG")</f>
        <v>SIG</v>
      </c>
      <c r="H123" s="75" t="s">
        <v>3579</v>
      </c>
      <c r="I123" s="75">
        <v>25.010999999999999</v>
      </c>
      <c r="J123" s="75">
        <v>8.36</v>
      </c>
      <c r="K123" s="75">
        <v>22.879000000000001</v>
      </c>
      <c r="L123" s="75">
        <v>8.1999999999999993</v>
      </c>
      <c r="M123" s="75" t="str">
        <f>HYPERLINK(".\links\netoglyc\AAY66605.1-netoglyc.txt","2")</f>
        <v>2</v>
      </c>
      <c r="N123" s="75" t="s">
        <v>3580</v>
      </c>
      <c r="O123" s="75">
        <v>229</v>
      </c>
      <c r="P123" s="75">
        <v>0</v>
      </c>
      <c r="Q123" s="75" t="s">
        <v>2772</v>
      </c>
      <c r="R123" s="75" t="s">
        <v>2772</v>
      </c>
      <c r="S123" s="75" t="s">
        <v>2772</v>
      </c>
      <c r="T123" s="75" t="s">
        <v>2772</v>
      </c>
      <c r="U123" s="75" t="s">
        <v>2772</v>
      </c>
      <c r="V123" s="75" t="s">
        <v>2772</v>
      </c>
      <c r="W123" s="75">
        <v>12.4</v>
      </c>
      <c r="X123" s="75">
        <v>5.6</v>
      </c>
      <c r="Y123" s="75">
        <v>5.0999999999999996</v>
      </c>
      <c r="Z123" s="75" t="s">
        <v>2774</v>
      </c>
      <c r="AA123" s="77">
        <v>10.9170305676856</v>
      </c>
      <c r="AB123" s="75">
        <v>0.27</v>
      </c>
      <c r="AC123" s="75" t="s">
        <v>3581</v>
      </c>
      <c r="AD123" s="75">
        <v>14</v>
      </c>
      <c r="AE123" s="75" t="s">
        <v>2772</v>
      </c>
      <c r="AF123" s="75" t="s">
        <v>2772</v>
      </c>
      <c r="AG123" s="75" t="s">
        <v>2772</v>
      </c>
      <c r="AH123" s="75">
        <v>1</v>
      </c>
      <c r="AI123" s="75">
        <v>1</v>
      </c>
      <c r="AJ123" s="75">
        <v>2</v>
      </c>
      <c r="AK123" s="75" t="s">
        <v>2772</v>
      </c>
      <c r="AL123" s="75" t="s">
        <v>2772</v>
      </c>
      <c r="AM123" s="75" t="s">
        <v>2772</v>
      </c>
      <c r="AN123" s="75" t="s">
        <v>2772</v>
      </c>
      <c r="AO123" s="78" t="str">
        <f>HYPERLINK(".\links\AAM-CEMENT-2018\AAY66605.1-AAM-CEMENT-2018.txt","Extracted CDS")</f>
        <v>Extracted CDS</v>
      </c>
      <c r="AP123" s="75" t="str">
        <f>HYPERLINK("http://www.ncbi.nlm.nih.gov/sutils/blink.cgi?pid=Aam-179357","1E-140")</f>
        <v>1E-140</v>
      </c>
      <c r="AQ123" s="75" t="str">
        <f>HYPERLINK("http://www.ncbi.nlm.nih.gov/protein/Aam-179357","Aam-179357")</f>
        <v>Aam-179357</v>
      </c>
      <c r="AR123" s="75">
        <v>387</v>
      </c>
      <c r="AS123" s="75">
        <v>231</v>
      </c>
      <c r="AT123" s="75">
        <v>231</v>
      </c>
      <c r="AU123" s="75">
        <v>83</v>
      </c>
      <c r="AV123" s="75">
        <v>91</v>
      </c>
      <c r="AW123" s="75">
        <v>100</v>
      </c>
      <c r="AX123" s="75">
        <v>37</v>
      </c>
      <c r="AY123" s="75">
        <v>2</v>
      </c>
      <c r="AZ123" s="75">
        <v>1</v>
      </c>
      <c r="BA123" s="75">
        <v>1</v>
      </c>
      <c r="BB123" s="75">
        <v>1</v>
      </c>
      <c r="BC123" s="75" t="s">
        <v>2775</v>
      </c>
      <c r="BD123" s="78" t="str">
        <f>HYPERLINK(".\links\CDD\AAY66605.1-CDD.txt","anacyclamide_precursor prenylated cyclic peptide anacyclamide/piricyclamide family")</f>
        <v>anacyclamide_precursor prenylated cyclic peptide anacyclamide/piricyclamide family</v>
      </c>
      <c r="BE123" s="75">
        <v>0.33</v>
      </c>
      <c r="BF123" s="75">
        <v>62.5</v>
      </c>
      <c r="BG123" s="75" t="s">
        <v>3582</v>
      </c>
      <c r="BH123" s="75" t="s">
        <v>3583</v>
      </c>
      <c r="BI123" s="75" t="str">
        <f>HYPERLINK(".\links\KOG\AAY66605.1-KOG.txt","CDD:224193 COG1274, PckA, Phosphoenolpyruvate carboxykinase")</f>
        <v>CDD:224193 COG1274, PckA, Phosphoenolpyruvate carboxykinase</v>
      </c>
      <c r="BJ123" s="75">
        <v>0.64</v>
      </c>
      <c r="BK123" s="75">
        <v>5.6</v>
      </c>
      <c r="BL123" s="75" t="s">
        <v>3584</v>
      </c>
      <c r="BM123" s="75" t="s">
        <v>2779</v>
      </c>
      <c r="BN123" s="78" t="str">
        <f>HYPERLINK(".\links\PFAM\AAY66605.1-PFAM.txt","Defensin_propep Defensin propeptide")</f>
        <v>Defensin_propep Defensin propeptide</v>
      </c>
      <c r="BO123" s="75">
        <v>0.19</v>
      </c>
      <c r="BP123" s="75">
        <v>52.9</v>
      </c>
      <c r="BQ123" s="75" t="s">
        <v>3585</v>
      </c>
      <c r="BR123" s="75" t="s">
        <v>2772</v>
      </c>
      <c r="BS123" s="78" t="str">
        <f>HYPERLINK(".\links\SMART\AAY66605.1-SMART.txt","CDD:214974 smart01015, Arfaptin, Arfaptin-like domain")</f>
        <v>CDD:214974 smart01015, Arfaptin, Arfaptin-like domain</v>
      </c>
      <c r="BT123" s="75">
        <v>0.49</v>
      </c>
      <c r="BU123" s="75">
        <v>25.8</v>
      </c>
      <c r="BV123" s="75" t="s">
        <v>3586</v>
      </c>
      <c r="BW123" s="75" t="s">
        <v>2772</v>
      </c>
      <c r="BX123" s="78" t="str">
        <f>HYPERLINK(".\links\TSF\AAY66605.1-TSF.txt","30-91 30-91, 23-24kDa|24kDa|S|")</f>
        <v>30-91 30-91, 23-24kDa|24kDa|S|</v>
      </c>
      <c r="BY123" s="79">
        <v>9.0000000000000001E-140</v>
      </c>
      <c r="BZ123" s="75">
        <v>100</v>
      </c>
      <c r="CA123" s="75" t="s">
        <v>3587</v>
      </c>
      <c r="CB123" s="75" t="s">
        <v>3588</v>
      </c>
      <c r="CC123" s="75" t="s">
        <v>3589</v>
      </c>
      <c r="CD123" s="75" t="s">
        <v>2785</v>
      </c>
      <c r="CE123" s="75" t="s">
        <v>3590</v>
      </c>
      <c r="CF123" s="75">
        <v>21</v>
      </c>
      <c r="CG123" s="75">
        <v>1</v>
      </c>
      <c r="CH123" s="75">
        <v>22</v>
      </c>
      <c r="CI123" s="75">
        <v>1</v>
      </c>
      <c r="CJ123" s="75">
        <v>21</v>
      </c>
      <c r="CK123" s="75">
        <v>1</v>
      </c>
      <c r="CL123" s="75">
        <v>23</v>
      </c>
      <c r="CM123" s="75">
        <v>1</v>
      </c>
      <c r="CN123" s="75">
        <v>21</v>
      </c>
      <c r="CO123" s="75">
        <v>1</v>
      </c>
      <c r="CP123" s="75">
        <v>21</v>
      </c>
      <c r="CQ123" s="75">
        <v>1</v>
      </c>
      <c r="CR123" s="75">
        <v>22</v>
      </c>
      <c r="CS123" s="75">
        <v>1</v>
      </c>
      <c r="CT123" s="75">
        <v>24</v>
      </c>
      <c r="CU123" s="75">
        <v>1</v>
      </c>
      <c r="CV123" s="75">
        <v>24</v>
      </c>
      <c r="CW123" s="75">
        <v>1</v>
      </c>
      <c r="CX123" s="75">
        <v>23</v>
      </c>
      <c r="CY123" s="75">
        <v>1</v>
      </c>
      <c r="CZ123" s="75">
        <v>22</v>
      </c>
      <c r="DA123" s="75">
        <v>1</v>
      </c>
      <c r="DB123" s="75">
        <v>20</v>
      </c>
      <c r="DC123" s="75">
        <v>1</v>
      </c>
      <c r="DD123" s="75">
        <v>18</v>
      </c>
      <c r="DE123" s="75">
        <v>1</v>
      </c>
      <c r="DF123" s="75">
        <v>17</v>
      </c>
      <c r="DG123" s="75">
        <v>1</v>
      </c>
      <c r="DH123" s="75">
        <v>16</v>
      </c>
      <c r="DI123" s="75">
        <v>1</v>
      </c>
      <c r="DJ123" s="75" t="s">
        <v>189</v>
      </c>
      <c r="DK123" s="75" t="str">
        <f>HYPERLINK(".\links\AAM-CEMENT-2018\AAY66605.1-AAM-CEMENT-2018.txt","Extracted CDS")</f>
        <v>Extracted CDS</v>
      </c>
      <c r="DL123" s="75" t="str">
        <f>HYPERLINK("http://www.ncbi.nlm.nih.gov/sutils/blink.cgi?pid=Aam-179357","1E-140")</f>
        <v>1E-140</v>
      </c>
      <c r="DM123" s="75" t="str">
        <f>HYPERLINK("http://www.ncbi.nlm.nih.gov/protein/Aam-179357","Aam-179357")</f>
        <v>Aam-179357</v>
      </c>
      <c r="DN123" s="75">
        <v>387</v>
      </c>
      <c r="DO123" s="75">
        <v>231</v>
      </c>
      <c r="DP123" s="75">
        <v>231</v>
      </c>
      <c r="DQ123" s="75">
        <v>83</v>
      </c>
      <c r="DR123" s="75">
        <v>91</v>
      </c>
      <c r="DS123" s="75">
        <v>100</v>
      </c>
      <c r="DT123" s="75">
        <v>37</v>
      </c>
      <c r="DU123" s="75">
        <v>2</v>
      </c>
      <c r="DV123" s="75">
        <v>1</v>
      </c>
      <c r="DW123" s="75">
        <v>1</v>
      </c>
      <c r="DX123" s="75">
        <v>1</v>
      </c>
      <c r="DY123" s="75" t="s">
        <v>2775</v>
      </c>
      <c r="DZ123" s="75" t="str">
        <f>HYPERLINK(".\links\CDD\AAY66605.1-CDD.txt","anacyclamide_precursor prenylated cyclic peptide anacyclamide/piricyclamide family")</f>
        <v>anacyclamide_precursor prenylated cyclic peptide anacyclamide/piricyclamide family</v>
      </c>
      <c r="EA123" s="75">
        <v>0.33</v>
      </c>
      <c r="EB123" s="75">
        <v>62.5</v>
      </c>
      <c r="EC123" s="75" t="s">
        <v>3582</v>
      </c>
      <c r="ED123" s="75" t="s">
        <v>3583</v>
      </c>
      <c r="EE123" s="75" t="str">
        <f>HYPERLINK(".\links\KOG\AAY66605.1-KOG.txt","CDD:224193 COG1274, PckA, Phosphoenolpyruvate carboxykinase")</f>
        <v>CDD:224193 COG1274, PckA, Phosphoenolpyruvate carboxykinase</v>
      </c>
      <c r="EF123" s="75">
        <v>0.64</v>
      </c>
      <c r="EG123" s="75">
        <v>5.6</v>
      </c>
      <c r="EH123" s="75" t="s">
        <v>3584</v>
      </c>
      <c r="EI123" s="75" t="s">
        <v>2779</v>
      </c>
      <c r="EJ123" s="75" t="str">
        <f>HYPERLINK(".\links\PFAM\AAY66605.1-PFAM.txt","Defensin_propep Defensin propeptide")</f>
        <v>Defensin_propep Defensin propeptide</v>
      </c>
      <c r="EK123" s="75">
        <v>0.19</v>
      </c>
      <c r="EL123" s="75">
        <v>52.9</v>
      </c>
      <c r="EM123" s="75" t="s">
        <v>3585</v>
      </c>
      <c r="EN123" s="75" t="s">
        <v>2772</v>
      </c>
      <c r="EO123" s="75" t="str">
        <f>HYPERLINK(".\links\SMART\AAY66605.1-SMART.txt","CDD:214974 smart01015, Arfaptin, Arfaptin-like domain")</f>
        <v>CDD:214974 smart01015, Arfaptin, Arfaptin-like domain</v>
      </c>
      <c r="EP123" s="75">
        <v>0.49</v>
      </c>
      <c r="EQ123" s="75">
        <v>25.8</v>
      </c>
      <c r="ER123" s="75" t="s">
        <v>3586</v>
      </c>
      <c r="ES123" s="75" t="s">
        <v>2772</v>
      </c>
      <c r="ET123" s="75" t="str">
        <f>HYPERLINK(".\links\TSF\AAY66605.1-TSF.txt","30-91 30-91, 23-24kDa|24kDa|S|")</f>
        <v>30-91 30-91, 23-24kDa|24kDa|S|</v>
      </c>
      <c r="EU123" s="79">
        <v>9.0000000000000001E-140</v>
      </c>
      <c r="EV123" s="75">
        <v>100</v>
      </c>
      <c r="EW123" s="75" t="s">
        <v>3587</v>
      </c>
      <c r="EX123" s="75" t="s">
        <v>3588</v>
      </c>
      <c r="EY123" s="75" t="s">
        <v>3589</v>
      </c>
      <c r="EZ123" s="75" t="s">
        <v>2785</v>
      </c>
      <c r="FA123" s="75" t="s">
        <v>3590</v>
      </c>
    </row>
    <row r="124" spans="1:157" x14ac:dyDescent="0.2">
      <c r="A124" s="75" t="str">
        <f>HYPERLINK(".\links\PEP\AAY66987.1-PEP.txt","AAY66987.1")</f>
        <v>AAY66987.1</v>
      </c>
      <c r="B124" s="75" t="s">
        <v>2768</v>
      </c>
      <c r="C124" s="75">
        <v>185</v>
      </c>
      <c r="D124" s="75" t="s">
        <v>3591</v>
      </c>
      <c r="E124" s="76" t="s">
        <v>54</v>
      </c>
      <c r="F124" s="75" t="s">
        <v>2771</v>
      </c>
      <c r="G124" s="75" t="str">
        <f>HYPERLINK(".\links\Sigp\AAY66987.1-SigP.txt","SIG")</f>
        <v>SIG</v>
      </c>
      <c r="H124" s="75" t="s">
        <v>3198</v>
      </c>
      <c r="I124" s="75">
        <v>21.042000000000002</v>
      </c>
      <c r="J124" s="75">
        <v>4.62</v>
      </c>
      <c r="K124" s="75">
        <v>18.899999999999999</v>
      </c>
      <c r="L124" s="75">
        <v>4.58</v>
      </c>
      <c r="M124" s="75" t="str">
        <f>HYPERLINK(".\links\netoglyc\AAY66987.1-netoglyc.txt","4")</f>
        <v>4</v>
      </c>
      <c r="N124" s="75" t="s">
        <v>3592</v>
      </c>
      <c r="O124" s="75">
        <v>185</v>
      </c>
      <c r="P124" s="75">
        <v>0</v>
      </c>
      <c r="Q124" s="75" t="s">
        <v>2772</v>
      </c>
      <c r="R124" s="75" t="s">
        <v>2772</v>
      </c>
      <c r="S124" s="75" t="s">
        <v>2772</v>
      </c>
      <c r="T124" s="75" t="s">
        <v>2772</v>
      </c>
      <c r="U124" s="75" t="s">
        <v>2772</v>
      </c>
      <c r="V124" s="75" t="s">
        <v>3593</v>
      </c>
      <c r="W124" s="75">
        <v>10.1</v>
      </c>
      <c r="X124" s="75">
        <v>6.9</v>
      </c>
      <c r="Y124" s="75">
        <v>4.2</v>
      </c>
      <c r="Z124" s="75" t="s">
        <v>2774</v>
      </c>
      <c r="AA124" s="77">
        <v>11.351351351351401</v>
      </c>
      <c r="AB124" s="75">
        <v>0.61</v>
      </c>
      <c r="AC124" s="75" t="s">
        <v>3594</v>
      </c>
      <c r="AD124" s="75">
        <v>7</v>
      </c>
      <c r="AE124" s="75" t="s">
        <v>2772</v>
      </c>
      <c r="AF124" s="75" t="s">
        <v>2772</v>
      </c>
      <c r="AG124" s="75" t="s">
        <v>2772</v>
      </c>
      <c r="AH124" s="75" t="s">
        <v>2772</v>
      </c>
      <c r="AI124" s="75">
        <v>1</v>
      </c>
      <c r="AJ124" s="75">
        <v>1</v>
      </c>
      <c r="AK124" s="75" t="s">
        <v>2772</v>
      </c>
      <c r="AL124" s="75" t="s">
        <v>2772</v>
      </c>
      <c r="AM124" s="75" t="s">
        <v>2772</v>
      </c>
      <c r="AN124" s="75" t="s">
        <v>2772</v>
      </c>
      <c r="AO124" s="78" t="str">
        <f>HYPERLINK(".\links\AAM-CEMENT-2018\AAY66987.1-AAM-CEMENT-2018.txt","Extracted CDS")</f>
        <v>Extracted CDS</v>
      </c>
      <c r="AP124" s="75" t="str">
        <f>HYPERLINK("http://www.ncbi.nlm.nih.gov/sutils/blink.cgi?pid=Aam-835","2.2")</f>
        <v>2.2</v>
      </c>
      <c r="AQ124" s="75" t="str">
        <f>HYPERLINK("http://www.ncbi.nlm.nih.gov/protein/Aam-835","Aam-835")</f>
        <v>Aam-835</v>
      </c>
      <c r="AR124" s="75">
        <v>21.6</v>
      </c>
      <c r="AS124" s="75">
        <v>17</v>
      </c>
      <c r="AT124" s="75">
        <v>1670</v>
      </c>
      <c r="AU124" s="75">
        <v>47</v>
      </c>
      <c r="AV124" s="75">
        <v>70</v>
      </c>
      <c r="AW124" s="75">
        <v>1</v>
      </c>
      <c r="AX124" s="75">
        <v>9</v>
      </c>
      <c r="AY124" s="75">
        <v>0</v>
      </c>
      <c r="AZ124" s="75">
        <v>1614</v>
      </c>
      <c r="BA124" s="75">
        <v>128</v>
      </c>
      <c r="BB124" s="75">
        <v>1</v>
      </c>
      <c r="BC124" s="75" t="s">
        <v>2775</v>
      </c>
      <c r="BD124" s="78" t="str">
        <f>HYPERLINK(".\links\CDD\AAY66987.1-CDD.txt","PRK13304 aspartate dehydrogenase")</f>
        <v>PRK13304 aspartate dehydrogenase</v>
      </c>
      <c r="BE124" s="75">
        <v>3.3</v>
      </c>
      <c r="BF124" s="75">
        <v>8.6999999999999993</v>
      </c>
      <c r="BG124" s="75" t="s">
        <v>3595</v>
      </c>
      <c r="BH124" s="75" t="s">
        <v>3596</v>
      </c>
      <c r="BI124" s="75" t="str">
        <f>HYPERLINK(".\links\KOG\AAY66987.1-KOG.txt","CDD:226772 COG4322, COG4322, Uncharacterized protein conserved in bacteria")</f>
        <v>CDD:226772 COG4322, COG4322, Uncharacterized protein conserved in bacteria</v>
      </c>
      <c r="BJ124" s="75">
        <v>3.3</v>
      </c>
      <c r="BK124" s="75">
        <v>12.8</v>
      </c>
      <c r="BL124" s="75" t="s">
        <v>3597</v>
      </c>
      <c r="BM124" s="75" t="s">
        <v>2779</v>
      </c>
      <c r="BN124" s="78" t="str">
        <f>HYPERLINK(".\links\PFAM\AAY66987.1-PFAM.txt","MF_alpha_N Mating factor alpha precursor N-terminus")</f>
        <v>MF_alpha_N Mating factor alpha precursor N-terminus</v>
      </c>
      <c r="BO124" s="75">
        <v>3</v>
      </c>
      <c r="BP124" s="75">
        <v>46</v>
      </c>
      <c r="BQ124" s="75" t="s">
        <v>3598</v>
      </c>
      <c r="BR124" s="75" t="s">
        <v>2772</v>
      </c>
      <c r="BS124" s="78" t="str">
        <f>HYPERLINK(".\links\SMART\AAY66987.1-SMART.txt","CDD:129031 smart00795, Agro_virD5, Agrobacterium VirD5 protein")</f>
        <v>CDD:129031 smart00795, Agro_virD5, Agrobacterium VirD5 protein</v>
      </c>
      <c r="BT124" s="75">
        <v>0.31</v>
      </c>
      <c r="BU124" s="75">
        <v>6.7</v>
      </c>
      <c r="BV124" s="75" t="s">
        <v>3252</v>
      </c>
      <c r="BW124" s="75" t="s">
        <v>2772</v>
      </c>
      <c r="BX124" s="78" t="str">
        <f>HYPERLINK(".\links\TSF\AAY66987.1-TSF.txt","45-106 45-106, BTSP||S|")</f>
        <v>45-106 45-106, BTSP||S|</v>
      </c>
      <c r="BY124" s="79">
        <v>3.0000000000000002E-44</v>
      </c>
      <c r="BZ124" s="75">
        <v>88.2</v>
      </c>
      <c r="CA124" s="75" t="s">
        <v>3599</v>
      </c>
      <c r="CB124" s="75" t="s">
        <v>3057</v>
      </c>
      <c r="CC124" s="75" t="s">
        <v>2772</v>
      </c>
      <c r="CD124" s="75" t="s">
        <v>2785</v>
      </c>
      <c r="CE124" s="75" t="s">
        <v>3600</v>
      </c>
      <c r="CF124" s="75">
        <f>HYPERLINK(".\links\cluster-b\Ixsc-cement-202225-50SimCLU7.txt", 7)</f>
        <v>7</v>
      </c>
      <c r="CG124" s="75">
        <f>HYPERLINK(".\links\cluster-b\Ixsc-cement-202225-50SimCLTL7.txt", 4)</f>
        <v>4</v>
      </c>
      <c r="CH124" s="75">
        <f>HYPERLINK(".\links\cluster-b\Ixsc-cement-202230-50SimCLU6.txt", 6)</f>
        <v>6</v>
      </c>
      <c r="CI124" s="75">
        <f>HYPERLINK(".\links\cluster-b\Ixsc-cement-202230-50SimCLTL6.txt", 4)</f>
        <v>4</v>
      </c>
      <c r="CJ124" s="75">
        <f>HYPERLINK(".\links\cluster-b\Ixsc-cement-202235-50SimCLU6.txt", 6)</f>
        <v>6</v>
      </c>
      <c r="CK124" s="75">
        <f>HYPERLINK(".\links\cluster-b\Ixsc-cement-202235-50SimCLTL6.txt", 4)</f>
        <v>4</v>
      </c>
      <c r="CL124" s="75">
        <f>HYPERLINK(".\links\cluster-b\Ixsc-cement-202240-50SimCLU6.txt", 6)</f>
        <v>6</v>
      </c>
      <c r="CM124" s="75">
        <f>HYPERLINK(".\links\cluster-b\Ixsc-cement-202240-50SimCLTL6.txt", 4)</f>
        <v>4</v>
      </c>
      <c r="CN124" s="75">
        <f>HYPERLINK(".\links\cluster-b\Ixsc-cement-202245-50SimCLU6.txt", 6)</f>
        <v>6</v>
      </c>
      <c r="CO124" s="75">
        <f>HYPERLINK(".\links\cluster-b\Ixsc-cement-202245-50SimCLTL6.txt", 4)</f>
        <v>4</v>
      </c>
      <c r="CP124" s="75">
        <f>HYPERLINK(".\links\cluster-b\Ixsc-cement-202250-50SimCLU6.txt", 6)</f>
        <v>6</v>
      </c>
      <c r="CQ124" s="75">
        <f>HYPERLINK(".\links\cluster-b\Ixsc-cement-202250-50SimCLTL6.txt", 4)</f>
        <v>4</v>
      </c>
      <c r="CR124" s="75">
        <f>HYPERLINK(".\links\cluster-b\Ixsc-cement-202255-50SimCLU14.txt", 14)</f>
        <v>14</v>
      </c>
      <c r="CS124" s="75">
        <f>HYPERLINK(".\links\cluster-b\Ixsc-cement-202255-50SimCLTL14.txt", 2)</f>
        <v>2</v>
      </c>
      <c r="CT124" s="75">
        <f>HYPERLINK(".\links\cluster-b\Ixsc-cement-202260-50SimCLU14.txt", 14)</f>
        <v>14</v>
      </c>
      <c r="CU124" s="75">
        <f>HYPERLINK(".\links\cluster-b\Ixsc-cement-202260-50SimCLTL14.txt", 2)</f>
        <v>2</v>
      </c>
      <c r="CV124" s="75">
        <f>HYPERLINK(".\links\cluster-b\Ixsc-cement-202265-50SimCLU13.txt", 13)</f>
        <v>13</v>
      </c>
      <c r="CW124" s="75">
        <f>HYPERLINK(".\links\cluster-b\Ixsc-cement-202265-50SimCLTL13.txt", 2)</f>
        <v>2</v>
      </c>
      <c r="CX124" s="75">
        <f>HYPERLINK(".\links\cluster-b\Ixsc-cement-202270-50SimCLU13.txt", 13)</f>
        <v>13</v>
      </c>
      <c r="CY124" s="75">
        <f>HYPERLINK(".\links\cluster-b\Ixsc-cement-202270-50SimCLTL13.txt", 2)</f>
        <v>2</v>
      </c>
      <c r="CZ124" s="75">
        <f>HYPERLINK(".\links\cluster-b\Ixsc-cement-202275-50SimCLU12.txt", 12)</f>
        <v>12</v>
      </c>
      <c r="DA124" s="75">
        <f>HYPERLINK(".\links\cluster-b\Ixsc-cement-202275-50SimCLTL12.txt", 2)</f>
        <v>2</v>
      </c>
      <c r="DB124" s="75">
        <f>HYPERLINK(".\links\cluster-b\Ixsc-cement-202280-50SimCLU10.txt", 10)</f>
        <v>10</v>
      </c>
      <c r="DC124" s="75">
        <f>HYPERLINK(".\links\cluster-b\Ixsc-cement-202280-50SimCLTL10.txt", 2)</f>
        <v>2</v>
      </c>
      <c r="DD124" s="75">
        <f>HYPERLINK(".\links\cluster-b\Ixsc-cement-202285-50SimCLU8.txt", 8)</f>
        <v>8</v>
      </c>
      <c r="DE124" s="75">
        <f>HYPERLINK(".\links\cluster-b\Ixsc-cement-202285-50SimCLTL8.txt", 2)</f>
        <v>2</v>
      </c>
      <c r="DF124" s="75">
        <f>HYPERLINK(".\links\cluster-b\Ixsc-cement-202290-50SimCLU8.txt", 8)</f>
        <v>8</v>
      </c>
      <c r="DG124" s="75">
        <f>HYPERLINK(".\links\cluster-b\Ixsc-cement-202290-50SimCLTL8.txt", 2)</f>
        <v>2</v>
      </c>
      <c r="DH124" s="75">
        <v>21</v>
      </c>
      <c r="DI124" s="75">
        <v>1</v>
      </c>
      <c r="DJ124" s="75" t="s">
        <v>99</v>
      </c>
      <c r="DK124" s="75" t="str">
        <f>HYPERLINK(".\links\AAM-CEMENT-2018\AAY66987.1-AAM-CEMENT-2018.txt","Extracted CDS")</f>
        <v>Extracted CDS</v>
      </c>
      <c r="DL124" s="75" t="str">
        <f>HYPERLINK("http://www.ncbi.nlm.nih.gov/sutils/blink.cgi?pid=Aam-835","2.2")</f>
        <v>2.2</v>
      </c>
      <c r="DM124" s="75" t="str">
        <f>HYPERLINK("http://www.ncbi.nlm.nih.gov/protein/Aam-835","Aam-835")</f>
        <v>Aam-835</v>
      </c>
      <c r="DN124" s="75">
        <v>21.6</v>
      </c>
      <c r="DO124" s="75">
        <v>17</v>
      </c>
      <c r="DP124" s="75">
        <v>1670</v>
      </c>
      <c r="DQ124" s="75">
        <v>47</v>
      </c>
      <c r="DR124" s="75">
        <v>70</v>
      </c>
      <c r="DS124" s="75">
        <v>1</v>
      </c>
      <c r="DT124" s="75">
        <v>9</v>
      </c>
      <c r="DU124" s="75">
        <v>0</v>
      </c>
      <c r="DV124" s="75">
        <v>1614</v>
      </c>
      <c r="DW124" s="75">
        <v>128</v>
      </c>
      <c r="DX124" s="75">
        <v>1</v>
      </c>
      <c r="DY124" s="75" t="s">
        <v>2775</v>
      </c>
      <c r="DZ124" s="75" t="str">
        <f>HYPERLINK(".\links\CDD\AAY66987.1-CDD.txt","PRK13304 aspartate dehydrogenase")</f>
        <v>PRK13304 aspartate dehydrogenase</v>
      </c>
      <c r="EA124" s="75">
        <v>3.3</v>
      </c>
      <c r="EB124" s="75">
        <v>8.6999999999999993</v>
      </c>
      <c r="EC124" s="75" t="s">
        <v>3595</v>
      </c>
      <c r="ED124" s="75" t="s">
        <v>3596</v>
      </c>
      <c r="EE124" s="75" t="str">
        <f>HYPERLINK(".\links\KOG\AAY66987.1-KOG.txt","CDD:226772 COG4322, COG4322, Uncharacterized protein conserved in bacteria")</f>
        <v>CDD:226772 COG4322, COG4322, Uncharacterized protein conserved in bacteria</v>
      </c>
      <c r="EF124" s="75">
        <v>3.3</v>
      </c>
      <c r="EG124" s="75">
        <v>12.8</v>
      </c>
      <c r="EH124" s="75" t="s">
        <v>3597</v>
      </c>
      <c r="EI124" s="75" t="s">
        <v>2779</v>
      </c>
      <c r="EJ124" s="75" t="str">
        <f>HYPERLINK(".\links\PFAM\AAY66987.1-PFAM.txt","MF_alpha_N Mating factor alpha precursor N-terminus")</f>
        <v>MF_alpha_N Mating factor alpha precursor N-terminus</v>
      </c>
      <c r="EK124" s="75">
        <v>3</v>
      </c>
      <c r="EL124" s="75">
        <v>46</v>
      </c>
      <c r="EM124" s="75" t="s">
        <v>3598</v>
      </c>
      <c r="EN124" s="75" t="s">
        <v>2772</v>
      </c>
      <c r="EO124" s="75" t="str">
        <f>HYPERLINK(".\links\SMART\AAY66987.1-SMART.txt","CDD:129031 smart00795, Agro_virD5, Agrobacterium VirD5 protein")</f>
        <v>CDD:129031 smart00795, Agro_virD5, Agrobacterium VirD5 protein</v>
      </c>
      <c r="EP124" s="75">
        <v>0.31</v>
      </c>
      <c r="EQ124" s="75">
        <v>6.7</v>
      </c>
      <c r="ER124" s="75" t="s">
        <v>3252</v>
      </c>
      <c r="ES124" s="75" t="s">
        <v>2772</v>
      </c>
      <c r="ET124" s="75" t="str">
        <f>HYPERLINK(".\links\TSF\AAY66987.1-TSF.txt","45-106 45-106, BTSP||S|")</f>
        <v>45-106 45-106, BTSP||S|</v>
      </c>
      <c r="EU124" s="79">
        <v>3.0000000000000002E-44</v>
      </c>
      <c r="EV124" s="75">
        <v>88.2</v>
      </c>
      <c r="EW124" s="75" t="s">
        <v>3599</v>
      </c>
      <c r="EX124" s="75" t="s">
        <v>3057</v>
      </c>
      <c r="EY124" s="75" t="s">
        <v>2772</v>
      </c>
      <c r="EZ124" s="75" t="s">
        <v>2785</v>
      </c>
      <c r="FA124" s="75" t="s">
        <v>3600</v>
      </c>
    </row>
    <row r="125" spans="1:157" x14ac:dyDescent="0.2">
      <c r="A125" s="75" t="str">
        <f>HYPERLINK(".\links\PEP\EEC02397.1-PEP.txt","EEC02397.1")</f>
        <v>EEC02397.1</v>
      </c>
      <c r="B125" s="75" t="s">
        <v>2768</v>
      </c>
      <c r="C125" s="75">
        <v>185</v>
      </c>
      <c r="D125" s="75" t="s">
        <v>3563</v>
      </c>
      <c r="E125" s="76" t="s">
        <v>54</v>
      </c>
      <c r="F125" s="75" t="s">
        <v>2771</v>
      </c>
      <c r="G125" s="75" t="str">
        <f>HYPERLINK(".\links\Sigp\EEC02397.1-SigP.txt","SIG")</f>
        <v>SIG</v>
      </c>
      <c r="H125" s="75" t="s">
        <v>3198</v>
      </c>
      <c r="I125" s="75">
        <v>20.922999999999998</v>
      </c>
      <c r="J125" s="75">
        <v>4.37</v>
      </c>
      <c r="K125" s="75">
        <v>18.754999999999999</v>
      </c>
      <c r="L125" s="75">
        <v>4.34</v>
      </c>
      <c r="M125" s="75" t="str">
        <f>HYPERLINK(".\links\netoglyc\EEC02397.1-netoglyc.txt","5")</f>
        <v>5</v>
      </c>
      <c r="N125" s="75" t="s">
        <v>3601</v>
      </c>
      <c r="O125" s="75">
        <v>185</v>
      </c>
      <c r="P125" s="75">
        <v>0</v>
      </c>
      <c r="Q125" s="75" t="s">
        <v>2772</v>
      </c>
      <c r="R125" s="75" t="s">
        <v>2772</v>
      </c>
      <c r="S125" s="75" t="s">
        <v>2772</v>
      </c>
      <c r="T125" s="75" t="s">
        <v>2772</v>
      </c>
      <c r="U125" s="75" t="s">
        <v>2772</v>
      </c>
      <c r="V125" s="75" t="s">
        <v>3593</v>
      </c>
      <c r="W125" s="75">
        <v>9</v>
      </c>
      <c r="X125" s="75">
        <v>7.4</v>
      </c>
      <c r="Y125" s="75">
        <v>4.8</v>
      </c>
      <c r="Z125" s="75" t="s">
        <v>2774</v>
      </c>
      <c r="AA125" s="77">
        <v>12.4324324324324</v>
      </c>
      <c r="AB125" s="75">
        <v>0.6</v>
      </c>
      <c r="AC125" s="75" t="s">
        <v>3602</v>
      </c>
      <c r="AD125" s="75">
        <v>8</v>
      </c>
      <c r="AE125" s="75" t="s">
        <v>2772</v>
      </c>
      <c r="AF125" s="75" t="s">
        <v>2772</v>
      </c>
      <c r="AG125" s="75" t="s">
        <v>2772</v>
      </c>
      <c r="AH125" s="75" t="s">
        <v>2772</v>
      </c>
      <c r="AI125" s="75">
        <v>1</v>
      </c>
      <c r="AJ125" s="75">
        <v>1</v>
      </c>
      <c r="AK125" s="75" t="s">
        <v>2772</v>
      </c>
      <c r="AL125" s="75" t="s">
        <v>2772</v>
      </c>
      <c r="AM125" s="75" t="s">
        <v>2772</v>
      </c>
      <c r="AN125" s="75" t="s">
        <v>2772</v>
      </c>
      <c r="AO125" s="78" t="str">
        <f>HYPERLINK(".\links\AAM-CEMENT-2018\EEC02397.1-AAM-CEMENT-2018.txt","Extracted CDS")</f>
        <v>Extracted CDS</v>
      </c>
      <c r="AP125" s="75" t="str">
        <f>HYPERLINK("http://www.ncbi.nlm.nih.gov/sutils/blink.cgi?pid=Aam-835","2.0")</f>
        <v>2.0</v>
      </c>
      <c r="AQ125" s="75" t="str">
        <f>HYPERLINK("http://www.ncbi.nlm.nih.gov/protein/Aam-835","Aam-835")</f>
        <v>Aam-835</v>
      </c>
      <c r="AR125" s="75">
        <v>21.9</v>
      </c>
      <c r="AS125" s="75">
        <v>17</v>
      </c>
      <c r="AT125" s="75">
        <v>1670</v>
      </c>
      <c r="AU125" s="75">
        <v>47</v>
      </c>
      <c r="AV125" s="75">
        <v>70</v>
      </c>
      <c r="AW125" s="75">
        <v>1</v>
      </c>
      <c r="AX125" s="75">
        <v>9</v>
      </c>
      <c r="AY125" s="75">
        <v>0</v>
      </c>
      <c r="AZ125" s="75">
        <v>1614</v>
      </c>
      <c r="BA125" s="75">
        <v>128</v>
      </c>
      <c r="BB125" s="75">
        <v>1</v>
      </c>
      <c r="BC125" s="75" t="s">
        <v>2775</v>
      </c>
      <c r="BD125" s="78" t="str">
        <f>HYPERLINK(".\links\CDD\EEC02397.1-CDD.txt","hypothetical_protein UrcA family protein")</f>
        <v>hypothetical_protein UrcA family protein</v>
      </c>
      <c r="BE125" s="75">
        <v>4.0999999999999996</v>
      </c>
      <c r="BF125" s="75">
        <v>29.7</v>
      </c>
      <c r="BG125" s="75" t="s">
        <v>3603</v>
      </c>
      <c r="BH125" s="75" t="s">
        <v>3604</v>
      </c>
      <c r="BI125" s="75" t="str">
        <f>HYPERLINK(".\links\KOG\EEC02397.1-KOG.txt","CDD:225516 COG2968, COG2968, Uncharacterized conserved protein")</f>
        <v>CDD:225516 COG2968, COG2968, Uncharacterized conserved protein</v>
      </c>
      <c r="BJ125" s="75">
        <v>0.57999999999999996</v>
      </c>
      <c r="BK125" s="75">
        <v>15.2</v>
      </c>
      <c r="BL125" s="75" t="s">
        <v>3605</v>
      </c>
      <c r="BM125" s="75" t="s">
        <v>2779</v>
      </c>
      <c r="BN125" s="78" t="str">
        <f>HYPERLINK(".\links\PFAM\EEC02397.1-PFAM.txt","MF_alpha_N Mating factor alpha precursor N-terminus")</f>
        <v>MF_alpha_N Mating factor alpha precursor N-terminus</v>
      </c>
      <c r="BO125" s="75">
        <v>1.1000000000000001</v>
      </c>
      <c r="BP125" s="75">
        <v>46</v>
      </c>
      <c r="BQ125" s="75" t="s">
        <v>3598</v>
      </c>
      <c r="BR125" s="75" t="s">
        <v>2772</v>
      </c>
      <c r="BS125" s="78" t="str">
        <f>HYPERLINK(".\links\SMART\EEC02397.1-SMART.txt","CDD:129031 smart00795, Agro_virD5, Agrobacterium VirD5 protein")</f>
        <v>CDD:129031 smart00795, Agro_virD5, Agrobacterium VirD5 protein</v>
      </c>
      <c r="BT125" s="75">
        <v>0.4</v>
      </c>
      <c r="BU125" s="75">
        <v>6.8</v>
      </c>
      <c r="BV125" s="75" t="s">
        <v>3252</v>
      </c>
      <c r="BW125" s="75" t="s">
        <v>2772</v>
      </c>
      <c r="BX125" s="78" t="str">
        <f>HYPERLINK(".\links\TSF\EEC02397.1-TSF.txt","45-106 45-106, BTSP||S|")</f>
        <v>45-106 45-106, BTSP||S|</v>
      </c>
      <c r="BY125" s="79">
        <v>1E-42</v>
      </c>
      <c r="BZ125" s="75">
        <v>86.8</v>
      </c>
      <c r="CA125" s="75" t="s">
        <v>3599</v>
      </c>
      <c r="CB125" s="75" t="s">
        <v>3057</v>
      </c>
      <c r="CC125" s="75" t="s">
        <v>2772</v>
      </c>
      <c r="CD125" s="75" t="s">
        <v>2785</v>
      </c>
      <c r="CE125" s="75" t="s">
        <v>3600</v>
      </c>
      <c r="CF125" s="75">
        <f>HYPERLINK(".\links\cluster-b\Ixsc-cement-202225-50SimCLU7.txt", 7)</f>
        <v>7</v>
      </c>
      <c r="CG125" s="75">
        <f>HYPERLINK(".\links\cluster-b\Ixsc-cement-202225-50SimCLTL7.txt", 4)</f>
        <v>4</v>
      </c>
      <c r="CH125" s="75">
        <f>HYPERLINK(".\links\cluster-b\Ixsc-cement-202230-50SimCLU6.txt", 6)</f>
        <v>6</v>
      </c>
      <c r="CI125" s="75">
        <f>HYPERLINK(".\links\cluster-b\Ixsc-cement-202230-50SimCLTL6.txt", 4)</f>
        <v>4</v>
      </c>
      <c r="CJ125" s="75">
        <f>HYPERLINK(".\links\cluster-b\Ixsc-cement-202235-50SimCLU6.txt", 6)</f>
        <v>6</v>
      </c>
      <c r="CK125" s="75">
        <f>HYPERLINK(".\links\cluster-b\Ixsc-cement-202235-50SimCLTL6.txt", 4)</f>
        <v>4</v>
      </c>
      <c r="CL125" s="75">
        <f>HYPERLINK(".\links\cluster-b\Ixsc-cement-202240-50SimCLU6.txt", 6)</f>
        <v>6</v>
      </c>
      <c r="CM125" s="75">
        <f>HYPERLINK(".\links\cluster-b\Ixsc-cement-202240-50SimCLTL6.txt", 4)</f>
        <v>4</v>
      </c>
      <c r="CN125" s="75">
        <f>HYPERLINK(".\links\cluster-b\Ixsc-cement-202245-50SimCLU6.txt", 6)</f>
        <v>6</v>
      </c>
      <c r="CO125" s="75">
        <f>HYPERLINK(".\links\cluster-b\Ixsc-cement-202245-50SimCLTL6.txt", 4)</f>
        <v>4</v>
      </c>
      <c r="CP125" s="75">
        <f>HYPERLINK(".\links\cluster-b\Ixsc-cement-202250-50SimCLU6.txt", 6)</f>
        <v>6</v>
      </c>
      <c r="CQ125" s="75">
        <f>HYPERLINK(".\links\cluster-b\Ixsc-cement-202250-50SimCLTL6.txt", 4)</f>
        <v>4</v>
      </c>
      <c r="CR125" s="75">
        <f>HYPERLINK(".\links\cluster-b\Ixsc-cement-202255-50SimCLU14.txt", 14)</f>
        <v>14</v>
      </c>
      <c r="CS125" s="75">
        <f>HYPERLINK(".\links\cluster-b\Ixsc-cement-202255-50SimCLTL14.txt", 2)</f>
        <v>2</v>
      </c>
      <c r="CT125" s="75">
        <f>HYPERLINK(".\links\cluster-b\Ixsc-cement-202260-50SimCLU14.txt", 14)</f>
        <v>14</v>
      </c>
      <c r="CU125" s="75">
        <f>HYPERLINK(".\links\cluster-b\Ixsc-cement-202260-50SimCLTL14.txt", 2)</f>
        <v>2</v>
      </c>
      <c r="CV125" s="75">
        <f>HYPERLINK(".\links\cluster-b\Ixsc-cement-202265-50SimCLU13.txt", 13)</f>
        <v>13</v>
      </c>
      <c r="CW125" s="75">
        <f>HYPERLINK(".\links\cluster-b\Ixsc-cement-202265-50SimCLTL13.txt", 2)</f>
        <v>2</v>
      </c>
      <c r="CX125" s="75">
        <f>HYPERLINK(".\links\cluster-b\Ixsc-cement-202270-50SimCLU13.txt", 13)</f>
        <v>13</v>
      </c>
      <c r="CY125" s="75">
        <f>HYPERLINK(".\links\cluster-b\Ixsc-cement-202270-50SimCLTL13.txt", 2)</f>
        <v>2</v>
      </c>
      <c r="CZ125" s="75">
        <f>HYPERLINK(".\links\cluster-b\Ixsc-cement-202275-50SimCLU12.txt", 12)</f>
        <v>12</v>
      </c>
      <c r="DA125" s="75">
        <f>HYPERLINK(".\links\cluster-b\Ixsc-cement-202275-50SimCLTL12.txt", 2)</f>
        <v>2</v>
      </c>
      <c r="DB125" s="75">
        <f>HYPERLINK(".\links\cluster-b\Ixsc-cement-202280-50SimCLU10.txt", 10)</f>
        <v>10</v>
      </c>
      <c r="DC125" s="75">
        <f>HYPERLINK(".\links\cluster-b\Ixsc-cement-202280-50SimCLTL10.txt", 2)</f>
        <v>2</v>
      </c>
      <c r="DD125" s="75">
        <f>HYPERLINK(".\links\cluster-b\Ixsc-cement-202285-50SimCLU8.txt", 8)</f>
        <v>8</v>
      </c>
      <c r="DE125" s="75">
        <f>HYPERLINK(".\links\cluster-b\Ixsc-cement-202285-50SimCLTL8.txt", 2)</f>
        <v>2</v>
      </c>
      <c r="DF125" s="75">
        <f>HYPERLINK(".\links\cluster-b\Ixsc-cement-202290-50SimCLU8.txt", 8)</f>
        <v>8</v>
      </c>
      <c r="DG125" s="75">
        <f>HYPERLINK(".\links\cluster-b\Ixsc-cement-202290-50SimCLTL8.txt", 2)</f>
        <v>2</v>
      </c>
      <c r="DH125" s="75">
        <v>36</v>
      </c>
      <c r="DI125" s="75">
        <v>1</v>
      </c>
      <c r="DJ125" s="75" t="s">
        <v>101</v>
      </c>
      <c r="DK125" s="75" t="str">
        <f>HYPERLINK(".\links\AAM-CEMENT-2018\EEC02397.1-AAM-CEMENT-2018.txt","Extracted CDS")</f>
        <v>Extracted CDS</v>
      </c>
      <c r="DL125" s="75" t="str">
        <f>HYPERLINK("http://www.ncbi.nlm.nih.gov/sutils/blink.cgi?pid=Aam-835","2.0")</f>
        <v>2.0</v>
      </c>
      <c r="DM125" s="75" t="str">
        <f>HYPERLINK("http://www.ncbi.nlm.nih.gov/protein/Aam-835","Aam-835")</f>
        <v>Aam-835</v>
      </c>
      <c r="DN125" s="75">
        <v>21.9</v>
      </c>
      <c r="DO125" s="75">
        <v>17</v>
      </c>
      <c r="DP125" s="75">
        <v>1670</v>
      </c>
      <c r="DQ125" s="75">
        <v>47</v>
      </c>
      <c r="DR125" s="75">
        <v>70</v>
      </c>
      <c r="DS125" s="75">
        <v>1</v>
      </c>
      <c r="DT125" s="75">
        <v>9</v>
      </c>
      <c r="DU125" s="75">
        <v>0</v>
      </c>
      <c r="DV125" s="75">
        <v>1614</v>
      </c>
      <c r="DW125" s="75">
        <v>128</v>
      </c>
      <c r="DX125" s="75">
        <v>1</v>
      </c>
      <c r="DY125" s="75" t="s">
        <v>2775</v>
      </c>
      <c r="DZ125" s="75" t="str">
        <f>HYPERLINK(".\links\CDD\EEC02397.1-CDD.txt","hypothetical_protein UrcA family protein")</f>
        <v>hypothetical_protein UrcA family protein</v>
      </c>
      <c r="EA125" s="75">
        <v>4.0999999999999996</v>
      </c>
      <c r="EB125" s="75">
        <v>29.7</v>
      </c>
      <c r="EC125" s="75" t="s">
        <v>3603</v>
      </c>
      <c r="ED125" s="75" t="s">
        <v>3604</v>
      </c>
      <c r="EE125" s="75" t="str">
        <f>HYPERLINK(".\links\KOG\EEC02397.1-KOG.txt","CDD:225516 COG2968, COG2968, Uncharacterized conserved protein")</f>
        <v>CDD:225516 COG2968, COG2968, Uncharacterized conserved protein</v>
      </c>
      <c r="EF125" s="75">
        <v>0.57999999999999996</v>
      </c>
      <c r="EG125" s="75">
        <v>15.2</v>
      </c>
      <c r="EH125" s="75" t="s">
        <v>3605</v>
      </c>
      <c r="EI125" s="75" t="s">
        <v>2779</v>
      </c>
      <c r="EJ125" s="75" t="str">
        <f>HYPERLINK(".\links\PFAM\EEC02397.1-PFAM.txt","MF_alpha_N Mating factor alpha precursor N-terminus")</f>
        <v>MF_alpha_N Mating factor alpha precursor N-terminus</v>
      </c>
      <c r="EK125" s="75">
        <v>1.1000000000000001</v>
      </c>
      <c r="EL125" s="75">
        <v>46</v>
      </c>
      <c r="EM125" s="75" t="s">
        <v>3598</v>
      </c>
      <c r="EN125" s="75" t="s">
        <v>2772</v>
      </c>
      <c r="EO125" s="75" t="str">
        <f>HYPERLINK(".\links\SMART\EEC02397.1-SMART.txt","CDD:129031 smart00795, Agro_virD5, Agrobacterium VirD5 protein")</f>
        <v>CDD:129031 smart00795, Agro_virD5, Agrobacterium VirD5 protein</v>
      </c>
      <c r="EP125" s="75">
        <v>0.4</v>
      </c>
      <c r="EQ125" s="75">
        <v>6.8</v>
      </c>
      <c r="ER125" s="75" t="s">
        <v>3252</v>
      </c>
      <c r="ES125" s="75" t="s">
        <v>2772</v>
      </c>
      <c r="ET125" s="75" t="str">
        <f>HYPERLINK(".\links\TSF\EEC02397.1-TSF.txt","45-106 45-106, BTSP||S|")</f>
        <v>45-106 45-106, BTSP||S|</v>
      </c>
      <c r="EU125" s="79">
        <v>1E-42</v>
      </c>
      <c r="EV125" s="75">
        <v>86.8</v>
      </c>
      <c r="EW125" s="75" t="s">
        <v>3599</v>
      </c>
      <c r="EX125" s="75" t="s">
        <v>3057</v>
      </c>
      <c r="EY125" s="75" t="s">
        <v>2772</v>
      </c>
      <c r="EZ125" s="75" t="s">
        <v>2785</v>
      </c>
      <c r="FA125" s="75" t="s">
        <v>3600</v>
      </c>
    </row>
    <row r="126" spans="1:157" x14ac:dyDescent="0.2">
      <c r="A126" s="75" t="str">
        <f>HYPERLINK(".\links\PEP\EEC09599.1-PEP.txt","EEC09599.1")</f>
        <v>EEC09599.1</v>
      </c>
      <c r="B126" s="75" t="s">
        <v>2768</v>
      </c>
      <c r="C126" s="75">
        <v>524</v>
      </c>
      <c r="D126" s="75" t="s">
        <v>3606</v>
      </c>
      <c r="E126" s="76" t="s">
        <v>54</v>
      </c>
      <c r="F126" s="75" t="s">
        <v>2771</v>
      </c>
      <c r="G126" s="75" t="str">
        <f>HYPERLINK(".\links\Sigp\EEC09599.1-SigP.txt","ANC")</f>
        <v>ANC</v>
      </c>
      <c r="H126" s="75" t="s">
        <v>2772</v>
      </c>
      <c r="I126" s="75">
        <v>56.530999999999999</v>
      </c>
      <c r="J126" s="75">
        <v>9.43</v>
      </c>
      <c r="K126" s="75">
        <v>52.993000000000002</v>
      </c>
      <c r="L126" s="75">
        <v>9.4700000000000006</v>
      </c>
      <c r="M126" s="75" t="str">
        <f>HYPERLINK(".\links\netoglyc\EEC09599.1-netoglyc.txt","8")</f>
        <v>8</v>
      </c>
      <c r="N126" s="75" t="s">
        <v>3607</v>
      </c>
      <c r="O126" s="75">
        <v>524</v>
      </c>
      <c r="P126" s="75" t="str">
        <f>HYPERLINK(".\links\tmhmm\EEC09599.1-tmhmm.txt","2")</f>
        <v>2</v>
      </c>
      <c r="Q126" s="75">
        <v>8.4</v>
      </c>
      <c r="R126" s="75">
        <v>1</v>
      </c>
      <c r="S126" s="75">
        <v>90.6</v>
      </c>
      <c r="T126" s="75" t="s">
        <v>2772</v>
      </c>
      <c r="U126" s="75" t="s">
        <v>2772</v>
      </c>
      <c r="V126" s="75" t="s">
        <v>3608</v>
      </c>
      <c r="W126" s="75">
        <v>18.600000000000001</v>
      </c>
      <c r="X126" s="75">
        <v>5.6</v>
      </c>
      <c r="Y126" s="75">
        <v>9.1999999999999993</v>
      </c>
      <c r="Z126" s="75" t="s">
        <v>2774</v>
      </c>
      <c r="AA126" s="77">
        <v>15.076335877862601</v>
      </c>
      <c r="AB126" s="75">
        <v>0.26</v>
      </c>
      <c r="AD126" s="75">
        <v>8</v>
      </c>
      <c r="AE126" s="75" t="s">
        <v>2772</v>
      </c>
      <c r="AF126" s="75" t="s">
        <v>2772</v>
      </c>
      <c r="AG126" s="75" t="s">
        <v>2772</v>
      </c>
      <c r="AH126" s="75">
        <v>2</v>
      </c>
      <c r="AI126" s="75">
        <v>2</v>
      </c>
      <c r="AJ126" s="75">
        <v>5</v>
      </c>
      <c r="AK126" s="75" t="s">
        <v>2772</v>
      </c>
      <c r="AL126" s="75" t="s">
        <v>2772</v>
      </c>
      <c r="AM126" s="75" t="s">
        <v>2772</v>
      </c>
      <c r="AN126" s="75" t="s">
        <v>2772</v>
      </c>
      <c r="AO126" s="78" t="str">
        <f>HYPERLINK(".\links\AAM-CEMENT-2018\EEC09599.1-AAM-CEMENT-2018.txt","Extracted CDS")</f>
        <v>Extracted CDS</v>
      </c>
      <c r="AP126" s="75" t="str">
        <f>HYPERLINK("http://www.ncbi.nlm.nih.gov/sutils/blink.cgi?pid=Aam-176065","0.028")</f>
        <v>0.028</v>
      </c>
      <c r="AQ126" s="75" t="str">
        <f>HYPERLINK("http://www.ncbi.nlm.nih.gov/protein/Aam-176065","Aam-176065")</f>
        <v>Aam-176065</v>
      </c>
      <c r="AR126" s="75">
        <v>28.1</v>
      </c>
      <c r="AS126" s="75">
        <v>30</v>
      </c>
      <c r="AT126" s="75">
        <v>106</v>
      </c>
      <c r="AU126" s="75">
        <v>46</v>
      </c>
      <c r="AV126" s="75">
        <v>56</v>
      </c>
      <c r="AW126" s="75">
        <v>28</v>
      </c>
      <c r="AX126" s="75">
        <v>16</v>
      </c>
      <c r="AY126" s="75">
        <v>2</v>
      </c>
      <c r="AZ126" s="75">
        <v>70</v>
      </c>
      <c r="BA126" s="75">
        <v>56</v>
      </c>
      <c r="BB126" s="75">
        <v>1</v>
      </c>
      <c r="BC126" s="75" t="s">
        <v>2775</v>
      </c>
      <c r="BD126" s="78" t="str">
        <f>HYPERLINK(".\links\CDD\EEC09599.1-CDD.txt","PRK05326 potassium/proton antiporter")</f>
        <v>PRK05326 potassium/proton antiporter</v>
      </c>
      <c r="BE126" s="75">
        <v>1.7999999999999999E-2</v>
      </c>
      <c r="BF126" s="75">
        <v>8.9</v>
      </c>
      <c r="BG126" s="75" t="s">
        <v>3609</v>
      </c>
      <c r="BH126" s="75" t="s">
        <v>3610</v>
      </c>
      <c r="BI126" s="75" t="str">
        <f>HYPERLINK(".\links\KOG\EEC09599.1-KOG.txt","CDD:225629 COG3087, FtsN, Cell division protein")</f>
        <v>CDD:225629 COG3087, FtsN, Cell division protein</v>
      </c>
      <c r="BJ126" s="75">
        <v>8.0000000000000002E-3</v>
      </c>
      <c r="BK126" s="75">
        <v>70.099999999999994</v>
      </c>
      <c r="BL126" s="75" t="s">
        <v>3611</v>
      </c>
      <c r="BM126" s="75" t="s">
        <v>2779</v>
      </c>
      <c r="BN126" s="78" t="str">
        <f>HYPERLINK(".\links\PFAM\EEC09599.1-PFAM.txt","RseC_MucC Positive regulator of sigm")</f>
        <v>RseC_MucC Positive regulator of sigm</v>
      </c>
      <c r="BO126" s="75">
        <v>8.0000000000000002E-3</v>
      </c>
      <c r="BP126" s="75">
        <v>50.4</v>
      </c>
      <c r="BQ126" s="75" t="s">
        <v>3612</v>
      </c>
      <c r="BR126" s="75" t="s">
        <v>2772</v>
      </c>
      <c r="BS126" s="78" t="str">
        <f>HYPERLINK(".\links\SMART\EEC09599.1-SMART.txt","CDD:129022 smart00786, SHR3_chaperone, ER membrane protein SH3")</f>
        <v>CDD:129022 smart00786, SHR3_chaperone, ER membrane protein SH3</v>
      </c>
      <c r="BT126" s="75">
        <v>9.9000000000000005E-2</v>
      </c>
      <c r="BU126" s="75">
        <v>25.5</v>
      </c>
      <c r="BV126" s="75" t="s">
        <v>3613</v>
      </c>
      <c r="BW126" s="75" t="s">
        <v>2772</v>
      </c>
      <c r="BX126" s="78" t="str">
        <f>HYPERLINK(".\links\TSF\EEC09599.1-TSF.txt","30-417 30-417, BTSP||S|")</f>
        <v>30-417 30-417, BTSP||S|</v>
      </c>
      <c r="BY126" s="79">
        <v>8.0000000000000004E-4</v>
      </c>
      <c r="BZ126" s="75">
        <v>40.4</v>
      </c>
      <c r="CA126" s="75" t="s">
        <v>3056</v>
      </c>
      <c r="CB126" s="75" t="s">
        <v>3057</v>
      </c>
      <c r="CC126" s="75" t="s">
        <v>2772</v>
      </c>
      <c r="CD126" s="75" t="s">
        <v>2785</v>
      </c>
      <c r="CE126" s="75" t="s">
        <v>3058</v>
      </c>
      <c r="CF126" s="75">
        <v>37</v>
      </c>
      <c r="CG126" s="75">
        <v>1</v>
      </c>
      <c r="CH126" s="75">
        <v>45</v>
      </c>
      <c r="CI126" s="75">
        <v>1</v>
      </c>
      <c r="CJ126" s="75">
        <v>46</v>
      </c>
      <c r="CK126" s="75">
        <v>1</v>
      </c>
      <c r="CL126" s="75">
        <v>50</v>
      </c>
      <c r="CM126" s="75">
        <v>1</v>
      </c>
      <c r="CN126" s="75">
        <v>52</v>
      </c>
      <c r="CO126" s="75">
        <v>1</v>
      </c>
      <c r="CP126" s="75">
        <v>53</v>
      </c>
      <c r="CQ126" s="75">
        <v>1</v>
      </c>
      <c r="CR126" s="75">
        <v>54</v>
      </c>
      <c r="CS126" s="75">
        <v>1</v>
      </c>
      <c r="CT126" s="75">
        <v>58</v>
      </c>
      <c r="CU126" s="75">
        <v>1</v>
      </c>
      <c r="CV126" s="75">
        <v>60</v>
      </c>
      <c r="CW126" s="75">
        <v>1</v>
      </c>
      <c r="CX126" s="75">
        <v>64</v>
      </c>
      <c r="CY126" s="75">
        <v>1</v>
      </c>
      <c r="CZ126" s="75">
        <v>66</v>
      </c>
      <c r="DA126" s="75">
        <v>1</v>
      </c>
      <c r="DB126" s="75">
        <v>70</v>
      </c>
      <c r="DC126" s="75">
        <v>1</v>
      </c>
      <c r="DD126" s="75">
        <v>73</v>
      </c>
      <c r="DE126" s="75">
        <v>1</v>
      </c>
      <c r="DF126" s="75">
        <v>75</v>
      </c>
      <c r="DG126" s="75">
        <v>1</v>
      </c>
      <c r="DH126" s="75">
        <v>76</v>
      </c>
      <c r="DI126" s="75">
        <v>1</v>
      </c>
      <c r="DJ126" s="75" t="s">
        <v>23</v>
      </c>
      <c r="DK126" s="75" t="str">
        <f>HYPERLINK(".\links\AAM-CEMENT-2018\EEC09599.1-AAM-CEMENT-2018.txt","Extracted CDS")</f>
        <v>Extracted CDS</v>
      </c>
      <c r="DL126" s="75" t="str">
        <f>HYPERLINK("http://www.ncbi.nlm.nih.gov/sutils/blink.cgi?pid=Aam-176065","0.028")</f>
        <v>0.028</v>
      </c>
      <c r="DM126" s="75" t="str">
        <f>HYPERLINK("http://www.ncbi.nlm.nih.gov/protein/Aam-176065","Aam-176065")</f>
        <v>Aam-176065</v>
      </c>
      <c r="DN126" s="75">
        <v>28.1</v>
      </c>
      <c r="DO126" s="75">
        <v>30</v>
      </c>
      <c r="DP126" s="75">
        <v>106</v>
      </c>
      <c r="DQ126" s="75">
        <v>46</v>
      </c>
      <c r="DR126" s="75">
        <v>56</v>
      </c>
      <c r="DS126" s="75">
        <v>28</v>
      </c>
      <c r="DT126" s="75">
        <v>16</v>
      </c>
      <c r="DU126" s="75">
        <v>2</v>
      </c>
      <c r="DV126" s="75">
        <v>70</v>
      </c>
      <c r="DW126" s="75">
        <v>56</v>
      </c>
      <c r="DX126" s="75">
        <v>1</v>
      </c>
      <c r="DY126" s="75" t="s">
        <v>2775</v>
      </c>
      <c r="DZ126" s="75" t="str">
        <f>HYPERLINK(".\links\CDD\EEC09599.1-CDD.txt","PRK05326 potassium/proton antiporter")</f>
        <v>PRK05326 potassium/proton antiporter</v>
      </c>
      <c r="EA126" s="75">
        <v>1.7999999999999999E-2</v>
      </c>
      <c r="EB126" s="75">
        <v>8.9</v>
      </c>
      <c r="EC126" s="75" t="s">
        <v>3609</v>
      </c>
      <c r="ED126" s="75" t="s">
        <v>3610</v>
      </c>
      <c r="EE126" s="75" t="str">
        <f>HYPERLINK(".\links\KOG\EEC09599.1-KOG.txt","CDD:225629 COG3087, FtsN, Cell division protein")</f>
        <v>CDD:225629 COG3087, FtsN, Cell division protein</v>
      </c>
      <c r="EF126" s="75">
        <v>8.0000000000000002E-3</v>
      </c>
      <c r="EG126" s="75">
        <v>70.099999999999994</v>
      </c>
      <c r="EH126" s="75" t="s">
        <v>3611</v>
      </c>
      <c r="EI126" s="75" t="s">
        <v>2779</v>
      </c>
      <c r="EJ126" s="75" t="str">
        <f>HYPERLINK(".\links\PFAM\EEC09599.1-PFAM.txt","RseC_MucC Positive regulator of sigm")</f>
        <v>RseC_MucC Positive regulator of sigm</v>
      </c>
      <c r="EK126" s="75">
        <v>8.0000000000000002E-3</v>
      </c>
      <c r="EL126" s="75">
        <v>50.4</v>
      </c>
      <c r="EM126" s="75" t="s">
        <v>3612</v>
      </c>
      <c r="EN126" s="75" t="s">
        <v>2772</v>
      </c>
      <c r="EO126" s="75" t="str">
        <f>HYPERLINK(".\links\SMART\EEC09599.1-SMART.txt","CDD:129022 smart00786, SHR3_chaperone, ER membrane protein SH3")</f>
        <v>CDD:129022 smart00786, SHR3_chaperone, ER membrane protein SH3</v>
      </c>
      <c r="EP126" s="75">
        <v>9.9000000000000005E-2</v>
      </c>
      <c r="EQ126" s="75">
        <v>25.5</v>
      </c>
      <c r="ER126" s="75" t="s">
        <v>3613</v>
      </c>
      <c r="ES126" s="75" t="s">
        <v>2772</v>
      </c>
      <c r="ET126" s="75" t="str">
        <f>HYPERLINK(".\links\TSF\EEC09599.1-TSF.txt","30-417 30-417, BTSP||S|")</f>
        <v>30-417 30-417, BTSP||S|</v>
      </c>
      <c r="EU126" s="79">
        <v>8.0000000000000004E-4</v>
      </c>
      <c r="EV126" s="75">
        <v>40.4</v>
      </c>
      <c r="EW126" s="75" t="s">
        <v>3056</v>
      </c>
      <c r="EX126" s="75" t="s">
        <v>3057</v>
      </c>
      <c r="EY126" s="75" t="s">
        <v>2772</v>
      </c>
      <c r="EZ126" s="75" t="s">
        <v>2785</v>
      </c>
      <c r="FA126" s="75" t="s">
        <v>3058</v>
      </c>
    </row>
    <row r="127" spans="1:157" x14ac:dyDescent="0.2">
      <c r="A127" s="75" t="str">
        <f>HYPERLINK(".\links\PEP\EEC02399.1-PEP.txt","EEC02399.1")</f>
        <v>EEC02399.1</v>
      </c>
      <c r="B127" s="75" t="s">
        <v>2990</v>
      </c>
      <c r="C127" s="75">
        <v>170</v>
      </c>
      <c r="D127" s="75" t="s">
        <v>3563</v>
      </c>
      <c r="E127" s="76" t="s">
        <v>54</v>
      </c>
      <c r="F127" s="75" t="s">
        <v>2771</v>
      </c>
      <c r="G127" s="75" t="str">
        <f>HYPERLINK(".\links\Sigp\EEC02399.1-SigP.txt","CYT")</f>
        <v>CYT</v>
      </c>
      <c r="H127" s="75" t="s">
        <v>2772</v>
      </c>
      <c r="I127" s="75">
        <v>18.561</v>
      </c>
      <c r="J127" s="75">
        <v>4.41</v>
      </c>
      <c r="K127" s="75" t="s">
        <v>2772</v>
      </c>
      <c r="L127" s="75" t="s">
        <v>2772</v>
      </c>
      <c r="M127" s="75" t="str">
        <f>HYPERLINK(".\links\netoglyc\EEC02399.1-netoglyc.txt","0")</f>
        <v>0</v>
      </c>
      <c r="N127" s="75" t="s">
        <v>2817</v>
      </c>
      <c r="O127" s="75">
        <v>170</v>
      </c>
      <c r="P127" s="75">
        <v>0</v>
      </c>
      <c r="Q127" s="75" t="s">
        <v>2772</v>
      </c>
      <c r="R127" s="75" t="s">
        <v>2772</v>
      </c>
      <c r="S127" s="75" t="s">
        <v>2772</v>
      </c>
      <c r="T127" s="75" t="s">
        <v>2772</v>
      </c>
      <c r="U127" s="75" t="s">
        <v>2772</v>
      </c>
      <c r="V127" s="75" t="s">
        <v>3614</v>
      </c>
      <c r="W127" s="75">
        <v>6.3</v>
      </c>
      <c r="X127" s="75">
        <v>10.3</v>
      </c>
      <c r="Y127" s="75">
        <v>6.3</v>
      </c>
      <c r="Z127" s="75" t="s">
        <v>2774</v>
      </c>
      <c r="AA127" s="77">
        <v>17.0588235294118</v>
      </c>
      <c r="AB127" s="75">
        <v>0.59</v>
      </c>
      <c r="AD127" s="75">
        <v>6</v>
      </c>
      <c r="AE127" s="75" t="s">
        <v>2772</v>
      </c>
      <c r="AF127" s="75" t="s">
        <v>2772</v>
      </c>
      <c r="AG127" s="75" t="s">
        <v>2772</v>
      </c>
      <c r="AH127" s="75">
        <v>1</v>
      </c>
      <c r="AI127" s="75">
        <v>1</v>
      </c>
      <c r="AJ127" s="75">
        <v>1</v>
      </c>
      <c r="AK127" s="75" t="s">
        <v>2772</v>
      </c>
      <c r="AL127" s="75" t="s">
        <v>2772</v>
      </c>
      <c r="AM127" s="75" t="s">
        <v>2772</v>
      </c>
      <c r="AN127" s="75" t="s">
        <v>2772</v>
      </c>
      <c r="AO127" s="78" t="str">
        <f>HYPERLINK(".\links\AAM-CEMENT-2018\EEC02399.1-AAM-CEMENT-2018.txt","Extracted CDS")</f>
        <v>Extracted CDS</v>
      </c>
      <c r="AP127" s="75" t="str">
        <f>HYPERLINK("http://www.ncbi.nlm.nih.gov/sutils/blink.cgi?pid=Aam-3221","5.8")</f>
        <v>5.8</v>
      </c>
      <c r="AQ127" s="75" t="str">
        <f>HYPERLINK("http://www.ncbi.nlm.nih.gov/protein/Aam-3221","Aam-3221")</f>
        <v>Aam-3221</v>
      </c>
      <c r="AR127" s="75">
        <v>20</v>
      </c>
      <c r="AS127" s="75">
        <v>15</v>
      </c>
      <c r="AT127" s="75">
        <v>636</v>
      </c>
      <c r="AU127" s="75">
        <v>46</v>
      </c>
      <c r="AV127" s="75">
        <v>53</v>
      </c>
      <c r="AW127" s="75">
        <v>2</v>
      </c>
      <c r="AX127" s="75">
        <v>8</v>
      </c>
      <c r="AY127" s="75">
        <v>0</v>
      </c>
      <c r="AZ127" s="75">
        <v>86</v>
      </c>
      <c r="BA127" s="75">
        <v>74</v>
      </c>
      <c r="BB127" s="75">
        <v>1</v>
      </c>
      <c r="BC127" s="75" t="s">
        <v>2775</v>
      </c>
      <c r="BD127" s="78" t="str">
        <f>HYPERLINK(".\links\CDD\EEC02399.1-CDD.txt","retinal_rod K+-dependent Na+/Ca+ exchanger")</f>
        <v>retinal_rod K+-dependent Na+/Ca+ exchanger</v>
      </c>
      <c r="BE127" s="75">
        <v>2.8000000000000001E-2</v>
      </c>
      <c r="BF127" s="75">
        <v>6.4</v>
      </c>
      <c r="BG127" s="75" t="s">
        <v>3615</v>
      </c>
      <c r="BH127" s="75" t="s">
        <v>3616</v>
      </c>
      <c r="BI127" s="75" t="str">
        <f>HYPERLINK(".\links\KOG\EEC02399.1-KOG.txt","CDD:226938 COG4572, ChaB, Putative cation transport regulator")</f>
        <v>CDD:226938 COG4572, ChaB, Putative cation transport regulator</v>
      </c>
      <c r="BJ127" s="75">
        <v>2.8</v>
      </c>
      <c r="BK127" s="75">
        <v>65.8</v>
      </c>
      <c r="BL127" s="75" t="s">
        <v>3617</v>
      </c>
      <c r="BM127" s="75" t="s">
        <v>2779</v>
      </c>
      <c r="BN127" s="78" t="str">
        <f>HYPERLINK(".\links\PFAM\EEC02399.1-PFAM.txt","TSGP1 Tick salivary peptide group 1")</f>
        <v>TSGP1 Tick salivary peptide group 1</v>
      </c>
      <c r="BO127" s="75">
        <v>0.11</v>
      </c>
      <c r="BP127" s="75">
        <v>70</v>
      </c>
      <c r="BQ127" s="75" t="s">
        <v>3618</v>
      </c>
      <c r="BR127" s="75" t="s">
        <v>2772</v>
      </c>
      <c r="BS127" s="78" t="str">
        <f>HYPERLINK(".\links\SMART\EEC02399.1-SMART.txt","CDD:214743 smart00608, ACR, ADAM Cysteine-Rich Domain")</f>
        <v>CDD:214743 smart00608, ACR, ADAM Cysteine-Rich Domain</v>
      </c>
      <c r="BT127" s="75">
        <v>2.9</v>
      </c>
      <c r="BU127" s="75">
        <v>26.3</v>
      </c>
      <c r="BV127" s="75" t="s">
        <v>3619</v>
      </c>
      <c r="BW127" s="75" t="s">
        <v>2772</v>
      </c>
      <c r="BX127" s="78" t="str">
        <f>HYPERLINK(".\links\TSF\EEC02399.1-TSF.txt","45-106 45-106, BTSP||S|")</f>
        <v>45-106 45-106, BTSP||S|</v>
      </c>
      <c r="BY127" s="79">
        <v>9.9999999999999992E-25</v>
      </c>
      <c r="BZ127" s="75">
        <v>90.3</v>
      </c>
      <c r="CA127" s="75" t="s">
        <v>3599</v>
      </c>
      <c r="CB127" s="75" t="s">
        <v>3057</v>
      </c>
      <c r="CC127" s="75" t="s">
        <v>2772</v>
      </c>
      <c r="CD127" s="75" t="s">
        <v>2785</v>
      </c>
      <c r="CE127" s="75" t="s">
        <v>3600</v>
      </c>
      <c r="CF127" s="75">
        <f>HYPERLINK(".\links\cluster-b\Ixsc-cement-202225-50SimCLU7.txt", 7)</f>
        <v>7</v>
      </c>
      <c r="CG127" s="75">
        <f>HYPERLINK(".\links\cluster-b\Ixsc-cement-202225-50SimCLTL7.txt", 4)</f>
        <v>4</v>
      </c>
      <c r="CH127" s="75">
        <f>HYPERLINK(".\links\cluster-b\Ixsc-cement-202230-50SimCLU6.txt", 6)</f>
        <v>6</v>
      </c>
      <c r="CI127" s="75">
        <f>HYPERLINK(".\links\cluster-b\Ixsc-cement-202230-50SimCLTL6.txt", 4)</f>
        <v>4</v>
      </c>
      <c r="CJ127" s="75">
        <f>HYPERLINK(".\links\cluster-b\Ixsc-cement-202235-50SimCLU6.txt", 6)</f>
        <v>6</v>
      </c>
      <c r="CK127" s="75">
        <f>HYPERLINK(".\links\cluster-b\Ixsc-cement-202235-50SimCLTL6.txt", 4)</f>
        <v>4</v>
      </c>
      <c r="CL127" s="75">
        <f>HYPERLINK(".\links\cluster-b\Ixsc-cement-202240-50SimCLU6.txt", 6)</f>
        <v>6</v>
      </c>
      <c r="CM127" s="75">
        <f>HYPERLINK(".\links\cluster-b\Ixsc-cement-202240-50SimCLTL6.txt", 4)</f>
        <v>4</v>
      </c>
      <c r="CN127" s="75">
        <f>HYPERLINK(".\links\cluster-b\Ixsc-cement-202245-50SimCLU6.txt", 6)</f>
        <v>6</v>
      </c>
      <c r="CO127" s="75">
        <f>HYPERLINK(".\links\cluster-b\Ixsc-cement-202245-50SimCLTL6.txt", 4)</f>
        <v>4</v>
      </c>
      <c r="CP127" s="75">
        <f>HYPERLINK(".\links\cluster-b\Ixsc-cement-202250-50SimCLU6.txt", 6)</f>
        <v>6</v>
      </c>
      <c r="CQ127" s="75">
        <f>HYPERLINK(".\links\cluster-b\Ixsc-cement-202250-50SimCLTL6.txt", 4)</f>
        <v>4</v>
      </c>
      <c r="CR127" s="75">
        <f>HYPERLINK(".\links\cluster-b\Ixsc-cement-202255-50SimCLU11.txt", 11)</f>
        <v>11</v>
      </c>
      <c r="CS127" s="75">
        <f>HYPERLINK(".\links\cluster-b\Ixsc-cement-202255-50SimCLTL11.txt", 2)</f>
        <v>2</v>
      </c>
      <c r="CT127" s="75">
        <v>35</v>
      </c>
      <c r="CU127" s="75">
        <v>1</v>
      </c>
      <c r="CV127" s="75">
        <v>37</v>
      </c>
      <c r="CW127" s="75">
        <v>1</v>
      </c>
      <c r="CX127" s="75">
        <v>38</v>
      </c>
      <c r="CY127" s="75">
        <v>1</v>
      </c>
      <c r="CZ127" s="75">
        <v>39</v>
      </c>
      <c r="DA127" s="75">
        <v>1</v>
      </c>
      <c r="DB127" s="75">
        <v>39</v>
      </c>
      <c r="DC127" s="75">
        <v>1</v>
      </c>
      <c r="DD127" s="75">
        <v>37</v>
      </c>
      <c r="DE127" s="75">
        <v>1</v>
      </c>
      <c r="DF127" s="75">
        <v>36</v>
      </c>
      <c r="DG127" s="75">
        <v>1</v>
      </c>
      <c r="DH127" s="75">
        <v>37</v>
      </c>
      <c r="DI127" s="75">
        <v>1</v>
      </c>
      <c r="DJ127" s="75" t="s">
        <v>102</v>
      </c>
      <c r="DK127" s="75" t="str">
        <f>HYPERLINK(".\links\AAM-CEMENT-2018\EEC02399.1-AAM-CEMENT-2018.txt","Extracted CDS")</f>
        <v>Extracted CDS</v>
      </c>
      <c r="DL127" s="75" t="str">
        <f>HYPERLINK("http://www.ncbi.nlm.nih.gov/sutils/blink.cgi?pid=Aam-3221","5.8")</f>
        <v>5.8</v>
      </c>
      <c r="DM127" s="75" t="str">
        <f>HYPERLINK("http://www.ncbi.nlm.nih.gov/protein/Aam-3221","Aam-3221")</f>
        <v>Aam-3221</v>
      </c>
      <c r="DN127" s="75">
        <v>20</v>
      </c>
      <c r="DO127" s="75">
        <v>15</v>
      </c>
      <c r="DP127" s="75">
        <v>636</v>
      </c>
      <c r="DQ127" s="75">
        <v>46</v>
      </c>
      <c r="DR127" s="75">
        <v>53</v>
      </c>
      <c r="DS127" s="75">
        <v>2</v>
      </c>
      <c r="DT127" s="75">
        <v>8</v>
      </c>
      <c r="DU127" s="75">
        <v>0</v>
      </c>
      <c r="DV127" s="75">
        <v>86</v>
      </c>
      <c r="DW127" s="75">
        <v>74</v>
      </c>
      <c r="DX127" s="75">
        <v>1</v>
      </c>
      <c r="DY127" s="75" t="s">
        <v>2775</v>
      </c>
      <c r="DZ127" s="75" t="str">
        <f>HYPERLINK(".\links\CDD\EEC02399.1-CDD.txt","retinal_rod K+-dependent Na+/Ca+ exchanger")</f>
        <v>retinal_rod K+-dependent Na+/Ca+ exchanger</v>
      </c>
      <c r="EA127" s="75">
        <v>2.8000000000000001E-2</v>
      </c>
      <c r="EB127" s="75">
        <v>6.4</v>
      </c>
      <c r="EC127" s="75" t="s">
        <v>3615</v>
      </c>
      <c r="ED127" s="75" t="s">
        <v>3616</v>
      </c>
      <c r="EE127" s="75" t="str">
        <f>HYPERLINK(".\links\KOG\EEC02399.1-KOG.txt","CDD:226938 COG4572, ChaB, Putative cation transport regulator")</f>
        <v>CDD:226938 COG4572, ChaB, Putative cation transport regulator</v>
      </c>
      <c r="EF127" s="75">
        <v>2.8</v>
      </c>
      <c r="EG127" s="75">
        <v>65.8</v>
      </c>
      <c r="EH127" s="75" t="s">
        <v>3617</v>
      </c>
      <c r="EI127" s="75" t="s">
        <v>2779</v>
      </c>
      <c r="EJ127" s="75" t="str">
        <f>HYPERLINK(".\links\PFAM\EEC02399.1-PFAM.txt","TSGP1 Tick salivary peptide group 1")</f>
        <v>TSGP1 Tick salivary peptide group 1</v>
      </c>
      <c r="EK127" s="75">
        <v>0.11</v>
      </c>
      <c r="EL127" s="75">
        <v>70</v>
      </c>
      <c r="EM127" s="75" t="s">
        <v>3618</v>
      </c>
      <c r="EN127" s="75" t="s">
        <v>2772</v>
      </c>
      <c r="EO127" s="75" t="str">
        <f>HYPERLINK(".\links\SMART\EEC02399.1-SMART.txt","CDD:214743 smart00608, ACR, ADAM Cysteine-Rich Domain")</f>
        <v>CDD:214743 smart00608, ACR, ADAM Cysteine-Rich Domain</v>
      </c>
      <c r="EP127" s="75">
        <v>2.9</v>
      </c>
      <c r="EQ127" s="75">
        <v>26.3</v>
      </c>
      <c r="ER127" s="75" t="s">
        <v>3619</v>
      </c>
      <c r="ES127" s="75" t="s">
        <v>2772</v>
      </c>
      <c r="ET127" s="75" t="str">
        <f>HYPERLINK(".\links\TSF\EEC02399.1-TSF.txt","45-106 45-106, BTSP||S|")</f>
        <v>45-106 45-106, BTSP||S|</v>
      </c>
      <c r="EU127" s="79">
        <v>9.9999999999999992E-25</v>
      </c>
      <c r="EV127" s="75">
        <v>90.3</v>
      </c>
      <c r="EW127" s="75" t="s">
        <v>3599</v>
      </c>
      <c r="EX127" s="75" t="s">
        <v>3057</v>
      </c>
      <c r="EY127" s="75" t="s">
        <v>2772</v>
      </c>
      <c r="EZ127" s="75" t="s">
        <v>2785</v>
      </c>
      <c r="FA127" s="75" t="s">
        <v>3600</v>
      </c>
    </row>
    <row r="128" spans="1:157" x14ac:dyDescent="0.2">
      <c r="A128" s="75" t="str">
        <f>HYPERLINK(".\links\PEP\AAY66704.1-PEP.txt","AAY66704.1")</f>
        <v>AAY66704.1</v>
      </c>
      <c r="B128" s="75" t="s">
        <v>2768</v>
      </c>
      <c r="C128" s="75">
        <v>177</v>
      </c>
      <c r="D128" s="75" t="s">
        <v>3620</v>
      </c>
      <c r="E128" s="76" t="s">
        <v>54</v>
      </c>
      <c r="F128" s="75" t="s">
        <v>2771</v>
      </c>
      <c r="G128" s="75" t="str">
        <f>HYPERLINK(".\links\Sigp\AAY66704.1-SigP.txt","SIG")</f>
        <v>SIG</v>
      </c>
      <c r="H128" s="75" t="s">
        <v>2813</v>
      </c>
      <c r="I128" s="75">
        <v>19.643000000000001</v>
      </c>
      <c r="J128" s="75">
        <v>5.49</v>
      </c>
      <c r="K128" s="75">
        <v>17.62</v>
      </c>
      <c r="L128" s="75">
        <v>5.31</v>
      </c>
      <c r="M128" s="75" t="str">
        <f>HYPERLINK(".\links\netoglyc\AAY66704.1-netoglyc.txt","0")</f>
        <v>0</v>
      </c>
      <c r="N128" s="75" t="s">
        <v>3621</v>
      </c>
      <c r="O128" s="75">
        <v>177</v>
      </c>
      <c r="P128" s="75">
        <v>0</v>
      </c>
      <c r="Q128" s="75" t="s">
        <v>2772</v>
      </c>
      <c r="R128" s="75" t="s">
        <v>2772</v>
      </c>
      <c r="S128" s="75" t="s">
        <v>2772</v>
      </c>
      <c r="T128" s="75" t="s">
        <v>2772</v>
      </c>
      <c r="U128" s="75" t="s">
        <v>2772</v>
      </c>
      <c r="V128" s="75" t="s">
        <v>2772</v>
      </c>
      <c r="W128" s="75">
        <v>9.9</v>
      </c>
      <c r="X128" s="75">
        <v>9.4</v>
      </c>
      <c r="Y128" s="75">
        <v>8.3000000000000007</v>
      </c>
      <c r="Z128" s="75" t="s">
        <v>2774</v>
      </c>
      <c r="AA128" s="77">
        <v>18.079096045197701</v>
      </c>
      <c r="AB128" s="75">
        <v>0.4</v>
      </c>
      <c r="AC128" s="75" t="s">
        <v>3622</v>
      </c>
      <c r="AD128" s="75">
        <v>14</v>
      </c>
      <c r="AE128" s="75" t="str">
        <f>HYPERLINK(".\links\pep\AAY66704.1-sulf.txt","1")</f>
        <v>1</v>
      </c>
      <c r="AF128" s="75" t="str">
        <f>HYPERLINK(".\links\pep\AAY66704.1-tyr-sulf.txt","Fasta with y")</f>
        <v>Fasta with y</v>
      </c>
      <c r="AG128" s="75" t="s">
        <v>2772</v>
      </c>
      <c r="AH128" s="75">
        <v>1</v>
      </c>
      <c r="AI128" s="75">
        <v>1</v>
      </c>
      <c r="AJ128" s="75">
        <v>3</v>
      </c>
      <c r="AK128" s="75" t="s">
        <v>2772</v>
      </c>
      <c r="AL128" s="75" t="s">
        <v>2772</v>
      </c>
      <c r="AM128" s="75" t="s">
        <v>2772</v>
      </c>
      <c r="AN128" s="75" t="s">
        <v>2772</v>
      </c>
      <c r="AO128" s="78" t="str">
        <f>HYPERLINK(".\links\AAM-CEMENT-2018\AAY66704.1-AAM-CEMENT-2018.txt","Extracted CDS")</f>
        <v>Extracted CDS</v>
      </c>
      <c r="AP128" s="75" t="str">
        <f>HYPERLINK("http://www.ncbi.nlm.nih.gov/sutils/blink.cgi?pid=Aam-418","0.60")</f>
        <v>0.60</v>
      </c>
      <c r="AQ128" s="75" t="str">
        <f>HYPERLINK("http://www.ncbi.nlm.nih.gov/protein/Aam-418","Aam-418")</f>
        <v>Aam-418</v>
      </c>
      <c r="AR128" s="75">
        <v>23.1</v>
      </c>
      <c r="AS128" s="75">
        <v>20</v>
      </c>
      <c r="AT128" s="75">
        <v>408</v>
      </c>
      <c r="AU128" s="75">
        <v>45</v>
      </c>
      <c r="AV128" s="75">
        <v>65</v>
      </c>
      <c r="AW128" s="75">
        <v>5</v>
      </c>
      <c r="AX128" s="75">
        <v>11</v>
      </c>
      <c r="AY128" s="75">
        <v>0</v>
      </c>
      <c r="AZ128" s="75">
        <v>45</v>
      </c>
      <c r="BA128" s="75">
        <v>75</v>
      </c>
      <c r="BB128" s="75">
        <v>1</v>
      </c>
      <c r="BC128" s="75" t="s">
        <v>2775</v>
      </c>
      <c r="BD128" s="78" t="str">
        <f>HYPERLINK(".\links\CDD\AAY66704.1-CDD.txt","TSGP1 Tick salivary peptide group 1")</f>
        <v>TSGP1 Tick salivary peptide group 1</v>
      </c>
      <c r="BE128" s="75">
        <v>2.2999999999999998</v>
      </c>
      <c r="BF128" s="75">
        <v>31.7</v>
      </c>
      <c r="BG128" s="75" t="s">
        <v>3618</v>
      </c>
      <c r="BH128" s="75" t="s">
        <v>3623</v>
      </c>
      <c r="BI128" s="75" t="str">
        <f>HYPERLINK(".\links\KOG\AAY66704.1-KOG.txt","CDD:227721 COG5434, PGU1, Endopygalactorunase")</f>
        <v>CDD:227721 COG5434, PGU1, Endopygalactorunase</v>
      </c>
      <c r="BJ128" s="75">
        <v>0.9</v>
      </c>
      <c r="BK128" s="75">
        <v>3.7</v>
      </c>
      <c r="BL128" s="75" t="s">
        <v>3624</v>
      </c>
      <c r="BM128" s="75" t="s">
        <v>2779</v>
      </c>
      <c r="BN128" s="78" t="str">
        <f>HYPERLINK(".\links\PFAM\AAY66704.1-PFAM.txt","TSGP1 Tick salivary peptide group 1")</f>
        <v>TSGP1 Tick salivary peptide group 1</v>
      </c>
      <c r="BO128" s="75">
        <v>0.53</v>
      </c>
      <c r="BP128" s="75">
        <v>31.7</v>
      </c>
      <c r="BQ128" s="75" t="s">
        <v>3618</v>
      </c>
      <c r="BR128" s="75" t="s">
        <v>2772</v>
      </c>
      <c r="BS128" s="78" t="str">
        <f>HYPERLINK(".\links\SMART\AAY66704.1-SMART.txt","CDD:129003 smart00764, Citrate_ly_lig, Citrate lyase ligase C-terminal domain")</f>
        <v>CDD:129003 smart00764, Citrate_ly_lig, Citrate lyase ligase C-terminal domain</v>
      </c>
      <c r="BT128" s="75">
        <v>0.79</v>
      </c>
      <c r="BU128" s="75">
        <v>13.2</v>
      </c>
      <c r="BV128" s="75" t="s">
        <v>3625</v>
      </c>
      <c r="BW128" s="75" t="s">
        <v>2772</v>
      </c>
      <c r="BX128" s="78" t="str">
        <f>HYPERLINK(".\links\TSF\AAY66704.1-TSF.txt","40-77 40-77, BTSP||S|")</f>
        <v>40-77 40-77, BTSP||S|</v>
      </c>
      <c r="BY128" s="79">
        <v>1.9999999999999999E-72</v>
      </c>
      <c r="BZ128" s="75">
        <v>101.7</v>
      </c>
      <c r="CA128" s="75" t="s">
        <v>3626</v>
      </c>
      <c r="CB128" s="75" t="s">
        <v>3057</v>
      </c>
      <c r="CC128" s="75" t="s">
        <v>2772</v>
      </c>
      <c r="CD128" s="75" t="s">
        <v>2785</v>
      </c>
      <c r="CE128" s="75" t="s">
        <v>3627</v>
      </c>
      <c r="CF128" s="75">
        <f>HYPERLINK(".\links\cluster-b\Ixsc-cement-202225-50SimCLU6.txt", 6)</f>
        <v>6</v>
      </c>
      <c r="CG128" s="75">
        <f>HYPERLINK(".\links\cluster-b\Ixsc-cement-202225-50SimCLTL6.txt", 4)</f>
        <v>4</v>
      </c>
      <c r="CH128" s="75">
        <f>HYPERLINK(".\links\cluster-b\Ixsc-cement-202230-50SimCLU5.txt", 5)</f>
        <v>5</v>
      </c>
      <c r="CI128" s="75">
        <f>HYPERLINK(".\links\cluster-b\Ixsc-cement-202230-50SimCLTL5.txt", 4)</f>
        <v>4</v>
      </c>
      <c r="CJ128" s="75">
        <f>HYPERLINK(".\links\cluster-b\Ixsc-cement-202235-50SimCLU5.txt", 5)</f>
        <v>5</v>
      </c>
      <c r="CK128" s="75">
        <f>HYPERLINK(".\links\cluster-b\Ixsc-cement-202235-50SimCLTL5.txt", 4)</f>
        <v>4</v>
      </c>
      <c r="CL128" s="75">
        <f>HYPERLINK(".\links\cluster-b\Ixsc-cement-202240-50SimCLU5.txt", 5)</f>
        <v>5</v>
      </c>
      <c r="CM128" s="75">
        <f>HYPERLINK(".\links\cluster-b\Ixsc-cement-202240-50SimCLTL5.txt", 4)</f>
        <v>4</v>
      </c>
      <c r="CN128" s="75">
        <f>HYPERLINK(".\links\cluster-b\Ixsc-cement-202245-50SimCLU5.txt", 5)</f>
        <v>5</v>
      </c>
      <c r="CO128" s="75">
        <f>HYPERLINK(".\links\cluster-b\Ixsc-cement-202245-50SimCLTL5.txt", 4)</f>
        <v>4</v>
      </c>
      <c r="CP128" s="75">
        <f>HYPERLINK(".\links\cluster-b\Ixsc-cement-202250-50SimCLU5.txt", 5)</f>
        <v>5</v>
      </c>
      <c r="CQ128" s="75">
        <f>HYPERLINK(".\links\cluster-b\Ixsc-cement-202250-50SimCLTL5.txt", 4)</f>
        <v>4</v>
      </c>
      <c r="CR128" s="75">
        <f>HYPERLINK(".\links\cluster-b\Ixsc-cement-202255-50SimCLU5.txt", 5)</f>
        <v>5</v>
      </c>
      <c r="CS128" s="75">
        <f>HYPERLINK(".\links\cluster-b\Ixsc-cement-202255-50SimCLTL5.txt", 4)</f>
        <v>4</v>
      </c>
      <c r="CT128" s="75">
        <f>HYPERLINK(".\links\cluster-b\Ixsc-cement-202260-50SimCLU12.txt", 12)</f>
        <v>12</v>
      </c>
      <c r="CU128" s="75">
        <f>HYPERLINK(".\links\cluster-b\Ixsc-cement-202260-50SimCLTL12.txt", 2)</f>
        <v>2</v>
      </c>
      <c r="CV128" s="75">
        <f>HYPERLINK(".\links\cluster-b\Ixsc-cement-202265-50SimCLU11.txt", 11)</f>
        <v>11</v>
      </c>
      <c r="CW128" s="75">
        <f>HYPERLINK(".\links\cluster-b\Ixsc-cement-202265-50SimCLTL11.txt", 2)</f>
        <v>2</v>
      </c>
      <c r="CX128" s="75">
        <f>HYPERLINK(".\links\cluster-b\Ixsc-cement-202270-50SimCLU11.txt", 11)</f>
        <v>11</v>
      </c>
      <c r="CY128" s="75">
        <f>HYPERLINK(".\links\cluster-b\Ixsc-cement-202270-50SimCLTL11.txt", 2)</f>
        <v>2</v>
      </c>
      <c r="CZ128" s="75">
        <v>23</v>
      </c>
      <c r="DA128" s="75">
        <v>1</v>
      </c>
      <c r="DB128" s="75">
        <v>22</v>
      </c>
      <c r="DC128" s="75">
        <v>1</v>
      </c>
      <c r="DD128" s="75">
        <v>20</v>
      </c>
      <c r="DE128" s="75">
        <v>1</v>
      </c>
      <c r="DF128" s="75">
        <v>19</v>
      </c>
      <c r="DG128" s="75">
        <v>1</v>
      </c>
      <c r="DH128" s="75">
        <v>18</v>
      </c>
      <c r="DI128" s="75">
        <v>1</v>
      </c>
      <c r="DJ128" s="75" t="s">
        <v>20</v>
      </c>
      <c r="DK128" s="75" t="str">
        <f>HYPERLINK(".\links\AAM-CEMENT-2018\AAY66704.1-AAM-CEMENT-2018.txt","Extracted CDS")</f>
        <v>Extracted CDS</v>
      </c>
      <c r="DL128" s="75" t="str">
        <f>HYPERLINK("http://www.ncbi.nlm.nih.gov/sutils/blink.cgi?pid=Aam-418","0.60")</f>
        <v>0.60</v>
      </c>
      <c r="DM128" s="75" t="str">
        <f>HYPERLINK("http://www.ncbi.nlm.nih.gov/protein/Aam-418","Aam-418")</f>
        <v>Aam-418</v>
      </c>
      <c r="DN128" s="75">
        <v>23.1</v>
      </c>
      <c r="DO128" s="75">
        <v>20</v>
      </c>
      <c r="DP128" s="75">
        <v>408</v>
      </c>
      <c r="DQ128" s="75">
        <v>45</v>
      </c>
      <c r="DR128" s="75">
        <v>65</v>
      </c>
      <c r="DS128" s="75">
        <v>5</v>
      </c>
      <c r="DT128" s="75">
        <v>11</v>
      </c>
      <c r="DU128" s="75">
        <v>0</v>
      </c>
      <c r="DV128" s="75">
        <v>45</v>
      </c>
      <c r="DW128" s="75">
        <v>75</v>
      </c>
      <c r="DX128" s="75">
        <v>1</v>
      </c>
      <c r="DY128" s="75" t="s">
        <v>2775</v>
      </c>
      <c r="DZ128" s="75" t="str">
        <f>HYPERLINK(".\links\CDD\AAY66704.1-CDD.txt","TSGP1 Tick salivary peptide group 1")</f>
        <v>TSGP1 Tick salivary peptide group 1</v>
      </c>
      <c r="EA128" s="75">
        <v>2.2999999999999998</v>
      </c>
      <c r="EB128" s="75">
        <v>31.7</v>
      </c>
      <c r="EC128" s="75" t="s">
        <v>3618</v>
      </c>
      <c r="ED128" s="75" t="s">
        <v>3623</v>
      </c>
      <c r="EE128" s="75" t="str">
        <f>HYPERLINK(".\links\KOG\AAY66704.1-KOG.txt","CDD:227721 COG5434, PGU1, Endopygalactorunase")</f>
        <v>CDD:227721 COG5434, PGU1, Endopygalactorunase</v>
      </c>
      <c r="EF128" s="75">
        <v>0.9</v>
      </c>
      <c r="EG128" s="75">
        <v>3.7</v>
      </c>
      <c r="EH128" s="75" t="s">
        <v>3624</v>
      </c>
      <c r="EI128" s="75" t="s">
        <v>2779</v>
      </c>
      <c r="EJ128" s="75" t="str">
        <f>HYPERLINK(".\links\PFAM\AAY66704.1-PFAM.txt","TSGP1 Tick salivary peptide group 1")</f>
        <v>TSGP1 Tick salivary peptide group 1</v>
      </c>
      <c r="EK128" s="75">
        <v>0.53</v>
      </c>
      <c r="EL128" s="75">
        <v>31.7</v>
      </c>
      <c r="EM128" s="75" t="s">
        <v>3618</v>
      </c>
      <c r="EN128" s="75" t="s">
        <v>2772</v>
      </c>
      <c r="EO128" s="75" t="str">
        <f>HYPERLINK(".\links\SMART\AAY66704.1-SMART.txt","CDD:129003 smart00764, Citrate_ly_lig, Citrate lyase ligase C-terminal domain")</f>
        <v>CDD:129003 smart00764, Citrate_ly_lig, Citrate lyase ligase C-terminal domain</v>
      </c>
      <c r="EP128" s="75">
        <v>0.79</v>
      </c>
      <c r="EQ128" s="75">
        <v>13.2</v>
      </c>
      <c r="ER128" s="75" t="s">
        <v>3625</v>
      </c>
      <c r="ES128" s="75" t="s">
        <v>2772</v>
      </c>
      <c r="ET128" s="75" t="str">
        <f>HYPERLINK(".\links\TSF\AAY66704.1-TSF.txt","40-77 40-77, BTSP||S|")</f>
        <v>40-77 40-77, BTSP||S|</v>
      </c>
      <c r="EU128" s="79">
        <v>1.9999999999999999E-72</v>
      </c>
      <c r="EV128" s="75">
        <v>101.7</v>
      </c>
      <c r="EW128" s="75" t="s">
        <v>3626</v>
      </c>
      <c r="EX128" s="75" t="s">
        <v>3057</v>
      </c>
      <c r="EY128" s="75" t="s">
        <v>2772</v>
      </c>
      <c r="EZ128" s="75" t="s">
        <v>2785</v>
      </c>
      <c r="FA128" s="75" t="s">
        <v>3627</v>
      </c>
    </row>
    <row r="129" spans="1:157" x14ac:dyDescent="0.2">
      <c r="A129" s="75" t="str">
        <f>HYPERLINK(".\links\PEP\EEC01412.1-PEP.txt","EEC01412.1")</f>
        <v>EEC01412.1</v>
      </c>
      <c r="B129" s="75" t="s">
        <v>2768</v>
      </c>
      <c r="C129" s="75">
        <v>96</v>
      </c>
      <c r="D129" s="75" t="s">
        <v>3628</v>
      </c>
      <c r="E129" s="76" t="s">
        <v>54</v>
      </c>
      <c r="F129" s="75" t="s">
        <v>2771</v>
      </c>
      <c r="G129" s="75" t="str">
        <f>HYPERLINK(".\links\Sigp\EEC01412.1-SigP.txt","CYT")</f>
        <v>CYT</v>
      </c>
      <c r="H129" s="75" t="s">
        <v>2772</v>
      </c>
      <c r="I129" s="75">
        <v>9.8960000000000008</v>
      </c>
      <c r="J129" s="75">
        <v>6.4</v>
      </c>
      <c r="K129" s="75" t="s">
        <v>2772</v>
      </c>
      <c r="L129" s="75" t="s">
        <v>2772</v>
      </c>
      <c r="M129" s="75" t="str">
        <f>HYPERLINK(".\links\netoglyc\EEC01412.1-netoglyc.txt","15")</f>
        <v>15</v>
      </c>
      <c r="N129" s="75" t="s">
        <v>2817</v>
      </c>
      <c r="O129" s="75">
        <v>96</v>
      </c>
      <c r="P129" s="75">
        <v>0</v>
      </c>
      <c r="Q129" s="75" t="s">
        <v>2772</v>
      </c>
      <c r="R129" s="75" t="s">
        <v>2772</v>
      </c>
      <c r="S129" s="75" t="s">
        <v>2772</v>
      </c>
      <c r="T129" s="75" t="s">
        <v>2772</v>
      </c>
      <c r="U129" s="75" t="s">
        <v>2772</v>
      </c>
      <c r="V129" s="75" t="s">
        <v>2772</v>
      </c>
      <c r="W129" s="75">
        <v>20.2</v>
      </c>
      <c r="X129" s="75">
        <v>14.1</v>
      </c>
      <c r="Y129" s="75">
        <v>10.1</v>
      </c>
      <c r="Z129" s="75" t="s">
        <v>2774</v>
      </c>
      <c r="AA129" s="77">
        <v>25</v>
      </c>
      <c r="AB129" s="75">
        <v>0.52</v>
      </c>
      <c r="AD129" s="75">
        <v>1</v>
      </c>
      <c r="AE129" s="75" t="s">
        <v>2772</v>
      </c>
      <c r="AF129" s="75" t="s">
        <v>2772</v>
      </c>
      <c r="AG129" s="75" t="s">
        <v>2772</v>
      </c>
      <c r="AH129" s="75" t="s">
        <v>2772</v>
      </c>
      <c r="AI129" s="75" t="s">
        <v>2772</v>
      </c>
      <c r="AJ129" s="75">
        <v>2</v>
      </c>
      <c r="AK129" s="75" t="s">
        <v>2772</v>
      </c>
      <c r="AL129" s="75" t="s">
        <v>2772</v>
      </c>
      <c r="AM129" s="75" t="s">
        <v>2772</v>
      </c>
      <c r="AN129" s="75" t="s">
        <v>2772</v>
      </c>
      <c r="AO129" s="78" t="str">
        <f>HYPERLINK(".\links\AAM-CEMENT-2018\EEC01412.1-AAM-CEMENT-2018.txt","Extracted CDS")</f>
        <v>Extracted CDS</v>
      </c>
      <c r="AP129" s="75" t="str">
        <f>HYPERLINK("http://www.ncbi.nlm.nih.gov/sutils/blink.cgi?pid=Aam-179800","0.29")</f>
        <v>0.29</v>
      </c>
      <c r="AQ129" s="75" t="str">
        <f>HYPERLINK("http://www.ncbi.nlm.nih.gov/protein/Aam-179800","Aam-179800")</f>
        <v>Aam-179800</v>
      </c>
      <c r="AR129" s="75">
        <v>22.7</v>
      </c>
      <c r="AS129" s="75">
        <v>27</v>
      </c>
      <c r="AT129" s="75">
        <v>162</v>
      </c>
      <c r="AU129" s="75">
        <v>44</v>
      </c>
      <c r="AV129" s="75">
        <v>51</v>
      </c>
      <c r="AW129" s="75">
        <v>17</v>
      </c>
      <c r="AX129" s="75">
        <v>15</v>
      </c>
      <c r="AY129" s="75">
        <v>0</v>
      </c>
      <c r="AZ129" s="75">
        <v>10</v>
      </c>
      <c r="BA129" s="75">
        <v>59</v>
      </c>
      <c r="BB129" s="75">
        <v>1</v>
      </c>
      <c r="BC129" s="75" t="s">
        <v>2775</v>
      </c>
      <c r="BD129" s="78" t="str">
        <f>HYPERLINK(".\links\CDD\EEC01412.1-CDD.txt","COG1041 Predicted DNA modification methylase")</f>
        <v>COG1041 Predicted DNA modification methylase</v>
      </c>
      <c r="BE129" s="75">
        <v>0.33</v>
      </c>
      <c r="BF129" s="75">
        <v>13.8</v>
      </c>
      <c r="BG129" s="75" t="s">
        <v>3629</v>
      </c>
      <c r="BH129" s="75" t="s">
        <v>3630</v>
      </c>
      <c r="BI129" s="75" t="str">
        <f>HYPERLINK(".\links\KOG\EEC01412.1-KOG.txt","CDD:223971 COG1041, COG1041, Predicted DNA modification methylase")</f>
        <v>CDD:223971 COG1041, COG1041, Predicted DNA modification methylase</v>
      </c>
      <c r="BJ129" s="75">
        <v>3.7999999999999999E-2</v>
      </c>
      <c r="BK129" s="75">
        <v>13.8</v>
      </c>
      <c r="BL129" s="75" t="s">
        <v>3629</v>
      </c>
      <c r="BM129" s="75" t="s">
        <v>2779</v>
      </c>
      <c r="BN129" s="78" t="str">
        <f>HYPERLINK(".\links\PFAM\EEC01412.1-PFAM.txt","Raftlin Raftlin")</f>
        <v>Raftlin Raftlin</v>
      </c>
      <c r="BO129" s="75">
        <v>0.1</v>
      </c>
      <c r="BP129" s="75">
        <v>19</v>
      </c>
      <c r="BQ129" s="75" t="s">
        <v>3631</v>
      </c>
      <c r="BR129" s="75" t="s">
        <v>2772</v>
      </c>
      <c r="BS129" s="78" t="str">
        <f>HYPERLINK(".\links\SMART\EEC01412.1-SMART.txt","CDD:197594 smart00237, Calx_beta, Domains in Na-Ca exchangers and integrin-beta4")</f>
        <v>CDD:197594 smart00237, Calx_beta, Domains in Na-Ca exchangers and integrin-beta4</v>
      </c>
      <c r="BT129" s="75">
        <v>0.56999999999999995</v>
      </c>
      <c r="BU129" s="75">
        <v>76.7</v>
      </c>
      <c r="BV129" s="75" t="s">
        <v>3632</v>
      </c>
      <c r="BW129" s="75" t="s">
        <v>2772</v>
      </c>
      <c r="BX129" s="78" t="str">
        <f>HYPERLINK(".\links\TSF\EEC01412.1-TSF.txt","40-669 40-669, G protein-coupled receptors||H| ")</f>
        <v xml:space="preserve">40-669 40-669, G protein-coupled receptors||H| </v>
      </c>
      <c r="BY129" s="75">
        <v>7.1999999999999995E-2</v>
      </c>
      <c r="BZ129" s="75">
        <v>5.4</v>
      </c>
      <c r="CA129" s="75" t="s">
        <v>3633</v>
      </c>
      <c r="CB129" s="75" t="s">
        <v>3520</v>
      </c>
      <c r="CC129" s="75" t="s">
        <v>2772</v>
      </c>
      <c r="CD129" s="75" t="s">
        <v>2808</v>
      </c>
      <c r="CE129" s="75" t="s">
        <v>3634</v>
      </c>
      <c r="CF129" s="75">
        <f>HYPERLINK(".\links\cluster-b\Ixsc-cement-202225-50SimCLU1.txt", 1)</f>
        <v>1</v>
      </c>
      <c r="CG129" s="75">
        <f>HYPERLINK(".\links\cluster-b\Ixsc-cement-202225-50SimCLTL1.txt", 20)</f>
        <v>20</v>
      </c>
      <c r="CH129" s="75">
        <v>28</v>
      </c>
      <c r="CI129" s="75">
        <v>1</v>
      </c>
      <c r="CJ129" s="75">
        <v>27</v>
      </c>
      <c r="CK129" s="75">
        <v>1</v>
      </c>
      <c r="CL129" s="75">
        <v>29</v>
      </c>
      <c r="CM129" s="75">
        <v>1</v>
      </c>
      <c r="CN129" s="75">
        <v>27</v>
      </c>
      <c r="CO129" s="75">
        <v>1</v>
      </c>
      <c r="CP129" s="75">
        <v>27</v>
      </c>
      <c r="CQ129" s="75">
        <v>1</v>
      </c>
      <c r="CR129" s="75">
        <v>28</v>
      </c>
      <c r="CS129" s="75">
        <v>1</v>
      </c>
      <c r="CT129" s="75">
        <v>30</v>
      </c>
      <c r="CU129" s="75">
        <v>1</v>
      </c>
      <c r="CV129" s="75">
        <v>30</v>
      </c>
      <c r="CW129" s="75">
        <v>1</v>
      </c>
      <c r="CX129" s="75">
        <v>31</v>
      </c>
      <c r="CY129" s="75">
        <v>1</v>
      </c>
      <c r="CZ129" s="75">
        <v>31</v>
      </c>
      <c r="DA129" s="75">
        <v>1</v>
      </c>
      <c r="DB129" s="75">
        <v>30</v>
      </c>
      <c r="DC129" s="75">
        <v>1</v>
      </c>
      <c r="DD129" s="75">
        <v>28</v>
      </c>
      <c r="DE129" s="75">
        <v>1</v>
      </c>
      <c r="DF129" s="75">
        <v>27</v>
      </c>
      <c r="DG129" s="75">
        <v>1</v>
      </c>
      <c r="DH129" s="75">
        <v>27</v>
      </c>
      <c r="DI129" s="75">
        <v>1</v>
      </c>
      <c r="DJ129" s="75" t="s">
        <v>22</v>
      </c>
      <c r="DK129" s="75" t="str">
        <f>HYPERLINK(".\links\AAM-CEMENT-2018\EEC01412.1-AAM-CEMENT-2018.txt","Extracted CDS")</f>
        <v>Extracted CDS</v>
      </c>
      <c r="DL129" s="75" t="str">
        <f>HYPERLINK("http://www.ncbi.nlm.nih.gov/sutils/blink.cgi?pid=Aam-179800","0.29")</f>
        <v>0.29</v>
      </c>
      <c r="DM129" s="75" t="str">
        <f>HYPERLINK("http://www.ncbi.nlm.nih.gov/protein/Aam-179800","Aam-179800")</f>
        <v>Aam-179800</v>
      </c>
      <c r="DN129" s="75">
        <v>22.7</v>
      </c>
      <c r="DO129" s="75">
        <v>27</v>
      </c>
      <c r="DP129" s="75">
        <v>162</v>
      </c>
      <c r="DQ129" s="75">
        <v>44</v>
      </c>
      <c r="DR129" s="75">
        <v>51</v>
      </c>
      <c r="DS129" s="75">
        <v>17</v>
      </c>
      <c r="DT129" s="75">
        <v>15</v>
      </c>
      <c r="DU129" s="75">
        <v>0</v>
      </c>
      <c r="DV129" s="75">
        <v>10</v>
      </c>
      <c r="DW129" s="75">
        <v>59</v>
      </c>
      <c r="DX129" s="75">
        <v>1</v>
      </c>
      <c r="DY129" s="75" t="s">
        <v>2775</v>
      </c>
      <c r="DZ129" s="75" t="str">
        <f>HYPERLINK(".\links\CDD\EEC01412.1-CDD.txt","COG1041 Predicted DNA modification methylase")</f>
        <v>COG1041 Predicted DNA modification methylase</v>
      </c>
      <c r="EA129" s="75">
        <v>0.33</v>
      </c>
      <c r="EB129" s="75">
        <v>13.8</v>
      </c>
      <c r="EC129" s="75" t="s">
        <v>3629</v>
      </c>
      <c r="ED129" s="75" t="s">
        <v>3630</v>
      </c>
      <c r="EE129" s="75" t="str">
        <f>HYPERLINK(".\links\KOG\EEC01412.1-KOG.txt","CDD:223971 COG1041, COG1041, Predicted DNA modification methylase")</f>
        <v>CDD:223971 COG1041, COG1041, Predicted DNA modification methylase</v>
      </c>
      <c r="EF129" s="75">
        <v>3.7999999999999999E-2</v>
      </c>
      <c r="EG129" s="75">
        <v>13.8</v>
      </c>
      <c r="EH129" s="75" t="s">
        <v>3629</v>
      </c>
      <c r="EI129" s="75" t="s">
        <v>2779</v>
      </c>
      <c r="EJ129" s="75" t="str">
        <f>HYPERLINK(".\links\PFAM\EEC01412.1-PFAM.txt","Raftlin Raftlin")</f>
        <v>Raftlin Raftlin</v>
      </c>
      <c r="EK129" s="75">
        <v>0.1</v>
      </c>
      <c r="EL129" s="75">
        <v>19</v>
      </c>
      <c r="EM129" s="75" t="s">
        <v>3631</v>
      </c>
      <c r="EN129" s="75" t="s">
        <v>2772</v>
      </c>
      <c r="EO129" s="75" t="str">
        <f>HYPERLINK(".\links\SMART\EEC01412.1-SMART.txt","CDD:197594 smart00237, Calx_beta, Domains in Na-Ca exchangers and integrin-beta4")</f>
        <v>CDD:197594 smart00237, Calx_beta, Domains in Na-Ca exchangers and integrin-beta4</v>
      </c>
      <c r="EP129" s="75">
        <v>0.56999999999999995</v>
      </c>
      <c r="EQ129" s="75">
        <v>76.7</v>
      </c>
      <c r="ER129" s="75" t="s">
        <v>3632</v>
      </c>
      <c r="ES129" s="75" t="s">
        <v>2772</v>
      </c>
      <c r="ET129" s="75" t="str">
        <f>HYPERLINK(".\links\TSF\EEC01412.1-TSF.txt","40-669 40-669, G protein-coupled receptors||H| ")</f>
        <v xml:space="preserve">40-669 40-669, G protein-coupled receptors||H| </v>
      </c>
      <c r="EU129" s="75">
        <v>7.1999999999999995E-2</v>
      </c>
      <c r="EV129" s="75">
        <v>5.4</v>
      </c>
      <c r="EW129" s="75" t="s">
        <v>3633</v>
      </c>
      <c r="EX129" s="75" t="s">
        <v>3520</v>
      </c>
      <c r="EY129" s="75" t="s">
        <v>2772</v>
      </c>
      <c r="EZ129" s="75" t="s">
        <v>2808</v>
      </c>
      <c r="FA129" s="75" t="s">
        <v>3634</v>
      </c>
    </row>
    <row r="130" spans="1:157" x14ac:dyDescent="0.2">
      <c r="A130" s="75" t="str">
        <f>HYPERLINK(".\links\PEP\EEC06365.1-PEP.txt","EEC06365.1")</f>
        <v>EEC06365.1</v>
      </c>
      <c r="B130" s="75" t="s">
        <v>2768</v>
      </c>
      <c r="C130" s="75">
        <v>67</v>
      </c>
      <c r="D130" s="75" t="s">
        <v>3635</v>
      </c>
      <c r="E130" s="76" t="s">
        <v>54</v>
      </c>
      <c r="F130" s="75" t="s">
        <v>2771</v>
      </c>
      <c r="G130" s="75" t="str">
        <f>HYPERLINK(".\links\Sigp\EEC06365.1-SigP.txt","SIG")</f>
        <v>SIG</v>
      </c>
      <c r="H130" s="75" t="s">
        <v>2866</v>
      </c>
      <c r="I130" s="75">
        <v>7.5270000000000001</v>
      </c>
      <c r="J130" s="75">
        <v>6</v>
      </c>
      <c r="K130" s="75">
        <v>5.6130000000000004</v>
      </c>
      <c r="L130" s="75">
        <v>5.56</v>
      </c>
      <c r="M130" s="75" t="str">
        <f>HYPERLINK(".\links\netoglyc\EEC06365.1-netoglyc.txt","0")</f>
        <v>0</v>
      </c>
      <c r="N130" s="75" t="s">
        <v>3636</v>
      </c>
      <c r="O130" s="75">
        <v>67</v>
      </c>
      <c r="P130" s="75" t="str">
        <f>HYPERLINK(".\links\tmhmm\EEC06365.1-tmhmm.txt","1")</f>
        <v>1</v>
      </c>
      <c r="Q130" s="75">
        <v>26.9</v>
      </c>
      <c r="R130" s="75">
        <v>70.099999999999994</v>
      </c>
      <c r="S130" s="75">
        <v>3</v>
      </c>
      <c r="T130" s="75" t="s">
        <v>2772</v>
      </c>
      <c r="U130" s="75">
        <v>47</v>
      </c>
      <c r="V130" s="75" t="s">
        <v>2772</v>
      </c>
      <c r="W130" s="75">
        <v>5.8</v>
      </c>
      <c r="X130" s="75">
        <v>5.8</v>
      </c>
      <c r="Y130" s="75">
        <v>8.6999999999999993</v>
      </c>
      <c r="Z130" s="75" t="s">
        <v>2774</v>
      </c>
      <c r="AA130" s="77">
        <v>14.9253731343284</v>
      </c>
      <c r="AB130" s="75">
        <v>0.49</v>
      </c>
      <c r="AD130" s="75">
        <v>1</v>
      </c>
      <c r="AE130" s="75" t="s">
        <v>2772</v>
      </c>
      <c r="AF130" s="75" t="s">
        <v>2772</v>
      </c>
      <c r="AG130" s="75" t="s">
        <v>2772</v>
      </c>
      <c r="AH130" s="75" t="s">
        <v>2772</v>
      </c>
      <c r="AI130" s="75" t="s">
        <v>2772</v>
      </c>
      <c r="AJ130" s="75" t="s">
        <v>2772</v>
      </c>
      <c r="AK130" s="75" t="s">
        <v>2772</v>
      </c>
      <c r="AL130" s="75" t="s">
        <v>2772</v>
      </c>
      <c r="AM130" s="75" t="s">
        <v>2772</v>
      </c>
      <c r="AN130" s="75" t="s">
        <v>2772</v>
      </c>
      <c r="AO130" s="78" t="str">
        <f>HYPERLINK(".\links\AAM-CEMENT-2018\EEC06365.1-AAM-CEMENT-2018.txt","Extracted CDS")</f>
        <v>Extracted CDS</v>
      </c>
      <c r="AP130" s="75" t="str">
        <f>HYPERLINK("http://www.ncbi.nlm.nih.gov/sutils/blink.cgi?pid=Aam-178397","1E-05")</f>
        <v>1E-05</v>
      </c>
      <c r="AQ130" s="75" t="str">
        <f>HYPERLINK("http://www.ncbi.nlm.nih.gov/protein/Aam-178397","Aam-178397")</f>
        <v>Aam-178397</v>
      </c>
      <c r="AR130" s="75">
        <v>33.9</v>
      </c>
      <c r="AS130" s="75">
        <v>41</v>
      </c>
      <c r="AT130" s="75">
        <v>211</v>
      </c>
      <c r="AU130" s="75">
        <v>43</v>
      </c>
      <c r="AV130" s="75">
        <v>60</v>
      </c>
      <c r="AW130" s="75">
        <v>19</v>
      </c>
      <c r="AX130" s="75">
        <v>23</v>
      </c>
      <c r="AY130" s="75">
        <v>3</v>
      </c>
      <c r="AZ130" s="75">
        <v>3</v>
      </c>
      <c r="BA130" s="75">
        <v>10</v>
      </c>
      <c r="BB130" s="75">
        <v>1</v>
      </c>
      <c r="BC130" s="75" t="s">
        <v>2775</v>
      </c>
      <c r="BD130" s="78" t="str">
        <f>HYPERLINK(".\links\CDD\EEC06365.1-CDD.txt","7tmA_P2Y1-like P2Y purinoceptor 1-like")</f>
        <v>7tmA_P2Y1-like P2Y purinoceptor 1-like</v>
      </c>
      <c r="BE130" s="75">
        <v>4.3999999999999997E-2</v>
      </c>
      <c r="BF130" s="75">
        <v>17.8</v>
      </c>
      <c r="BG130" s="75" t="s">
        <v>3637</v>
      </c>
      <c r="BH130" s="75" t="s">
        <v>3638</v>
      </c>
      <c r="BI130" s="75" t="str">
        <f>HYPERLINK(".\links\KOG\EEC06365.1-KOG.txt","CDD:224466 COG1549, COG1549, Queuine tRNA-ribosyltransferases, contain PUA domain")</f>
        <v>CDD:224466 COG1549, COG1549, Queuine tRNA-ribosyltransferases, contain PUA domain</v>
      </c>
      <c r="BJ130" s="75">
        <v>9.2999999999999999E-2</v>
      </c>
      <c r="BK130" s="75">
        <v>8.3000000000000007</v>
      </c>
      <c r="BL130" s="75" t="s">
        <v>3639</v>
      </c>
      <c r="BM130" s="75" t="s">
        <v>2779</v>
      </c>
      <c r="BN130" s="78" t="str">
        <f>HYPERLINK(".\links\PFAM\EEC06365.1-PFAM.txt","NiFeSe_Hases Nickel-dependent hydrogenase")</f>
        <v>NiFeSe_Hases Nickel-dependent hydrogenase</v>
      </c>
      <c r="BO130" s="75">
        <v>2.8</v>
      </c>
      <c r="BP130" s="75">
        <v>5.5</v>
      </c>
      <c r="BQ130" s="75" t="s">
        <v>3640</v>
      </c>
      <c r="BR130" s="75" t="s">
        <v>2772</v>
      </c>
      <c r="BS130" s="78" t="str">
        <f>HYPERLINK(".\links\SMART\EEC06365.1-SMART.txt","CDD:128547 smart00251, SAM_PNT, SAM / Pointed domain")</f>
        <v>CDD:128547 smart00251, SAM_PNT, SAM / Pointed domain</v>
      </c>
      <c r="BT130" s="75">
        <v>0.61</v>
      </c>
      <c r="BU130" s="75">
        <v>31.7</v>
      </c>
      <c r="BV130" s="75" t="s">
        <v>3250</v>
      </c>
      <c r="BW130" s="75" t="s">
        <v>2772</v>
      </c>
      <c r="BX130" s="78" t="str">
        <f>HYPERLINK(".\links\TSF\EEC06365.1-TSF.txt","55-324 55-324, Cytotoxin||S|")</f>
        <v>55-324 55-324, Cytotoxin||S|</v>
      </c>
      <c r="BY130" s="79">
        <v>6.0000000000000001E-28</v>
      </c>
      <c r="BZ130" s="75">
        <v>26.6</v>
      </c>
      <c r="CA130" s="75" t="s">
        <v>3641</v>
      </c>
      <c r="CB130" s="75" t="s">
        <v>2962</v>
      </c>
      <c r="CC130" s="75" t="s">
        <v>2772</v>
      </c>
      <c r="CD130" s="75" t="s">
        <v>2785</v>
      </c>
      <c r="CE130" s="75" t="s">
        <v>3642</v>
      </c>
      <c r="CF130" s="75">
        <v>32</v>
      </c>
      <c r="CG130" s="75">
        <v>1</v>
      </c>
      <c r="CH130" s="75">
        <v>37</v>
      </c>
      <c r="CI130" s="75">
        <v>1</v>
      </c>
      <c r="CJ130" s="75">
        <v>38</v>
      </c>
      <c r="CK130" s="75">
        <v>1</v>
      </c>
      <c r="CL130" s="75">
        <v>42</v>
      </c>
      <c r="CM130" s="75">
        <v>1</v>
      </c>
      <c r="CN130" s="75">
        <v>43</v>
      </c>
      <c r="CO130" s="75">
        <v>1</v>
      </c>
      <c r="CP130" s="75">
        <v>44</v>
      </c>
      <c r="CQ130" s="75">
        <v>1</v>
      </c>
      <c r="CR130" s="75">
        <v>45</v>
      </c>
      <c r="CS130" s="75">
        <v>1</v>
      </c>
      <c r="CT130" s="75">
        <v>49</v>
      </c>
      <c r="CU130" s="75">
        <v>1</v>
      </c>
      <c r="CV130" s="75">
        <v>51</v>
      </c>
      <c r="CW130" s="75">
        <v>1</v>
      </c>
      <c r="CX130" s="75">
        <v>54</v>
      </c>
      <c r="CY130" s="75">
        <v>1</v>
      </c>
      <c r="CZ130" s="75">
        <v>56</v>
      </c>
      <c r="DA130" s="75">
        <v>1</v>
      </c>
      <c r="DB130" s="75">
        <v>57</v>
      </c>
      <c r="DC130" s="75">
        <v>1</v>
      </c>
      <c r="DD130" s="75">
        <v>58</v>
      </c>
      <c r="DE130" s="75">
        <v>1</v>
      </c>
      <c r="DF130" s="75">
        <v>59</v>
      </c>
      <c r="DG130" s="75">
        <v>1</v>
      </c>
      <c r="DH130" s="75">
        <v>60</v>
      </c>
      <c r="DI130" s="75">
        <v>1</v>
      </c>
      <c r="DJ130" s="75" t="s">
        <v>238</v>
      </c>
      <c r="DK130" s="75" t="str">
        <f>HYPERLINK(".\links\AAM-CEMENT-2018\EEC06365.1-AAM-CEMENT-2018.txt","Extracted CDS")</f>
        <v>Extracted CDS</v>
      </c>
      <c r="DL130" s="75" t="str">
        <f>HYPERLINK("http://www.ncbi.nlm.nih.gov/sutils/blink.cgi?pid=Aam-178397","1E-05")</f>
        <v>1E-05</v>
      </c>
      <c r="DM130" s="75" t="str">
        <f>HYPERLINK("http://www.ncbi.nlm.nih.gov/protein/Aam-178397","Aam-178397")</f>
        <v>Aam-178397</v>
      </c>
      <c r="DN130" s="75">
        <v>33.9</v>
      </c>
      <c r="DO130" s="75">
        <v>41</v>
      </c>
      <c r="DP130" s="75">
        <v>211</v>
      </c>
      <c r="DQ130" s="75">
        <v>43</v>
      </c>
      <c r="DR130" s="75">
        <v>60</v>
      </c>
      <c r="DS130" s="75">
        <v>19</v>
      </c>
      <c r="DT130" s="75">
        <v>23</v>
      </c>
      <c r="DU130" s="75">
        <v>3</v>
      </c>
      <c r="DV130" s="75">
        <v>3</v>
      </c>
      <c r="DW130" s="75">
        <v>10</v>
      </c>
      <c r="DX130" s="75">
        <v>1</v>
      </c>
      <c r="DY130" s="75" t="s">
        <v>2775</v>
      </c>
      <c r="DZ130" s="75" t="str">
        <f>HYPERLINK(".\links\CDD\EEC06365.1-CDD.txt","7tmA_P2Y1-like P2Y purinoceptor 1-like")</f>
        <v>7tmA_P2Y1-like P2Y purinoceptor 1-like</v>
      </c>
      <c r="EA130" s="75">
        <v>4.3999999999999997E-2</v>
      </c>
      <c r="EB130" s="75">
        <v>17.8</v>
      </c>
      <c r="EC130" s="75" t="s">
        <v>3637</v>
      </c>
      <c r="ED130" s="75" t="s">
        <v>3638</v>
      </c>
      <c r="EE130" s="75" t="str">
        <f>HYPERLINK(".\links\KOG\EEC06365.1-KOG.txt","CDD:224466 COG1549, COG1549, Queuine tRNA-ribosyltransferases, contain PUA domain")</f>
        <v>CDD:224466 COG1549, COG1549, Queuine tRNA-ribosyltransferases, contain PUA domain</v>
      </c>
      <c r="EF130" s="75">
        <v>9.2999999999999999E-2</v>
      </c>
      <c r="EG130" s="75">
        <v>8.3000000000000007</v>
      </c>
      <c r="EH130" s="75" t="s">
        <v>3639</v>
      </c>
      <c r="EI130" s="75" t="s">
        <v>2779</v>
      </c>
      <c r="EJ130" s="75" t="str">
        <f>HYPERLINK(".\links\PFAM\EEC06365.1-PFAM.txt","NiFeSe_Hases Nickel-dependent hydrogenase")</f>
        <v>NiFeSe_Hases Nickel-dependent hydrogenase</v>
      </c>
      <c r="EK130" s="75">
        <v>2.8</v>
      </c>
      <c r="EL130" s="75">
        <v>5.5</v>
      </c>
      <c r="EM130" s="75" t="s">
        <v>3640</v>
      </c>
      <c r="EN130" s="75" t="s">
        <v>2772</v>
      </c>
      <c r="EO130" s="75" t="str">
        <f>HYPERLINK(".\links\SMART\EEC06365.1-SMART.txt","CDD:128547 smart00251, SAM_PNT, SAM / Pointed domain")</f>
        <v>CDD:128547 smart00251, SAM_PNT, SAM / Pointed domain</v>
      </c>
      <c r="EP130" s="75">
        <v>0.61</v>
      </c>
      <c r="EQ130" s="75">
        <v>31.7</v>
      </c>
      <c r="ER130" s="75" t="s">
        <v>3250</v>
      </c>
      <c r="ES130" s="75" t="s">
        <v>2772</v>
      </c>
      <c r="ET130" s="75" t="str">
        <f>HYPERLINK(".\links\TSF\EEC06365.1-TSF.txt","55-324 55-324, Cytotoxin||S|")</f>
        <v>55-324 55-324, Cytotoxin||S|</v>
      </c>
      <c r="EU130" s="79">
        <v>6.0000000000000001E-28</v>
      </c>
      <c r="EV130" s="75">
        <v>26.6</v>
      </c>
      <c r="EW130" s="75" t="s">
        <v>3641</v>
      </c>
      <c r="EX130" s="75" t="s">
        <v>2962</v>
      </c>
      <c r="EY130" s="75" t="s">
        <v>2772</v>
      </c>
      <c r="EZ130" s="75" t="s">
        <v>2785</v>
      </c>
      <c r="FA130" s="75" t="s">
        <v>3642</v>
      </c>
    </row>
    <row r="131" spans="1:157" x14ac:dyDescent="0.2">
      <c r="A131" s="75" t="str">
        <f>HYPERLINK(".\links\PEP\AAY66553.1-PEP.txt","AAY66553.1")</f>
        <v>AAY66553.1</v>
      </c>
      <c r="B131" s="75" t="s">
        <v>2768</v>
      </c>
      <c r="C131" s="75">
        <v>192</v>
      </c>
      <c r="D131" s="75" t="s">
        <v>3568</v>
      </c>
      <c r="E131" s="76" t="s">
        <v>54</v>
      </c>
      <c r="F131" s="75" t="s">
        <v>2771</v>
      </c>
      <c r="G131" s="75" t="str">
        <f>HYPERLINK(".\links\Sigp\AAY66553.1-SigP.txt","SIG")</f>
        <v>SIG</v>
      </c>
      <c r="H131" s="75" t="s">
        <v>3643</v>
      </c>
      <c r="I131" s="75">
        <v>21.254999999999999</v>
      </c>
      <c r="J131" s="75">
        <v>4.6500000000000004</v>
      </c>
      <c r="K131" s="75">
        <v>18.073</v>
      </c>
      <c r="L131" s="75">
        <v>4.5999999999999996</v>
      </c>
      <c r="M131" s="75" t="str">
        <f>HYPERLINK(".\links\netoglyc\AAY66553.1-netoglyc.txt","1")</f>
        <v>1</v>
      </c>
      <c r="N131" s="75" t="s">
        <v>3644</v>
      </c>
      <c r="O131" s="75">
        <v>192</v>
      </c>
      <c r="P131" s="75">
        <v>0</v>
      </c>
      <c r="Q131" s="75" t="s">
        <v>2772</v>
      </c>
      <c r="R131" s="75" t="s">
        <v>2772</v>
      </c>
      <c r="S131" s="75" t="s">
        <v>2772</v>
      </c>
      <c r="T131" s="75" t="s">
        <v>2772</v>
      </c>
      <c r="U131" s="75" t="s">
        <v>2772</v>
      </c>
      <c r="V131" s="75" t="s">
        <v>3645</v>
      </c>
      <c r="W131" s="75">
        <v>9.1999999999999993</v>
      </c>
      <c r="X131" s="75">
        <v>8.1999999999999993</v>
      </c>
      <c r="Y131" s="75">
        <v>6.1</v>
      </c>
      <c r="Z131" s="75" t="s">
        <v>2774</v>
      </c>
      <c r="AA131" s="77">
        <v>14.5833333333333</v>
      </c>
      <c r="AB131" s="75">
        <v>0.38</v>
      </c>
      <c r="AD131" s="75">
        <v>7</v>
      </c>
      <c r="AE131" s="75" t="s">
        <v>2772</v>
      </c>
      <c r="AF131" s="75" t="s">
        <v>2772</v>
      </c>
      <c r="AG131" s="75" t="s">
        <v>2772</v>
      </c>
      <c r="AH131" s="75" t="s">
        <v>2772</v>
      </c>
      <c r="AI131" s="75" t="s">
        <v>2772</v>
      </c>
      <c r="AJ131" s="75">
        <v>1</v>
      </c>
      <c r="AK131" s="75" t="s">
        <v>2772</v>
      </c>
      <c r="AL131" s="75" t="s">
        <v>2772</v>
      </c>
      <c r="AM131" s="75" t="s">
        <v>2772</v>
      </c>
      <c r="AN131" s="75" t="s">
        <v>2772</v>
      </c>
      <c r="AO131" s="78" t="str">
        <f>HYPERLINK(".\links\AAM-CEMENT-2018\AAY66553.1-AAM-CEMENT-2018.txt","Extracted CDS")</f>
        <v>Extracted CDS</v>
      </c>
      <c r="AP131" s="75" t="str">
        <f>HYPERLINK("http://www.ncbi.nlm.nih.gov/sutils/blink.cgi?pid=Aam-149845","0.34")</f>
        <v>0.34</v>
      </c>
      <c r="AQ131" s="75" t="str">
        <f>HYPERLINK("http://www.ncbi.nlm.nih.gov/protein/Aam-149845","Aam-149845")</f>
        <v>Aam-149845</v>
      </c>
      <c r="AR131" s="75">
        <v>23.9</v>
      </c>
      <c r="AS131" s="75">
        <v>21</v>
      </c>
      <c r="AT131" s="75">
        <v>177</v>
      </c>
      <c r="AU131" s="75">
        <v>42</v>
      </c>
      <c r="AV131" s="75">
        <v>61</v>
      </c>
      <c r="AW131" s="75">
        <v>12</v>
      </c>
      <c r="AX131" s="75">
        <v>12</v>
      </c>
      <c r="AY131" s="75">
        <v>0</v>
      </c>
      <c r="AZ131" s="75">
        <v>76</v>
      </c>
      <c r="BA131" s="75">
        <v>95</v>
      </c>
      <c r="BB131" s="75">
        <v>1</v>
      </c>
      <c r="BC131" s="75" t="s">
        <v>2775</v>
      </c>
      <c r="BD131" s="78" t="str">
        <f>HYPERLINK(".\links\CDD\AAY66553.1-CDD.txt","IsdC heme uptake protein IsdC")</f>
        <v>IsdC heme uptake protein IsdC</v>
      </c>
      <c r="BE131" s="75">
        <v>0.17</v>
      </c>
      <c r="BF131" s="75">
        <v>30</v>
      </c>
      <c r="BG131" s="75" t="s">
        <v>3646</v>
      </c>
      <c r="BH131" s="75" t="s">
        <v>3647</v>
      </c>
      <c r="BI131" s="75" t="str">
        <f>HYPERLINK(".\links\KOG\AAY66553.1-KOG.txt","CDD:225018 COG2107, COG2107, Predicted periplasmic solute-binding protein")</f>
        <v>CDD:225018 COG2107, COG2107, Predicted periplasmic solute-binding protein</v>
      </c>
      <c r="BJ131" s="75">
        <v>5.8000000000000003E-2</v>
      </c>
      <c r="BK131" s="75">
        <v>19.100000000000001</v>
      </c>
      <c r="BL131" s="75" t="s">
        <v>3648</v>
      </c>
      <c r="BM131" s="75" t="s">
        <v>2779</v>
      </c>
      <c r="BN131" s="78" t="str">
        <f>HYPERLINK(".\links\PFAM\AAY66553.1-PFAM.txt","TSGP1 Tick salivary peptide group 1")</f>
        <v>TSGP1 Tick salivary peptide group 1</v>
      </c>
      <c r="BO131" s="75">
        <v>0.15</v>
      </c>
      <c r="BP131" s="75">
        <v>78.3</v>
      </c>
      <c r="BQ131" s="75" t="s">
        <v>3618</v>
      </c>
      <c r="BR131" s="75" t="s">
        <v>2772</v>
      </c>
      <c r="BS131" s="78" t="str">
        <f>HYPERLINK(".\links\SMART\AAY66553.1-SMART.txt","CDD:214523 smart00119, HECTc, Domain Homologous to E6-AP Carboxyl Terminus with")</f>
        <v>CDD:214523 smart00119, HECTc, Domain Homologous to E6-AP Carboxyl Terminus with</v>
      </c>
      <c r="BT131" s="75">
        <v>7.9000000000000001E-2</v>
      </c>
      <c r="BU131" s="75">
        <v>18.600000000000001</v>
      </c>
      <c r="BV131" s="75" t="s">
        <v>3649</v>
      </c>
      <c r="BW131" s="75" t="s">
        <v>2772</v>
      </c>
      <c r="BX131" s="78" t="str">
        <f>HYPERLINK(".\links\TSF\AAY66553.1-TSF.txt","45-106 45-106, BTSP||S|")</f>
        <v>45-106 45-106, BTSP||S|</v>
      </c>
      <c r="BY131" s="79">
        <v>2.9999999999999998E-31</v>
      </c>
      <c r="BZ131" s="75">
        <v>104.9</v>
      </c>
      <c r="CA131" s="75" t="s">
        <v>3599</v>
      </c>
      <c r="CB131" s="75" t="s">
        <v>3057</v>
      </c>
      <c r="CC131" s="75" t="s">
        <v>2772</v>
      </c>
      <c r="CD131" s="75" t="s">
        <v>2785</v>
      </c>
      <c r="CE131" s="75" t="s">
        <v>3600</v>
      </c>
      <c r="CF131" s="75">
        <f>HYPERLINK(".\links\cluster-b\Ixsc-cement-202225-50SimCLU7.txt", 7)</f>
        <v>7</v>
      </c>
      <c r="CG131" s="75">
        <f>HYPERLINK(".\links\cluster-b\Ixsc-cement-202225-50SimCLTL7.txt", 4)</f>
        <v>4</v>
      </c>
      <c r="CH131" s="75">
        <f>HYPERLINK(".\links\cluster-b\Ixsc-cement-202230-50SimCLU6.txt", 6)</f>
        <v>6</v>
      </c>
      <c r="CI131" s="75">
        <f>HYPERLINK(".\links\cluster-b\Ixsc-cement-202230-50SimCLTL6.txt", 4)</f>
        <v>4</v>
      </c>
      <c r="CJ131" s="75">
        <f>HYPERLINK(".\links\cluster-b\Ixsc-cement-202235-50SimCLU6.txt", 6)</f>
        <v>6</v>
      </c>
      <c r="CK131" s="75">
        <f>HYPERLINK(".\links\cluster-b\Ixsc-cement-202235-50SimCLTL6.txt", 4)</f>
        <v>4</v>
      </c>
      <c r="CL131" s="75">
        <f>HYPERLINK(".\links\cluster-b\Ixsc-cement-202240-50SimCLU6.txt", 6)</f>
        <v>6</v>
      </c>
      <c r="CM131" s="75">
        <f>HYPERLINK(".\links\cluster-b\Ixsc-cement-202240-50SimCLTL6.txt", 4)</f>
        <v>4</v>
      </c>
      <c r="CN131" s="75">
        <f>HYPERLINK(".\links\cluster-b\Ixsc-cement-202245-50SimCLU6.txt", 6)</f>
        <v>6</v>
      </c>
      <c r="CO131" s="75">
        <f>HYPERLINK(".\links\cluster-b\Ixsc-cement-202245-50SimCLTL6.txt", 4)</f>
        <v>4</v>
      </c>
      <c r="CP131" s="75">
        <f>HYPERLINK(".\links\cluster-b\Ixsc-cement-202250-50SimCLU6.txt", 6)</f>
        <v>6</v>
      </c>
      <c r="CQ131" s="75">
        <f>HYPERLINK(".\links\cluster-b\Ixsc-cement-202250-50SimCLTL6.txt", 4)</f>
        <v>4</v>
      </c>
      <c r="CR131" s="75">
        <f>HYPERLINK(".\links\cluster-b\Ixsc-cement-202255-50SimCLU11.txt", 11)</f>
        <v>11</v>
      </c>
      <c r="CS131" s="75">
        <f>HYPERLINK(".\links\cluster-b\Ixsc-cement-202255-50SimCLTL11.txt", 2)</f>
        <v>2</v>
      </c>
      <c r="CT131" s="75">
        <v>23</v>
      </c>
      <c r="CU131" s="75">
        <v>1</v>
      </c>
      <c r="CV131" s="75">
        <v>22</v>
      </c>
      <c r="CW131" s="75">
        <v>1</v>
      </c>
      <c r="CX131" s="75">
        <v>21</v>
      </c>
      <c r="CY131" s="75">
        <v>1</v>
      </c>
      <c r="CZ131" s="75">
        <v>20</v>
      </c>
      <c r="DA131" s="75">
        <v>1</v>
      </c>
      <c r="DB131" s="75">
        <v>18</v>
      </c>
      <c r="DC131" s="75">
        <v>1</v>
      </c>
      <c r="DD131" s="75">
        <v>16</v>
      </c>
      <c r="DE131" s="75">
        <v>1</v>
      </c>
      <c r="DF131" s="75">
        <v>15</v>
      </c>
      <c r="DG131" s="75">
        <v>1</v>
      </c>
      <c r="DH131" s="75">
        <v>14</v>
      </c>
      <c r="DI131" s="75">
        <v>1</v>
      </c>
      <c r="DJ131" s="75" t="s">
        <v>98</v>
      </c>
      <c r="DK131" s="75" t="str">
        <f>HYPERLINK(".\links\AAM-CEMENT-2018\AAY66553.1-AAM-CEMENT-2018.txt","Extracted CDS")</f>
        <v>Extracted CDS</v>
      </c>
      <c r="DL131" s="75" t="str">
        <f>HYPERLINK("http://www.ncbi.nlm.nih.gov/sutils/blink.cgi?pid=Aam-149845","0.34")</f>
        <v>0.34</v>
      </c>
      <c r="DM131" s="75" t="str">
        <f>HYPERLINK("http://www.ncbi.nlm.nih.gov/protein/Aam-149845","Aam-149845")</f>
        <v>Aam-149845</v>
      </c>
      <c r="DN131" s="75">
        <v>23.9</v>
      </c>
      <c r="DO131" s="75">
        <v>21</v>
      </c>
      <c r="DP131" s="75">
        <v>177</v>
      </c>
      <c r="DQ131" s="75">
        <v>42</v>
      </c>
      <c r="DR131" s="75">
        <v>61</v>
      </c>
      <c r="DS131" s="75">
        <v>12</v>
      </c>
      <c r="DT131" s="75">
        <v>12</v>
      </c>
      <c r="DU131" s="75">
        <v>0</v>
      </c>
      <c r="DV131" s="75">
        <v>76</v>
      </c>
      <c r="DW131" s="75">
        <v>95</v>
      </c>
      <c r="DX131" s="75">
        <v>1</v>
      </c>
      <c r="DY131" s="75" t="s">
        <v>2775</v>
      </c>
      <c r="DZ131" s="75" t="str">
        <f>HYPERLINK(".\links\CDD\AAY66553.1-CDD.txt","IsdC heme uptake protein IsdC")</f>
        <v>IsdC heme uptake protein IsdC</v>
      </c>
      <c r="EA131" s="75">
        <v>0.17</v>
      </c>
      <c r="EB131" s="75">
        <v>30</v>
      </c>
      <c r="EC131" s="75" t="s">
        <v>3646</v>
      </c>
      <c r="ED131" s="75" t="s">
        <v>3647</v>
      </c>
      <c r="EE131" s="75" t="str">
        <f>HYPERLINK(".\links\KOG\AAY66553.1-KOG.txt","CDD:225018 COG2107, COG2107, Predicted periplasmic solute-binding protein")</f>
        <v>CDD:225018 COG2107, COG2107, Predicted periplasmic solute-binding protein</v>
      </c>
      <c r="EF131" s="75">
        <v>5.8000000000000003E-2</v>
      </c>
      <c r="EG131" s="75">
        <v>19.100000000000001</v>
      </c>
      <c r="EH131" s="75" t="s">
        <v>3648</v>
      </c>
      <c r="EI131" s="75" t="s">
        <v>2779</v>
      </c>
      <c r="EJ131" s="75" t="str">
        <f>HYPERLINK(".\links\PFAM\AAY66553.1-PFAM.txt","TSGP1 Tick salivary peptide group 1")</f>
        <v>TSGP1 Tick salivary peptide group 1</v>
      </c>
      <c r="EK131" s="75">
        <v>0.15</v>
      </c>
      <c r="EL131" s="75">
        <v>78.3</v>
      </c>
      <c r="EM131" s="75" t="s">
        <v>3618</v>
      </c>
      <c r="EN131" s="75" t="s">
        <v>2772</v>
      </c>
      <c r="EO131" s="75" t="str">
        <f>HYPERLINK(".\links\SMART\AAY66553.1-SMART.txt","CDD:214523 smart00119, HECTc, Domain Homologous to E6-AP Carboxyl Terminus with")</f>
        <v>CDD:214523 smart00119, HECTc, Domain Homologous to E6-AP Carboxyl Terminus with</v>
      </c>
      <c r="EP131" s="75">
        <v>7.9000000000000001E-2</v>
      </c>
      <c r="EQ131" s="75">
        <v>18.600000000000001</v>
      </c>
      <c r="ER131" s="75" t="s">
        <v>3649</v>
      </c>
      <c r="ES131" s="75" t="s">
        <v>2772</v>
      </c>
      <c r="ET131" s="75" t="str">
        <f>HYPERLINK(".\links\TSF\AAY66553.1-TSF.txt","45-106 45-106, BTSP||S|")</f>
        <v>45-106 45-106, BTSP||S|</v>
      </c>
      <c r="EU131" s="79">
        <v>2.9999999999999998E-31</v>
      </c>
      <c r="EV131" s="75">
        <v>104.9</v>
      </c>
      <c r="EW131" s="75" t="s">
        <v>3599</v>
      </c>
      <c r="EX131" s="75" t="s">
        <v>3057</v>
      </c>
      <c r="EY131" s="75" t="s">
        <v>2772</v>
      </c>
      <c r="EZ131" s="75" t="s">
        <v>2785</v>
      </c>
      <c r="FA131" s="75" t="s">
        <v>3600</v>
      </c>
    </row>
    <row r="132" spans="1:157" x14ac:dyDescent="0.2">
      <c r="A132" s="75" t="str">
        <f>HYPERLINK(".\links\PEP\EEC16392.1-PEP.txt","EEC16392.1")</f>
        <v>EEC16392.1</v>
      </c>
      <c r="B132" s="75" t="s">
        <v>2768</v>
      </c>
      <c r="C132" s="75">
        <v>639</v>
      </c>
      <c r="D132" s="75" t="s">
        <v>2936</v>
      </c>
      <c r="E132" s="76" t="s">
        <v>54</v>
      </c>
      <c r="F132" s="75" t="s">
        <v>2771</v>
      </c>
      <c r="G132" s="75" t="str">
        <f>HYPERLINK(".\links\Sigp\EEC16392.1-SigP.txt","CYT")</f>
        <v>CYT</v>
      </c>
      <c r="H132" s="75" t="s">
        <v>2772</v>
      </c>
      <c r="I132" s="75">
        <v>69.423000000000002</v>
      </c>
      <c r="J132" s="75">
        <v>8.73</v>
      </c>
      <c r="K132" s="75" t="s">
        <v>2772</v>
      </c>
      <c r="L132" s="75" t="s">
        <v>2772</v>
      </c>
      <c r="M132" s="75" t="str">
        <f>HYPERLINK(".\links\netoglyc\EEC16392.1-netoglyc.txt","0")</f>
        <v>0</v>
      </c>
      <c r="N132" s="75" t="s">
        <v>3119</v>
      </c>
      <c r="O132" s="75">
        <v>639</v>
      </c>
      <c r="P132" s="75">
        <v>0</v>
      </c>
      <c r="Q132" s="75" t="s">
        <v>2772</v>
      </c>
      <c r="R132" s="75" t="s">
        <v>2772</v>
      </c>
      <c r="S132" s="75" t="s">
        <v>2772</v>
      </c>
      <c r="T132" s="75" t="s">
        <v>2772</v>
      </c>
      <c r="U132" s="75" t="s">
        <v>2772</v>
      </c>
      <c r="V132" s="75" t="s">
        <v>3650</v>
      </c>
      <c r="W132" s="75">
        <v>11.1</v>
      </c>
      <c r="X132" s="75">
        <v>7.7</v>
      </c>
      <c r="Y132" s="75">
        <v>6.6</v>
      </c>
      <c r="Z132" s="75" t="s">
        <v>2774</v>
      </c>
      <c r="AA132" s="77">
        <v>14.553990610328601</v>
      </c>
      <c r="AB132" s="75">
        <v>0.43</v>
      </c>
      <c r="AD132" s="75">
        <v>26</v>
      </c>
      <c r="AE132" s="75" t="s">
        <v>2772</v>
      </c>
      <c r="AF132" s="75" t="s">
        <v>2772</v>
      </c>
      <c r="AG132" s="75" t="s">
        <v>2772</v>
      </c>
      <c r="AH132" s="75" t="s">
        <v>2772</v>
      </c>
      <c r="AI132" s="75">
        <v>2</v>
      </c>
      <c r="AJ132" s="75">
        <v>2</v>
      </c>
      <c r="AK132" s="75" t="s">
        <v>2772</v>
      </c>
      <c r="AL132" s="75" t="s">
        <v>2772</v>
      </c>
      <c r="AM132" s="75" t="s">
        <v>2772</v>
      </c>
      <c r="AN132" s="75" t="s">
        <v>2772</v>
      </c>
      <c r="AO132" s="78" t="str">
        <f>HYPERLINK(".\links\AAM-CEMENT-2018\EEC16392.1-AAM-CEMENT-2018.txt","Extracted CDS")</f>
        <v>Extracted CDS</v>
      </c>
      <c r="AP132" s="75" t="str">
        <f>HYPERLINK("http://www.ncbi.nlm.nih.gov/sutils/blink.cgi?pid=Aam-532","10")</f>
        <v>10</v>
      </c>
      <c r="AQ132" s="75" t="str">
        <f>HYPERLINK("http://www.ncbi.nlm.nih.gov/protein/Aam-532","Aam-532")</f>
        <v>Aam-532</v>
      </c>
      <c r="AR132" s="75">
        <v>21.6</v>
      </c>
      <c r="AS132" s="75">
        <v>26</v>
      </c>
      <c r="AT132" s="75">
        <v>555</v>
      </c>
      <c r="AU132" s="75">
        <v>42</v>
      </c>
      <c r="AV132" s="75">
        <v>53</v>
      </c>
      <c r="AW132" s="75">
        <v>5</v>
      </c>
      <c r="AX132" s="75">
        <v>15</v>
      </c>
      <c r="AY132" s="75">
        <v>0</v>
      </c>
      <c r="AZ132" s="75">
        <v>360</v>
      </c>
      <c r="BA132" s="75">
        <v>388</v>
      </c>
      <c r="BB132" s="75">
        <v>1</v>
      </c>
      <c r="BC132" s="75" t="s">
        <v>2775</v>
      </c>
      <c r="BD132" s="78" t="str">
        <f>HYPERLINK(".\links\CDD\EEC16392.1-CDD.txt","F-box-like F-box-like")</f>
        <v>F-box-like F-box-like</v>
      </c>
      <c r="BE132" s="79">
        <v>2.0000000000000002E-5</v>
      </c>
      <c r="BF132" s="75">
        <v>82.2</v>
      </c>
      <c r="BG132" s="75" t="s">
        <v>3651</v>
      </c>
      <c r="BH132" s="75" t="s">
        <v>3652</v>
      </c>
      <c r="BI132" s="75" t="str">
        <f>HYPERLINK(".\links\KOG\EEC16392.1-KOG.txt","CDD:226693 COG4242, CphB, Cyanophycinase and related exopeptidases")</f>
        <v>CDD:226693 COG4242, CphB, Cyanophycinase and related exopeptidases</v>
      </c>
      <c r="BJ132" s="75">
        <v>6.7</v>
      </c>
      <c r="BK132" s="75">
        <v>13.7</v>
      </c>
      <c r="BL132" s="75" t="s">
        <v>3653</v>
      </c>
      <c r="BM132" s="75" t="s">
        <v>2779</v>
      </c>
      <c r="BN132" s="78" t="str">
        <f>HYPERLINK(".\links\PFAM\EEC16392.1-PFAM.txt","F-box-like F-box-like")</f>
        <v>F-box-like F-box-like</v>
      </c>
      <c r="BO132" s="79">
        <v>5.0000000000000004E-6</v>
      </c>
      <c r="BP132" s="75">
        <v>82.2</v>
      </c>
      <c r="BQ132" s="75" t="s">
        <v>3651</v>
      </c>
      <c r="BR132" s="75" t="s">
        <v>2772</v>
      </c>
      <c r="BS132" s="78" t="str">
        <f>HYPERLINK(".\links\SMART\EEC16392.1-SMART.txt","CDD:197608 smart00256, FBOX, A Receptor for Ubiquitination Targets")</f>
        <v>CDD:197608 smart00256, FBOX, A Receptor for Ubiquitination Targets</v>
      </c>
      <c r="BT132" s="79">
        <v>2.0000000000000001E-4</v>
      </c>
      <c r="BU132" s="75">
        <v>95.1</v>
      </c>
      <c r="BV132" s="75" t="s">
        <v>3654</v>
      </c>
      <c r="BW132" s="75" t="s">
        <v>2772</v>
      </c>
      <c r="BX132" s="78" t="str">
        <f>HYPERLINK(".\links\TSF\EEC16392.1-TSF.txt","30-417 30-417, BTSP||S|")</f>
        <v>30-417 30-417, BTSP||S|</v>
      </c>
      <c r="BY132" s="79">
        <v>5.0000000000000001E-4</v>
      </c>
      <c r="BZ132" s="75">
        <v>9.1999999999999993</v>
      </c>
      <c r="CA132" s="75" t="s">
        <v>3056</v>
      </c>
      <c r="CB132" s="75" t="s">
        <v>3057</v>
      </c>
      <c r="CC132" s="75" t="s">
        <v>2772</v>
      </c>
      <c r="CD132" s="75" t="s">
        <v>2785</v>
      </c>
      <c r="CE132" s="75" t="s">
        <v>3058</v>
      </c>
      <c r="CF132" s="75">
        <v>61</v>
      </c>
      <c r="CG132" s="75">
        <v>1</v>
      </c>
      <c r="CH132" s="75">
        <v>72</v>
      </c>
      <c r="CI132" s="75">
        <v>1</v>
      </c>
      <c r="CJ132" s="75">
        <v>73</v>
      </c>
      <c r="CK132" s="75">
        <v>1</v>
      </c>
      <c r="CL132" s="75">
        <v>77</v>
      </c>
      <c r="CM132" s="75">
        <v>1</v>
      </c>
      <c r="CN132" s="75">
        <v>81</v>
      </c>
      <c r="CO132" s="75">
        <v>1</v>
      </c>
      <c r="CP132" s="75">
        <v>83</v>
      </c>
      <c r="CQ132" s="75">
        <v>1</v>
      </c>
      <c r="CR132" s="75">
        <v>84</v>
      </c>
      <c r="CS132" s="75">
        <v>1</v>
      </c>
      <c r="CT132" s="75">
        <v>88</v>
      </c>
      <c r="CU132" s="75">
        <v>1</v>
      </c>
      <c r="CV132" s="75">
        <v>91</v>
      </c>
      <c r="CW132" s="75">
        <v>1</v>
      </c>
      <c r="CX132" s="75">
        <v>95</v>
      </c>
      <c r="CY132" s="75">
        <v>1</v>
      </c>
      <c r="CZ132" s="75">
        <v>97</v>
      </c>
      <c r="DA132" s="75">
        <v>1</v>
      </c>
      <c r="DB132" s="75">
        <v>103</v>
      </c>
      <c r="DC132" s="75">
        <v>1</v>
      </c>
      <c r="DD132" s="75">
        <v>107</v>
      </c>
      <c r="DE132" s="75">
        <v>1</v>
      </c>
      <c r="DF132" s="75">
        <v>109</v>
      </c>
      <c r="DG132" s="75">
        <v>1</v>
      </c>
      <c r="DH132" s="75">
        <v>110</v>
      </c>
      <c r="DI132" s="75">
        <v>1</v>
      </c>
      <c r="DJ132" s="75" t="s">
        <v>18</v>
      </c>
      <c r="DK132" s="75" t="str">
        <f>HYPERLINK(".\links\AAM-CEMENT-2018\EEC16392.1-AAM-CEMENT-2018.txt","Extracted CDS")</f>
        <v>Extracted CDS</v>
      </c>
      <c r="DL132" s="75" t="str">
        <f>HYPERLINK("http://www.ncbi.nlm.nih.gov/sutils/blink.cgi?pid=Aam-532","10")</f>
        <v>10</v>
      </c>
      <c r="DM132" s="75" t="str">
        <f>HYPERLINK("http://www.ncbi.nlm.nih.gov/protein/Aam-532","Aam-532")</f>
        <v>Aam-532</v>
      </c>
      <c r="DN132" s="75">
        <v>21.6</v>
      </c>
      <c r="DO132" s="75">
        <v>26</v>
      </c>
      <c r="DP132" s="75">
        <v>555</v>
      </c>
      <c r="DQ132" s="75">
        <v>42</v>
      </c>
      <c r="DR132" s="75">
        <v>53</v>
      </c>
      <c r="DS132" s="75">
        <v>5</v>
      </c>
      <c r="DT132" s="75">
        <v>15</v>
      </c>
      <c r="DU132" s="75">
        <v>0</v>
      </c>
      <c r="DV132" s="75">
        <v>360</v>
      </c>
      <c r="DW132" s="75">
        <v>388</v>
      </c>
      <c r="DX132" s="75">
        <v>1</v>
      </c>
      <c r="DY132" s="75" t="s">
        <v>2775</v>
      </c>
      <c r="DZ132" s="75" t="str">
        <f>HYPERLINK(".\links\CDD\EEC16392.1-CDD.txt","F-box-like F-box-like")</f>
        <v>F-box-like F-box-like</v>
      </c>
      <c r="EA132" s="79">
        <v>2.0000000000000002E-5</v>
      </c>
      <c r="EB132" s="75">
        <v>82.2</v>
      </c>
      <c r="EC132" s="75" t="s">
        <v>3651</v>
      </c>
      <c r="ED132" s="75" t="s">
        <v>3652</v>
      </c>
      <c r="EE132" s="75" t="str">
        <f>HYPERLINK(".\links\KOG\EEC16392.1-KOG.txt","CDD:226693 COG4242, CphB, Cyanophycinase and related exopeptidases")</f>
        <v>CDD:226693 COG4242, CphB, Cyanophycinase and related exopeptidases</v>
      </c>
      <c r="EF132" s="75">
        <v>6.7</v>
      </c>
      <c r="EG132" s="75">
        <v>13.7</v>
      </c>
      <c r="EH132" s="75" t="s">
        <v>3653</v>
      </c>
      <c r="EI132" s="75" t="s">
        <v>2779</v>
      </c>
      <c r="EJ132" s="75" t="str">
        <f>HYPERLINK(".\links\PFAM\EEC16392.1-PFAM.txt","F-box-like F-box-like")</f>
        <v>F-box-like F-box-like</v>
      </c>
      <c r="EK132" s="79">
        <v>5.0000000000000004E-6</v>
      </c>
      <c r="EL132" s="75">
        <v>82.2</v>
      </c>
      <c r="EM132" s="75" t="s">
        <v>3651</v>
      </c>
      <c r="EN132" s="75" t="s">
        <v>2772</v>
      </c>
      <c r="EO132" s="75" t="str">
        <f>HYPERLINK(".\links\SMART\EEC16392.1-SMART.txt","CDD:197608 smart00256, FBOX, A Receptor for Ubiquitination Targets")</f>
        <v>CDD:197608 smart00256, FBOX, A Receptor for Ubiquitination Targets</v>
      </c>
      <c r="EP132" s="79">
        <v>2.0000000000000001E-4</v>
      </c>
      <c r="EQ132" s="75">
        <v>95.1</v>
      </c>
      <c r="ER132" s="75" t="s">
        <v>3654</v>
      </c>
      <c r="ES132" s="75" t="s">
        <v>2772</v>
      </c>
      <c r="ET132" s="75" t="str">
        <f>HYPERLINK(".\links\TSF\EEC16392.1-TSF.txt","30-417 30-417, BTSP||S|")</f>
        <v>30-417 30-417, BTSP||S|</v>
      </c>
      <c r="EU132" s="79">
        <v>5.0000000000000001E-4</v>
      </c>
      <c r="EV132" s="75">
        <v>9.1999999999999993</v>
      </c>
      <c r="EW132" s="75" t="s">
        <v>3056</v>
      </c>
      <c r="EX132" s="75" t="s">
        <v>3057</v>
      </c>
      <c r="EY132" s="75" t="s">
        <v>2772</v>
      </c>
      <c r="EZ132" s="75" t="s">
        <v>2785</v>
      </c>
      <c r="FA132" s="75" t="s">
        <v>3058</v>
      </c>
    </row>
    <row r="133" spans="1:157" x14ac:dyDescent="0.2">
      <c r="A133" s="75" t="str">
        <f>HYPERLINK(".\links\PEP\AAY66555.1-PEP.txt","AAY66555.1")</f>
        <v>AAY66555.1</v>
      </c>
      <c r="B133" s="75" t="s">
        <v>2768</v>
      </c>
      <c r="C133" s="75">
        <v>178</v>
      </c>
      <c r="D133" s="75" t="s">
        <v>3422</v>
      </c>
      <c r="E133" s="76" t="s">
        <v>54</v>
      </c>
      <c r="F133" s="75" t="s">
        <v>2771</v>
      </c>
      <c r="G133" s="75" t="str">
        <f>HYPERLINK(".\links\Sigp\AAY66555.1-SigP.txt","SIG")</f>
        <v>SIG</v>
      </c>
      <c r="H133" s="75" t="s">
        <v>2813</v>
      </c>
      <c r="I133" s="75">
        <v>20.148</v>
      </c>
      <c r="J133" s="75">
        <v>4.8099999999999996</v>
      </c>
      <c r="K133" s="75">
        <v>18.129000000000001</v>
      </c>
      <c r="L133" s="75">
        <v>4.79</v>
      </c>
      <c r="M133" s="75" t="str">
        <f>HYPERLINK(".\links\netoglyc\AAY66555.1-netoglyc.txt","0")</f>
        <v>0</v>
      </c>
      <c r="N133" s="75" t="s">
        <v>2826</v>
      </c>
      <c r="O133" s="75">
        <v>178</v>
      </c>
      <c r="P133" s="75">
        <v>0</v>
      </c>
      <c r="Q133" s="75" t="s">
        <v>2772</v>
      </c>
      <c r="R133" s="75" t="s">
        <v>2772</v>
      </c>
      <c r="S133" s="75" t="s">
        <v>2772</v>
      </c>
      <c r="T133" s="75" t="s">
        <v>2772</v>
      </c>
      <c r="U133" s="75" t="s">
        <v>2772</v>
      </c>
      <c r="V133" s="75" t="s">
        <v>3655</v>
      </c>
      <c r="W133" s="75">
        <v>7.1</v>
      </c>
      <c r="X133" s="75">
        <v>10.4</v>
      </c>
      <c r="Y133" s="75">
        <v>7.1</v>
      </c>
      <c r="Z133" s="75" t="s">
        <v>2774</v>
      </c>
      <c r="AA133" s="77">
        <v>17.977528089887599</v>
      </c>
      <c r="AB133" s="75">
        <v>0.47</v>
      </c>
      <c r="AC133" s="75" t="s">
        <v>3656</v>
      </c>
      <c r="AD133" s="75">
        <v>14</v>
      </c>
      <c r="AE133" s="75" t="str">
        <f>HYPERLINK(".\links\pep\AAY66555.1-sulf.txt","1")</f>
        <v>1</v>
      </c>
      <c r="AF133" s="75" t="str">
        <f>HYPERLINK(".\links\pep\AAY66555.1-tyr-sulf.txt","Fasta with y")</f>
        <v>Fasta with y</v>
      </c>
      <c r="AG133" s="75" t="s">
        <v>2772</v>
      </c>
      <c r="AH133" s="75">
        <v>1</v>
      </c>
      <c r="AI133" s="75" t="s">
        <v>2772</v>
      </c>
      <c r="AJ133" s="75">
        <v>2</v>
      </c>
      <c r="AK133" s="75" t="s">
        <v>2772</v>
      </c>
      <c r="AL133" s="75" t="s">
        <v>2772</v>
      </c>
      <c r="AM133" s="75" t="s">
        <v>2772</v>
      </c>
      <c r="AN133" s="75" t="s">
        <v>2772</v>
      </c>
      <c r="AO133" s="78" t="str">
        <f>HYPERLINK(".\links\AAM-CEMENT-2018\AAY66555.1-AAM-CEMENT-2018.txt","Extracted CDS")</f>
        <v>Extracted CDS</v>
      </c>
      <c r="AP133" s="75" t="str">
        <f>HYPERLINK("http://www.ncbi.nlm.nih.gov/sutils/blink.cgi?pid=Aam-835","1.3")</f>
        <v>1.3</v>
      </c>
      <c r="AQ133" s="75" t="str">
        <f>HYPERLINK("http://www.ncbi.nlm.nih.gov/protein/Aam-835","Aam-835")</f>
        <v>Aam-835</v>
      </c>
      <c r="AR133" s="75">
        <v>22.3</v>
      </c>
      <c r="AS133" s="75">
        <v>27</v>
      </c>
      <c r="AT133" s="75">
        <v>1670</v>
      </c>
      <c r="AU133" s="75">
        <v>40</v>
      </c>
      <c r="AV133" s="75">
        <v>44</v>
      </c>
      <c r="AW133" s="75">
        <v>2</v>
      </c>
      <c r="AX133" s="75">
        <v>16</v>
      </c>
      <c r="AY133" s="75">
        <v>2</v>
      </c>
      <c r="AZ133" s="75">
        <v>731</v>
      </c>
      <c r="BA133" s="75">
        <v>140</v>
      </c>
      <c r="BB133" s="75">
        <v>1</v>
      </c>
      <c r="BC133" s="75" t="s">
        <v>2775</v>
      </c>
      <c r="BD133" s="78" t="str">
        <f>HYPERLINK(".\links\CDD\AAY66555.1-CDD.txt","PRK07525 sulfoacetaldehyde acetyltransferase")</f>
        <v>PRK07525 sulfoacetaldehyde acetyltransferase</v>
      </c>
      <c r="BE133" s="75">
        <v>2.2000000000000002</v>
      </c>
      <c r="BF133" s="75">
        <v>8</v>
      </c>
      <c r="BG133" s="75" t="s">
        <v>3657</v>
      </c>
      <c r="BH133" s="75" t="s">
        <v>3658</v>
      </c>
      <c r="BI133" s="75" t="str">
        <f>HYPERLINK(".\links\KOG\AAY66555.1-KOG.txt","CDD:226555 COG4069, COG4069, Uncharacterized protein conserved in archaea")</f>
        <v>CDD:226555 COG4069, COG4069, Uncharacterized protein conserved in archaea</v>
      </c>
      <c r="BJ133" s="75">
        <v>1.7</v>
      </c>
      <c r="BK133" s="75">
        <v>15.3</v>
      </c>
      <c r="BL133" s="75" t="s">
        <v>3659</v>
      </c>
      <c r="BM133" s="75" t="s">
        <v>2779</v>
      </c>
      <c r="BN133" s="78" t="str">
        <f>HYPERLINK(".\links\PFAM\AAY66555.1-PFAM.txt","Bunya_G2 Bunyavirus glycoprotein G2")</f>
        <v>Bunya_G2 Bunyavirus glycoprotein G2</v>
      </c>
      <c r="BO133" s="75">
        <v>0.79</v>
      </c>
      <c r="BP133" s="75">
        <v>9.5</v>
      </c>
      <c r="BQ133" s="75" t="s">
        <v>3660</v>
      </c>
      <c r="BR133" s="75" t="s">
        <v>2772</v>
      </c>
      <c r="BS133" s="78" t="str">
        <f>HYPERLINK(".\links\SMART\AAY66555.1-SMART.txt","CDD:214651 smart00407, IGc1, Immunoglobulin C-Type")</f>
        <v>CDD:214651 smart00407, IGc1, Immunoglobulin C-Type</v>
      </c>
      <c r="BT133" s="75">
        <v>1.2</v>
      </c>
      <c r="BU133" s="75">
        <v>24</v>
      </c>
      <c r="BV133" s="75" t="s">
        <v>3661</v>
      </c>
      <c r="BW133" s="75" t="s">
        <v>2772</v>
      </c>
      <c r="BX133" s="78" t="str">
        <f>HYPERLINK(".\links\TSF\AAY66555.1-TSF.txt","40-77 40-77, BTSP||S|")</f>
        <v>40-77 40-77, BTSP||S|</v>
      </c>
      <c r="BY133" s="79">
        <v>9.9999999999999999E-91</v>
      </c>
      <c r="BZ133" s="75">
        <v>100.6</v>
      </c>
      <c r="CA133" s="75" t="s">
        <v>3626</v>
      </c>
      <c r="CB133" s="75" t="s">
        <v>3057</v>
      </c>
      <c r="CC133" s="75" t="s">
        <v>2772</v>
      </c>
      <c r="CD133" s="75" t="s">
        <v>2785</v>
      </c>
      <c r="CE133" s="75" t="s">
        <v>3627</v>
      </c>
      <c r="CF133" s="75">
        <f>HYPERLINK(".\links\cluster-b\Ixsc-cement-202225-50SimCLU6.txt", 6)</f>
        <v>6</v>
      </c>
      <c r="CG133" s="75">
        <f>HYPERLINK(".\links\cluster-b\Ixsc-cement-202225-50SimCLTL6.txt", 4)</f>
        <v>4</v>
      </c>
      <c r="CH133" s="75">
        <f>HYPERLINK(".\links\cluster-b\Ixsc-cement-202230-50SimCLU5.txt", 5)</f>
        <v>5</v>
      </c>
      <c r="CI133" s="75">
        <f>HYPERLINK(".\links\cluster-b\Ixsc-cement-202230-50SimCLTL5.txt", 4)</f>
        <v>4</v>
      </c>
      <c r="CJ133" s="75">
        <f>HYPERLINK(".\links\cluster-b\Ixsc-cement-202235-50SimCLU5.txt", 5)</f>
        <v>5</v>
      </c>
      <c r="CK133" s="75">
        <f>HYPERLINK(".\links\cluster-b\Ixsc-cement-202235-50SimCLTL5.txt", 4)</f>
        <v>4</v>
      </c>
      <c r="CL133" s="75">
        <f>HYPERLINK(".\links\cluster-b\Ixsc-cement-202240-50SimCLU5.txt", 5)</f>
        <v>5</v>
      </c>
      <c r="CM133" s="75">
        <f>HYPERLINK(".\links\cluster-b\Ixsc-cement-202240-50SimCLTL5.txt", 4)</f>
        <v>4</v>
      </c>
      <c r="CN133" s="75">
        <f>HYPERLINK(".\links\cluster-b\Ixsc-cement-202245-50SimCLU5.txt", 5)</f>
        <v>5</v>
      </c>
      <c r="CO133" s="75">
        <f>HYPERLINK(".\links\cluster-b\Ixsc-cement-202245-50SimCLTL5.txt", 4)</f>
        <v>4</v>
      </c>
      <c r="CP133" s="75">
        <f>HYPERLINK(".\links\cluster-b\Ixsc-cement-202250-50SimCLU5.txt", 5)</f>
        <v>5</v>
      </c>
      <c r="CQ133" s="75">
        <f>HYPERLINK(".\links\cluster-b\Ixsc-cement-202250-50SimCLTL5.txt", 4)</f>
        <v>4</v>
      </c>
      <c r="CR133" s="75">
        <f>HYPERLINK(".\links\cluster-b\Ixsc-cement-202255-50SimCLU5.txt", 5)</f>
        <v>5</v>
      </c>
      <c r="CS133" s="75">
        <f>HYPERLINK(".\links\cluster-b\Ixsc-cement-202255-50SimCLTL5.txt", 4)</f>
        <v>4</v>
      </c>
      <c r="CT133" s="75">
        <f>HYPERLINK(".\links\cluster-b\Ixsc-cement-202260-50SimCLU9.txt", 9)</f>
        <v>9</v>
      </c>
      <c r="CU133" s="75">
        <f>HYPERLINK(".\links\cluster-b\Ixsc-cement-202260-50SimCLTL9.txt", 2)</f>
        <v>2</v>
      </c>
      <c r="CV133" s="75">
        <v>23</v>
      </c>
      <c r="CW133" s="75">
        <v>1</v>
      </c>
      <c r="CX133" s="75">
        <v>22</v>
      </c>
      <c r="CY133" s="75">
        <v>1</v>
      </c>
      <c r="CZ133" s="75">
        <v>21</v>
      </c>
      <c r="DA133" s="75">
        <v>1</v>
      </c>
      <c r="DB133" s="75">
        <v>19</v>
      </c>
      <c r="DC133" s="75">
        <v>1</v>
      </c>
      <c r="DD133" s="75">
        <v>17</v>
      </c>
      <c r="DE133" s="75">
        <v>1</v>
      </c>
      <c r="DF133" s="75">
        <v>16</v>
      </c>
      <c r="DG133" s="75">
        <v>1</v>
      </c>
      <c r="DH133" s="75">
        <v>15</v>
      </c>
      <c r="DI133" s="75">
        <v>1</v>
      </c>
      <c r="DJ133" s="75" t="s">
        <v>76</v>
      </c>
      <c r="DK133" s="75" t="str">
        <f>HYPERLINK(".\links\AAM-CEMENT-2018\AAY66555.1-AAM-CEMENT-2018.txt","Extracted CDS")</f>
        <v>Extracted CDS</v>
      </c>
      <c r="DL133" s="75" t="str">
        <f>HYPERLINK("http://www.ncbi.nlm.nih.gov/sutils/blink.cgi?pid=Aam-835","1.3")</f>
        <v>1.3</v>
      </c>
      <c r="DM133" s="75" t="str">
        <f>HYPERLINK("http://www.ncbi.nlm.nih.gov/protein/Aam-835","Aam-835")</f>
        <v>Aam-835</v>
      </c>
      <c r="DN133" s="75">
        <v>22.3</v>
      </c>
      <c r="DO133" s="75">
        <v>27</v>
      </c>
      <c r="DP133" s="75">
        <v>1670</v>
      </c>
      <c r="DQ133" s="75">
        <v>40</v>
      </c>
      <c r="DR133" s="75">
        <v>44</v>
      </c>
      <c r="DS133" s="75">
        <v>2</v>
      </c>
      <c r="DT133" s="75">
        <v>16</v>
      </c>
      <c r="DU133" s="75">
        <v>2</v>
      </c>
      <c r="DV133" s="75">
        <v>731</v>
      </c>
      <c r="DW133" s="75">
        <v>140</v>
      </c>
      <c r="DX133" s="75">
        <v>1</v>
      </c>
      <c r="DY133" s="75" t="s">
        <v>2775</v>
      </c>
      <c r="DZ133" s="75" t="str">
        <f>HYPERLINK(".\links\CDD\AAY66555.1-CDD.txt","PRK07525 sulfoacetaldehyde acetyltransferase")</f>
        <v>PRK07525 sulfoacetaldehyde acetyltransferase</v>
      </c>
      <c r="EA133" s="75">
        <v>2.2000000000000002</v>
      </c>
      <c r="EB133" s="75">
        <v>8</v>
      </c>
      <c r="EC133" s="75" t="s">
        <v>3657</v>
      </c>
      <c r="ED133" s="75" t="s">
        <v>3658</v>
      </c>
      <c r="EE133" s="75" t="str">
        <f>HYPERLINK(".\links\KOG\AAY66555.1-KOG.txt","CDD:226555 COG4069, COG4069, Uncharacterized protein conserved in archaea")</f>
        <v>CDD:226555 COG4069, COG4069, Uncharacterized protein conserved in archaea</v>
      </c>
      <c r="EF133" s="75">
        <v>1.7</v>
      </c>
      <c r="EG133" s="75">
        <v>15.3</v>
      </c>
      <c r="EH133" s="75" t="s">
        <v>3659</v>
      </c>
      <c r="EI133" s="75" t="s">
        <v>2779</v>
      </c>
      <c r="EJ133" s="75" t="str">
        <f>HYPERLINK(".\links\PFAM\AAY66555.1-PFAM.txt","Bunya_G2 Bunyavirus glycoprotein G2")</f>
        <v>Bunya_G2 Bunyavirus glycoprotein G2</v>
      </c>
      <c r="EK133" s="75">
        <v>0.79</v>
      </c>
      <c r="EL133" s="75">
        <v>9.5</v>
      </c>
      <c r="EM133" s="75" t="s">
        <v>3660</v>
      </c>
      <c r="EN133" s="75" t="s">
        <v>2772</v>
      </c>
      <c r="EO133" s="75" t="str">
        <f>HYPERLINK(".\links\SMART\AAY66555.1-SMART.txt","CDD:214651 smart00407, IGc1, Immunoglobulin C-Type")</f>
        <v>CDD:214651 smart00407, IGc1, Immunoglobulin C-Type</v>
      </c>
      <c r="EP133" s="75">
        <v>1.2</v>
      </c>
      <c r="EQ133" s="75">
        <v>24</v>
      </c>
      <c r="ER133" s="75" t="s">
        <v>3661</v>
      </c>
      <c r="ES133" s="75" t="s">
        <v>2772</v>
      </c>
      <c r="ET133" s="75" t="str">
        <f>HYPERLINK(".\links\TSF\AAY66555.1-TSF.txt","40-77 40-77, BTSP||S|")</f>
        <v>40-77 40-77, BTSP||S|</v>
      </c>
      <c r="EU133" s="79">
        <v>9.9999999999999999E-91</v>
      </c>
      <c r="EV133" s="75">
        <v>100.6</v>
      </c>
      <c r="EW133" s="75" t="s">
        <v>3626</v>
      </c>
      <c r="EX133" s="75" t="s">
        <v>3057</v>
      </c>
      <c r="EY133" s="75" t="s">
        <v>2772</v>
      </c>
      <c r="EZ133" s="75" t="s">
        <v>2785</v>
      </c>
      <c r="FA133" s="75" t="s">
        <v>3627</v>
      </c>
    </row>
    <row r="134" spans="1:157" x14ac:dyDescent="0.2">
      <c r="A134" s="75" t="str">
        <f>HYPERLINK(".\links\PEP\EEC17564.1-PEP.txt","EEC17564.1")</f>
        <v>EEC17564.1</v>
      </c>
      <c r="B134" s="75" t="s">
        <v>2768</v>
      </c>
      <c r="C134" s="75">
        <v>123</v>
      </c>
      <c r="D134" s="75" t="s">
        <v>2936</v>
      </c>
      <c r="E134" s="76" t="s">
        <v>54</v>
      </c>
      <c r="F134" s="75" t="s">
        <v>2771</v>
      </c>
      <c r="G134" s="75" t="str">
        <f>HYPERLINK(".\links\Sigp\EEC17564.1-SigP.txt","SIG")</f>
        <v>SIG</v>
      </c>
      <c r="H134" s="75" t="s">
        <v>3662</v>
      </c>
      <c r="I134" s="75">
        <v>13.201000000000001</v>
      </c>
      <c r="J134" s="75">
        <v>4.8099999999999996</v>
      </c>
      <c r="K134" s="75">
        <v>10.689</v>
      </c>
      <c r="L134" s="75">
        <v>4.71</v>
      </c>
      <c r="M134" s="75" t="str">
        <f>HYPERLINK(".\links\netoglyc\EEC17564.1-netoglyc.txt","2")</f>
        <v>2</v>
      </c>
      <c r="N134" s="75" t="s">
        <v>3663</v>
      </c>
      <c r="O134" s="75">
        <v>123</v>
      </c>
      <c r="P134" s="75" t="str">
        <f>HYPERLINK(".\links\tmhmm\EEC17564.1-tmhmm.txt","1")</f>
        <v>1</v>
      </c>
      <c r="Q134" s="75">
        <v>15.4</v>
      </c>
      <c r="R134" s="75">
        <v>3.3</v>
      </c>
      <c r="S134" s="75">
        <v>81.3</v>
      </c>
      <c r="T134" s="75" t="s">
        <v>2772</v>
      </c>
      <c r="U134" s="75">
        <v>100</v>
      </c>
      <c r="V134" s="75" t="s">
        <v>2772</v>
      </c>
      <c r="W134" s="75">
        <v>11.9</v>
      </c>
      <c r="X134" s="75">
        <v>4.8</v>
      </c>
      <c r="Y134" s="75">
        <v>7.1</v>
      </c>
      <c r="Z134" s="75" t="s">
        <v>2774</v>
      </c>
      <c r="AA134" s="77">
        <v>12.1951219512195</v>
      </c>
      <c r="AB134" s="75">
        <v>0.42</v>
      </c>
      <c r="AC134" s="75" t="s">
        <v>3664</v>
      </c>
      <c r="AD134" s="75">
        <v>13</v>
      </c>
      <c r="AE134" s="75" t="s">
        <v>2772</v>
      </c>
      <c r="AF134" s="75" t="s">
        <v>2772</v>
      </c>
      <c r="AG134" s="75" t="s">
        <v>2772</v>
      </c>
      <c r="AH134" s="75" t="s">
        <v>2772</v>
      </c>
      <c r="AI134" s="75" t="s">
        <v>2772</v>
      </c>
      <c r="AJ134" s="75" t="s">
        <v>2772</v>
      </c>
      <c r="AK134" s="75" t="s">
        <v>2772</v>
      </c>
      <c r="AL134" s="75" t="s">
        <v>2772</v>
      </c>
      <c r="AM134" s="75" t="s">
        <v>2772</v>
      </c>
      <c r="AN134" s="75" t="s">
        <v>2772</v>
      </c>
      <c r="AO134" s="78" t="str">
        <f>HYPERLINK(".\links\AAM-CEMENT-2018\EEC17564.1-AAM-CEMENT-2018.txt","Extracted CDS")</f>
        <v>Extracted CDS</v>
      </c>
      <c r="AP134" s="75" t="str">
        <f>HYPERLINK("http://www.ncbi.nlm.nih.gov/sutils/blink.cgi?pid=Aam-203387","0.002")</f>
        <v>0.002</v>
      </c>
      <c r="AQ134" s="75" t="str">
        <f>HYPERLINK("http://www.ncbi.nlm.nih.gov/protein/Aam-203387","Aam-203387")</f>
        <v>Aam-203387</v>
      </c>
      <c r="AR134" s="75">
        <v>29.6</v>
      </c>
      <c r="AS134" s="75">
        <v>62</v>
      </c>
      <c r="AT134" s="75">
        <v>548</v>
      </c>
      <c r="AU134" s="75">
        <v>35</v>
      </c>
      <c r="AV134" s="75">
        <v>43</v>
      </c>
      <c r="AW134" s="75">
        <v>11</v>
      </c>
      <c r="AX134" s="75">
        <v>40</v>
      </c>
      <c r="AY134" s="75">
        <v>1</v>
      </c>
      <c r="AZ134" s="75">
        <v>360</v>
      </c>
      <c r="BA134" s="75">
        <v>51</v>
      </c>
      <c r="BB134" s="75">
        <v>1</v>
      </c>
      <c r="BC134" s="75" t="s">
        <v>2775</v>
      </c>
      <c r="BD134" s="78" t="str">
        <f>HYPERLINK(".\links\CDD\EEC17564.1-CDD.txt","RTPR ribonucleoside-triphosphate reductase adenosylcobalamin-dependent")</f>
        <v>RTPR ribonucleoside-triphosphate reductase adenosylcobalamin-dependent</v>
      </c>
      <c r="BE134" s="75">
        <v>0.54</v>
      </c>
      <c r="BF134" s="75">
        <v>4.2</v>
      </c>
      <c r="BG134" s="75" t="s">
        <v>3665</v>
      </c>
      <c r="BH134" s="75" t="s">
        <v>3666</v>
      </c>
      <c r="BI134" s="75" t="str">
        <f>HYPERLINK(".\links\KOG\EEC17564.1-KOG.txt","CDD:226876 COG4470, COG4470, Uncharacterized protein conserved in bacteria")</f>
        <v>CDD:226876 COG4470, COG4470, Uncharacterized protein conserved in bacteria</v>
      </c>
      <c r="BJ134" s="75">
        <v>1.6</v>
      </c>
      <c r="BK134" s="75">
        <v>34.1</v>
      </c>
      <c r="BL134" s="75" t="s">
        <v>3667</v>
      </c>
      <c r="BM134" s="75" t="s">
        <v>2779</v>
      </c>
      <c r="BN134" s="78" t="str">
        <f>HYPERLINK(".\links\PFAM\EEC17564.1-PFAM.txt","Herpes_MCP Herpes virus major capsid protein")</f>
        <v>Herpes_MCP Herpes virus major capsid protein</v>
      </c>
      <c r="BO134" s="75">
        <v>1.1000000000000001</v>
      </c>
      <c r="BP134" s="75">
        <v>4.2</v>
      </c>
      <c r="BQ134" s="75" t="s">
        <v>3668</v>
      </c>
      <c r="BR134" s="75" t="s">
        <v>2772</v>
      </c>
      <c r="BS134" s="78" t="str">
        <f>HYPERLINK(".\links\SMART\EEC17564.1-SMART.txt","CDD:128645 smart00351, PAX, Paired Box domain")</f>
        <v>CDD:128645 smart00351, PAX, Paired Box domain</v>
      </c>
      <c r="BT134" s="75">
        <v>2.7</v>
      </c>
      <c r="BU134" s="75">
        <v>22.4</v>
      </c>
      <c r="BV134" s="75" t="s">
        <v>3669</v>
      </c>
      <c r="BW134" s="75" t="s">
        <v>2772</v>
      </c>
      <c r="BX134" s="78" t="str">
        <f>HYPERLINK(".\links\TSF\EEC17564.1-TSF.txt","30-90 30-90, Lipocalin||S|")</f>
        <v>30-90 30-90, Lipocalin||S|</v>
      </c>
      <c r="BY134" s="75">
        <v>0.18</v>
      </c>
      <c r="BZ134" s="75">
        <v>27</v>
      </c>
      <c r="CA134" s="75" t="s">
        <v>3670</v>
      </c>
      <c r="CB134" s="75" t="s">
        <v>3004</v>
      </c>
      <c r="CC134" s="75" t="s">
        <v>2772</v>
      </c>
      <c r="CD134" s="75" t="s">
        <v>2785</v>
      </c>
      <c r="CE134" s="75" t="s">
        <v>2963</v>
      </c>
      <c r="CF134" s="75">
        <f>HYPERLINK(".\links\cluster-b\Ixsc-cement-202225-50SimCLU10.txt", 10)</f>
        <v>10</v>
      </c>
      <c r="CG134" s="75">
        <f>HYPERLINK(".\links\cluster-b\Ixsc-cement-202225-50SimCLTL10.txt", 3)</f>
        <v>3</v>
      </c>
      <c r="CH134" s="75">
        <f>HYPERLINK(".\links\cluster-b\Ixsc-cement-202230-50SimCLU9.txt", 9)</f>
        <v>9</v>
      </c>
      <c r="CI134" s="75">
        <f>HYPERLINK(".\links\cluster-b\Ixsc-cement-202230-50SimCLTL9.txt", 3)</f>
        <v>3</v>
      </c>
      <c r="CJ134" s="75">
        <v>78</v>
      </c>
      <c r="CK134" s="75">
        <v>1</v>
      </c>
      <c r="CL134" s="75">
        <v>82</v>
      </c>
      <c r="CM134" s="75">
        <v>1</v>
      </c>
      <c r="CN134" s="75">
        <v>86</v>
      </c>
      <c r="CO134" s="75">
        <v>1</v>
      </c>
      <c r="CP134" s="75">
        <v>88</v>
      </c>
      <c r="CQ134" s="75">
        <v>1</v>
      </c>
      <c r="CR134" s="75">
        <v>89</v>
      </c>
      <c r="CS134" s="75">
        <v>1</v>
      </c>
      <c r="CT134" s="75">
        <v>93</v>
      </c>
      <c r="CU134" s="75">
        <v>1</v>
      </c>
      <c r="CV134" s="75">
        <v>96</v>
      </c>
      <c r="CW134" s="75">
        <v>1</v>
      </c>
      <c r="CX134" s="75">
        <v>100</v>
      </c>
      <c r="CY134" s="75">
        <v>1</v>
      </c>
      <c r="CZ134" s="75">
        <v>103</v>
      </c>
      <c r="DA134" s="75">
        <v>1</v>
      </c>
      <c r="DB134" s="75">
        <v>109</v>
      </c>
      <c r="DC134" s="75">
        <v>1</v>
      </c>
      <c r="DD134" s="75">
        <v>113</v>
      </c>
      <c r="DE134" s="75">
        <v>1</v>
      </c>
      <c r="DF134" s="75">
        <v>115</v>
      </c>
      <c r="DG134" s="75">
        <v>1</v>
      </c>
      <c r="DH134" s="75">
        <v>116</v>
      </c>
      <c r="DI134" s="75">
        <v>1</v>
      </c>
      <c r="DJ134" s="75" t="s">
        <v>134</v>
      </c>
      <c r="DK134" s="75" t="str">
        <f>HYPERLINK(".\links\AAM-CEMENT-2018\EEC17564.1-AAM-CEMENT-2018.txt","Extracted CDS")</f>
        <v>Extracted CDS</v>
      </c>
      <c r="DL134" s="75" t="str">
        <f>HYPERLINK("http://www.ncbi.nlm.nih.gov/sutils/blink.cgi?pid=Aam-203387","0.002")</f>
        <v>0.002</v>
      </c>
      <c r="DM134" s="75" t="str">
        <f>HYPERLINK("http://www.ncbi.nlm.nih.gov/protein/Aam-203387","Aam-203387")</f>
        <v>Aam-203387</v>
      </c>
      <c r="DN134" s="75">
        <v>29.6</v>
      </c>
      <c r="DO134" s="75">
        <v>62</v>
      </c>
      <c r="DP134" s="75">
        <v>548</v>
      </c>
      <c r="DQ134" s="75">
        <v>35</v>
      </c>
      <c r="DR134" s="75">
        <v>43</v>
      </c>
      <c r="DS134" s="75">
        <v>11</v>
      </c>
      <c r="DT134" s="75">
        <v>40</v>
      </c>
      <c r="DU134" s="75">
        <v>1</v>
      </c>
      <c r="DV134" s="75">
        <v>360</v>
      </c>
      <c r="DW134" s="75">
        <v>51</v>
      </c>
      <c r="DX134" s="75">
        <v>1</v>
      </c>
      <c r="DY134" s="75" t="s">
        <v>2775</v>
      </c>
      <c r="DZ134" s="75" t="str">
        <f>HYPERLINK(".\links\CDD\EEC17564.1-CDD.txt","RTPR ribonucleoside-triphosphate reductase adenosylcobalamin-dependent")</f>
        <v>RTPR ribonucleoside-triphosphate reductase adenosylcobalamin-dependent</v>
      </c>
      <c r="EA134" s="75">
        <v>0.54</v>
      </c>
      <c r="EB134" s="75">
        <v>4.2</v>
      </c>
      <c r="EC134" s="75" t="s">
        <v>3665</v>
      </c>
      <c r="ED134" s="75" t="s">
        <v>3666</v>
      </c>
      <c r="EE134" s="75" t="str">
        <f>HYPERLINK(".\links\KOG\EEC17564.1-KOG.txt","CDD:226876 COG4470, COG4470, Uncharacterized protein conserved in bacteria")</f>
        <v>CDD:226876 COG4470, COG4470, Uncharacterized protein conserved in bacteria</v>
      </c>
      <c r="EF134" s="75">
        <v>1.6</v>
      </c>
      <c r="EG134" s="75">
        <v>34.1</v>
      </c>
      <c r="EH134" s="75" t="s">
        <v>3667</v>
      </c>
      <c r="EI134" s="75" t="s">
        <v>2779</v>
      </c>
      <c r="EJ134" s="75" t="str">
        <f>HYPERLINK(".\links\PFAM\EEC17564.1-PFAM.txt","Herpes_MCP Herpes virus major capsid protein")</f>
        <v>Herpes_MCP Herpes virus major capsid protein</v>
      </c>
      <c r="EK134" s="75">
        <v>1.1000000000000001</v>
      </c>
      <c r="EL134" s="75">
        <v>4.2</v>
      </c>
      <c r="EM134" s="75" t="s">
        <v>3668</v>
      </c>
      <c r="EN134" s="75" t="s">
        <v>2772</v>
      </c>
      <c r="EO134" s="75" t="str">
        <f>HYPERLINK(".\links\SMART\EEC17564.1-SMART.txt","CDD:128645 smart00351, PAX, Paired Box domain")</f>
        <v>CDD:128645 smart00351, PAX, Paired Box domain</v>
      </c>
      <c r="EP134" s="75">
        <v>2.7</v>
      </c>
      <c r="EQ134" s="75">
        <v>22.4</v>
      </c>
      <c r="ER134" s="75" t="s">
        <v>3669</v>
      </c>
      <c r="ES134" s="75" t="s">
        <v>2772</v>
      </c>
      <c r="ET134" s="75" t="str">
        <f>HYPERLINK(".\links\TSF\EEC17564.1-TSF.txt","30-90 30-90, Lipocalin||S|")</f>
        <v>30-90 30-90, Lipocalin||S|</v>
      </c>
      <c r="EU134" s="75">
        <v>0.18</v>
      </c>
      <c r="EV134" s="75">
        <v>27</v>
      </c>
      <c r="EW134" s="75" t="s">
        <v>3670</v>
      </c>
      <c r="EX134" s="75" t="s">
        <v>3004</v>
      </c>
      <c r="EY134" s="75" t="s">
        <v>2772</v>
      </c>
      <c r="EZ134" s="75" t="s">
        <v>2785</v>
      </c>
      <c r="FA134" s="75" t="s">
        <v>2963</v>
      </c>
    </row>
    <row r="135" spans="1:157" x14ac:dyDescent="0.2">
      <c r="A135" s="75" t="str">
        <f>HYPERLINK(".\links\PEP\EEC05763.1-PEP.txt","EEC05763.1")</f>
        <v>EEC05763.1</v>
      </c>
      <c r="B135" s="75" t="s">
        <v>2768</v>
      </c>
      <c r="C135" s="75">
        <v>145</v>
      </c>
      <c r="D135" s="75" t="s">
        <v>3671</v>
      </c>
      <c r="E135" s="76" t="s">
        <v>54</v>
      </c>
      <c r="F135" s="75" t="s">
        <v>2771</v>
      </c>
      <c r="G135" s="75" t="str">
        <f>HYPERLINK(".\links\Sigp\EEC05763.1-SigP.txt","SIG")</f>
        <v>SIG</v>
      </c>
      <c r="H135" s="75" t="s">
        <v>2813</v>
      </c>
      <c r="I135" s="75">
        <v>16.312000000000001</v>
      </c>
      <c r="J135" s="75">
        <v>5.29</v>
      </c>
      <c r="K135" s="75">
        <v>14.244</v>
      </c>
      <c r="L135" s="75">
        <v>5.08</v>
      </c>
      <c r="M135" s="75" t="str">
        <f>HYPERLINK(".\links\netoglyc\EEC05763.1-netoglyc.txt","1")</f>
        <v>1</v>
      </c>
      <c r="N135" s="75" t="s">
        <v>3672</v>
      </c>
      <c r="O135" s="75">
        <v>145</v>
      </c>
      <c r="P135" s="75">
        <v>0</v>
      </c>
      <c r="Q135" s="75" t="s">
        <v>2772</v>
      </c>
      <c r="R135" s="75" t="s">
        <v>2772</v>
      </c>
      <c r="S135" s="75" t="s">
        <v>2772</v>
      </c>
      <c r="T135" s="75" t="s">
        <v>2772</v>
      </c>
      <c r="U135" s="75" t="s">
        <v>2772</v>
      </c>
      <c r="V135" s="75" t="s">
        <v>2772</v>
      </c>
      <c r="W135" s="75">
        <v>12.1</v>
      </c>
      <c r="X135" s="75">
        <v>6.7</v>
      </c>
      <c r="Y135" s="75">
        <v>7.4</v>
      </c>
      <c r="Z135" s="75" t="s">
        <v>2774</v>
      </c>
      <c r="AA135" s="77">
        <v>14.482758620689699</v>
      </c>
      <c r="AB135" s="75">
        <v>0.36</v>
      </c>
      <c r="AC135" s="75" t="s">
        <v>3673</v>
      </c>
      <c r="AD135" s="75">
        <v>10</v>
      </c>
      <c r="AE135" s="75" t="s">
        <v>2772</v>
      </c>
      <c r="AF135" s="75" t="s">
        <v>2772</v>
      </c>
      <c r="AG135" s="75" t="s">
        <v>2772</v>
      </c>
      <c r="AH135" s="75">
        <v>1</v>
      </c>
      <c r="AI135" s="75">
        <v>1</v>
      </c>
      <c r="AJ135" s="75">
        <v>3</v>
      </c>
      <c r="AK135" s="75" t="s">
        <v>2772</v>
      </c>
      <c r="AL135" s="75" t="s">
        <v>2772</v>
      </c>
      <c r="AM135" s="75" t="s">
        <v>2772</v>
      </c>
      <c r="AN135" s="75" t="s">
        <v>2772</v>
      </c>
      <c r="AO135" s="78" t="str">
        <f>HYPERLINK(".\links\AAM-CEMENT-2018\EEC05763.1-AAM-CEMENT-2018.txt","Extracted CDS")</f>
        <v>Extracted CDS</v>
      </c>
      <c r="AP135" s="75" t="str">
        <f>HYPERLINK("http://www.ncbi.nlm.nih.gov/sutils/blink.cgi?pid=Aam-25369","3.6")</f>
        <v>3.6</v>
      </c>
      <c r="AQ135" s="75" t="str">
        <f>HYPERLINK("http://www.ncbi.nlm.nih.gov/protein/Aam-25369","Aam-25369")</f>
        <v>Aam-25369</v>
      </c>
      <c r="AR135" s="75">
        <v>20.399999999999999</v>
      </c>
      <c r="AS135" s="75">
        <v>55</v>
      </c>
      <c r="AT135" s="75">
        <v>187</v>
      </c>
      <c r="AU135" s="75">
        <v>34</v>
      </c>
      <c r="AV135" s="75">
        <v>38</v>
      </c>
      <c r="AW135" s="75">
        <v>29</v>
      </c>
      <c r="AX135" s="75">
        <v>36</v>
      </c>
      <c r="AY135" s="75">
        <v>12</v>
      </c>
      <c r="AZ135" s="75">
        <v>111</v>
      </c>
      <c r="BA135" s="75">
        <v>5</v>
      </c>
      <c r="BB135" s="75">
        <v>1</v>
      </c>
      <c r="BC135" s="75" t="s">
        <v>2775</v>
      </c>
      <c r="BD135" s="78" t="str">
        <f>HYPERLINK(".\links\CDD\EEC05763.1-CDD.txt","laccase_11 laccase plant")</f>
        <v>laccase_11 laccase plant</v>
      </c>
      <c r="BE135" s="75">
        <v>4.3</v>
      </c>
      <c r="BF135" s="75">
        <v>5.9</v>
      </c>
      <c r="BG135" s="75" t="s">
        <v>3674</v>
      </c>
      <c r="BH135" s="75" t="s">
        <v>3675</v>
      </c>
      <c r="BI135" s="75" t="str">
        <f>HYPERLINK(".\links\KOG\EEC05763.1-KOG.txt","CDD:227721 COG5434, PGU1, Endopygalactorunase")</f>
        <v>CDD:227721 COG5434, PGU1, Endopygalactorunase</v>
      </c>
      <c r="BJ135" s="75">
        <v>0.6</v>
      </c>
      <c r="BK135" s="75">
        <v>3.7</v>
      </c>
      <c r="BL135" s="75" t="s">
        <v>3624</v>
      </c>
      <c r="BM135" s="75" t="s">
        <v>2779</v>
      </c>
      <c r="BN135" s="78" t="str">
        <f>HYPERLINK(".\links\PFAM\EEC05763.1-PFAM.txt","DUF3292 Protein of unknown function")</f>
        <v>DUF3292 Protein of unknown function</v>
      </c>
      <c r="BO135" s="75">
        <v>5</v>
      </c>
      <c r="BP135" s="75">
        <v>2.6</v>
      </c>
      <c r="BQ135" s="75" t="s">
        <v>3676</v>
      </c>
      <c r="BR135" s="75" t="s">
        <v>2772</v>
      </c>
      <c r="BS135" s="78" t="str">
        <f>HYPERLINK(".\links\SMART\EEC05763.1-SMART.txt","CDD:129003 smart00764, Citrate_ly_lig, Citrate lyase ligase C-terminal domain")</f>
        <v>CDD:129003 smart00764, Citrate_ly_lig, Citrate lyase ligase C-terminal domain</v>
      </c>
      <c r="BT135" s="75">
        <v>1.4</v>
      </c>
      <c r="BU135" s="75">
        <v>13.2</v>
      </c>
      <c r="BV135" s="75" t="s">
        <v>3625</v>
      </c>
      <c r="BW135" s="75" t="s">
        <v>2772</v>
      </c>
      <c r="BX135" s="78" t="str">
        <f>HYPERLINK(".\links\TSF\EEC05763.1-TSF.txt","40-77 40-77, BTSP||S|")</f>
        <v>40-77 40-77, BTSP||S|</v>
      </c>
      <c r="BY135" s="79">
        <v>5E-53</v>
      </c>
      <c r="BZ135" s="75">
        <v>84.6</v>
      </c>
      <c r="CA135" s="75" t="s">
        <v>3626</v>
      </c>
      <c r="CB135" s="75" t="s">
        <v>3057</v>
      </c>
      <c r="CC135" s="75" t="s">
        <v>2772</v>
      </c>
      <c r="CD135" s="75" t="s">
        <v>2785</v>
      </c>
      <c r="CE135" s="75" t="s">
        <v>3627</v>
      </c>
      <c r="CF135" s="75">
        <f>HYPERLINK(".\links\cluster-b\Ixsc-cement-202225-50SimCLU6.txt", 6)</f>
        <v>6</v>
      </c>
      <c r="CG135" s="75">
        <f>HYPERLINK(".\links\cluster-b\Ixsc-cement-202225-50SimCLTL6.txt", 4)</f>
        <v>4</v>
      </c>
      <c r="CH135" s="75">
        <f>HYPERLINK(".\links\cluster-b\Ixsc-cement-202230-50SimCLU5.txt", 5)</f>
        <v>5</v>
      </c>
      <c r="CI135" s="75">
        <f>HYPERLINK(".\links\cluster-b\Ixsc-cement-202230-50SimCLTL5.txt", 4)</f>
        <v>4</v>
      </c>
      <c r="CJ135" s="75">
        <f>HYPERLINK(".\links\cluster-b\Ixsc-cement-202235-50SimCLU5.txt", 5)</f>
        <v>5</v>
      </c>
      <c r="CK135" s="75">
        <f>HYPERLINK(".\links\cluster-b\Ixsc-cement-202235-50SimCLTL5.txt", 4)</f>
        <v>4</v>
      </c>
      <c r="CL135" s="75">
        <f>HYPERLINK(".\links\cluster-b\Ixsc-cement-202240-50SimCLU5.txt", 5)</f>
        <v>5</v>
      </c>
      <c r="CM135" s="75">
        <f>HYPERLINK(".\links\cluster-b\Ixsc-cement-202240-50SimCLTL5.txt", 4)</f>
        <v>4</v>
      </c>
      <c r="CN135" s="75">
        <f>HYPERLINK(".\links\cluster-b\Ixsc-cement-202245-50SimCLU5.txt", 5)</f>
        <v>5</v>
      </c>
      <c r="CO135" s="75">
        <f>HYPERLINK(".\links\cluster-b\Ixsc-cement-202245-50SimCLTL5.txt", 4)</f>
        <v>4</v>
      </c>
      <c r="CP135" s="75">
        <f>HYPERLINK(".\links\cluster-b\Ixsc-cement-202250-50SimCLU5.txt", 5)</f>
        <v>5</v>
      </c>
      <c r="CQ135" s="75">
        <f>HYPERLINK(".\links\cluster-b\Ixsc-cement-202250-50SimCLTL5.txt", 4)</f>
        <v>4</v>
      </c>
      <c r="CR135" s="75">
        <f>HYPERLINK(".\links\cluster-b\Ixsc-cement-202255-50SimCLU5.txt", 5)</f>
        <v>5</v>
      </c>
      <c r="CS135" s="75">
        <f>HYPERLINK(".\links\cluster-b\Ixsc-cement-202255-50SimCLTL5.txt", 4)</f>
        <v>4</v>
      </c>
      <c r="CT135" s="75">
        <f>HYPERLINK(".\links\cluster-b\Ixsc-cement-202260-50SimCLU12.txt", 12)</f>
        <v>12</v>
      </c>
      <c r="CU135" s="75">
        <f>HYPERLINK(".\links\cluster-b\Ixsc-cement-202260-50SimCLTL12.txt", 2)</f>
        <v>2</v>
      </c>
      <c r="CV135" s="75">
        <f>HYPERLINK(".\links\cluster-b\Ixsc-cement-202265-50SimCLU11.txt", 11)</f>
        <v>11</v>
      </c>
      <c r="CW135" s="75">
        <f>HYPERLINK(".\links\cluster-b\Ixsc-cement-202265-50SimCLTL11.txt", 2)</f>
        <v>2</v>
      </c>
      <c r="CX135" s="75">
        <f>HYPERLINK(".\links\cluster-b\Ixsc-cement-202270-50SimCLU11.txt", 11)</f>
        <v>11</v>
      </c>
      <c r="CY135" s="75">
        <f>HYPERLINK(".\links\cluster-b\Ixsc-cement-202270-50SimCLTL11.txt", 2)</f>
        <v>2</v>
      </c>
      <c r="CZ135" s="75">
        <v>52</v>
      </c>
      <c r="DA135" s="75">
        <v>1</v>
      </c>
      <c r="DB135" s="75">
        <v>53</v>
      </c>
      <c r="DC135" s="75">
        <v>1</v>
      </c>
      <c r="DD135" s="75">
        <v>54</v>
      </c>
      <c r="DE135" s="75">
        <v>1</v>
      </c>
      <c r="DF135" s="75">
        <v>54</v>
      </c>
      <c r="DG135" s="75">
        <v>1</v>
      </c>
      <c r="DH135" s="75">
        <v>55</v>
      </c>
      <c r="DI135" s="75">
        <v>1</v>
      </c>
      <c r="DJ135" s="75" t="s">
        <v>19</v>
      </c>
      <c r="DK135" s="75" t="str">
        <f>HYPERLINK(".\links\AAM-CEMENT-2018\EEC05763.1-AAM-CEMENT-2018.txt","Extracted CDS")</f>
        <v>Extracted CDS</v>
      </c>
      <c r="DL135" s="75" t="str">
        <f>HYPERLINK("http://www.ncbi.nlm.nih.gov/sutils/blink.cgi?pid=Aam-25369","3.6")</f>
        <v>3.6</v>
      </c>
      <c r="DM135" s="75" t="str">
        <f>HYPERLINK("http://www.ncbi.nlm.nih.gov/protein/Aam-25369","Aam-25369")</f>
        <v>Aam-25369</v>
      </c>
      <c r="DN135" s="75">
        <v>20.399999999999999</v>
      </c>
      <c r="DO135" s="75">
        <v>55</v>
      </c>
      <c r="DP135" s="75">
        <v>187</v>
      </c>
      <c r="DQ135" s="75">
        <v>34</v>
      </c>
      <c r="DR135" s="75">
        <v>38</v>
      </c>
      <c r="DS135" s="75">
        <v>29</v>
      </c>
      <c r="DT135" s="75">
        <v>36</v>
      </c>
      <c r="DU135" s="75">
        <v>12</v>
      </c>
      <c r="DV135" s="75">
        <v>111</v>
      </c>
      <c r="DW135" s="75">
        <v>5</v>
      </c>
      <c r="DX135" s="75">
        <v>1</v>
      </c>
      <c r="DY135" s="75" t="s">
        <v>2775</v>
      </c>
      <c r="DZ135" s="75" t="str">
        <f>HYPERLINK(".\links\CDD\EEC05763.1-CDD.txt","laccase_11 laccase plant")</f>
        <v>laccase_11 laccase plant</v>
      </c>
      <c r="EA135" s="75">
        <v>4.3</v>
      </c>
      <c r="EB135" s="75">
        <v>5.9</v>
      </c>
      <c r="EC135" s="75" t="s">
        <v>3674</v>
      </c>
      <c r="ED135" s="75" t="s">
        <v>3675</v>
      </c>
      <c r="EE135" s="75" t="str">
        <f>HYPERLINK(".\links\KOG\EEC05763.1-KOG.txt","CDD:227721 COG5434, PGU1, Endopygalactorunase")</f>
        <v>CDD:227721 COG5434, PGU1, Endopygalactorunase</v>
      </c>
      <c r="EF135" s="75">
        <v>0.6</v>
      </c>
      <c r="EG135" s="75">
        <v>3.7</v>
      </c>
      <c r="EH135" s="75" t="s">
        <v>3624</v>
      </c>
      <c r="EI135" s="75" t="s">
        <v>2779</v>
      </c>
      <c r="EJ135" s="75" t="str">
        <f>HYPERLINK(".\links\PFAM\EEC05763.1-PFAM.txt","DUF3292 Protein of unknown function")</f>
        <v>DUF3292 Protein of unknown function</v>
      </c>
      <c r="EK135" s="75">
        <v>5</v>
      </c>
      <c r="EL135" s="75">
        <v>2.6</v>
      </c>
      <c r="EM135" s="75" t="s">
        <v>3676</v>
      </c>
      <c r="EN135" s="75" t="s">
        <v>2772</v>
      </c>
      <c r="EO135" s="75" t="str">
        <f>HYPERLINK(".\links\SMART\EEC05763.1-SMART.txt","CDD:129003 smart00764, Citrate_ly_lig, Citrate lyase ligase C-terminal domain")</f>
        <v>CDD:129003 smart00764, Citrate_ly_lig, Citrate lyase ligase C-terminal domain</v>
      </c>
      <c r="EP135" s="75">
        <v>1.4</v>
      </c>
      <c r="EQ135" s="75">
        <v>13.2</v>
      </c>
      <c r="ER135" s="75" t="s">
        <v>3625</v>
      </c>
      <c r="ES135" s="75" t="s">
        <v>2772</v>
      </c>
      <c r="ET135" s="75" t="str">
        <f>HYPERLINK(".\links\TSF\EEC05763.1-TSF.txt","40-77 40-77, BTSP||S|")</f>
        <v>40-77 40-77, BTSP||S|</v>
      </c>
      <c r="EU135" s="79">
        <v>5E-53</v>
      </c>
      <c r="EV135" s="75">
        <v>84.6</v>
      </c>
      <c r="EW135" s="75" t="s">
        <v>3626</v>
      </c>
      <c r="EX135" s="75" t="s">
        <v>3057</v>
      </c>
      <c r="EY135" s="75" t="s">
        <v>2772</v>
      </c>
      <c r="EZ135" s="75" t="s">
        <v>2785</v>
      </c>
      <c r="FA135" s="75" t="s">
        <v>3627</v>
      </c>
    </row>
    <row r="136" spans="1:157" x14ac:dyDescent="0.2">
      <c r="A136" s="75" t="str">
        <f>HYPERLINK(".\links\PEP\EEC13528.1-PEP.txt","EEC13528.1")</f>
        <v>EEC13528.1</v>
      </c>
      <c r="B136" s="75" t="s">
        <v>2990</v>
      </c>
      <c r="C136" s="75">
        <v>120</v>
      </c>
      <c r="D136" s="75" t="s">
        <v>3671</v>
      </c>
      <c r="E136" s="76" t="s">
        <v>54</v>
      </c>
      <c r="F136" s="75" t="s">
        <v>2771</v>
      </c>
      <c r="G136" s="75" t="str">
        <f>HYPERLINK(".\links\Sigp\EEC13528.1-SigP.txt","SIG")</f>
        <v>SIG</v>
      </c>
      <c r="H136" s="75" t="s">
        <v>2799</v>
      </c>
      <c r="I136" s="75">
        <v>13.167999999999999</v>
      </c>
      <c r="J136" s="75">
        <v>6.3</v>
      </c>
      <c r="K136" s="75">
        <v>11.388</v>
      </c>
      <c r="L136" s="75">
        <v>6.09</v>
      </c>
      <c r="M136" s="75" t="str">
        <f>HYPERLINK(".\links\netoglyc\EEC13528.1-netoglyc.txt","0")</f>
        <v>0</v>
      </c>
      <c r="N136" s="75" t="s">
        <v>3677</v>
      </c>
      <c r="O136" s="75">
        <v>120</v>
      </c>
      <c r="P136" s="75">
        <v>0</v>
      </c>
      <c r="Q136" s="75" t="s">
        <v>2772</v>
      </c>
      <c r="R136" s="75" t="s">
        <v>2772</v>
      </c>
      <c r="S136" s="75" t="s">
        <v>2772</v>
      </c>
      <c r="T136" s="75" t="s">
        <v>2772</v>
      </c>
      <c r="U136" s="75" t="s">
        <v>2772</v>
      </c>
      <c r="V136" s="75" t="s">
        <v>2772</v>
      </c>
      <c r="W136" s="75">
        <v>10.6</v>
      </c>
      <c r="X136" s="75">
        <v>4.0999999999999996</v>
      </c>
      <c r="Y136" s="75">
        <v>7.3</v>
      </c>
      <c r="Z136" s="75" t="s">
        <v>2774</v>
      </c>
      <c r="AA136" s="77">
        <v>11.6666666666667</v>
      </c>
      <c r="AB136" s="75">
        <v>0.44</v>
      </c>
      <c r="AD136" s="75">
        <v>3</v>
      </c>
      <c r="AE136" s="75" t="s">
        <v>2772</v>
      </c>
      <c r="AF136" s="75" t="s">
        <v>2772</v>
      </c>
      <c r="AG136" s="75" t="s">
        <v>2772</v>
      </c>
      <c r="AH136" s="75" t="s">
        <v>2772</v>
      </c>
      <c r="AI136" s="75" t="s">
        <v>2772</v>
      </c>
      <c r="AJ136" s="75" t="s">
        <v>2772</v>
      </c>
      <c r="AK136" s="75" t="s">
        <v>2772</v>
      </c>
      <c r="AL136" s="75" t="s">
        <v>2772</v>
      </c>
      <c r="AM136" s="75" t="s">
        <v>2772</v>
      </c>
      <c r="AN136" s="75" t="s">
        <v>2772</v>
      </c>
      <c r="AO136" s="78" t="str">
        <f>HYPERLINK(".\links\AAM-CEMENT-2018\EEC13528.1-AAM-CEMENT-2018.txt","Extracted CDS")</f>
        <v>Extracted CDS</v>
      </c>
      <c r="AP136" s="75" t="str">
        <f>HYPERLINK("http://www.ncbi.nlm.nih.gov/sutils/blink.cgi?pid=Aam-178397","6E-14")</f>
        <v>6E-14</v>
      </c>
      <c r="AQ136" s="75" t="str">
        <f>HYPERLINK("http://www.ncbi.nlm.nih.gov/protein/Aam-178397","Aam-178397")</f>
        <v>Aam-178397</v>
      </c>
      <c r="AR136" s="75">
        <v>58.9</v>
      </c>
      <c r="AS136" s="75">
        <v>106</v>
      </c>
      <c r="AT136" s="75">
        <v>211</v>
      </c>
      <c r="AU136" s="75">
        <v>31</v>
      </c>
      <c r="AV136" s="75">
        <v>48</v>
      </c>
      <c r="AW136" s="75">
        <v>50</v>
      </c>
      <c r="AX136" s="75">
        <v>73</v>
      </c>
      <c r="AY136" s="75">
        <v>2</v>
      </c>
      <c r="AZ136" s="75">
        <v>3</v>
      </c>
      <c r="BA136" s="75">
        <v>9</v>
      </c>
      <c r="BB136" s="75">
        <v>1</v>
      </c>
      <c r="BC136" s="75" t="s">
        <v>2775</v>
      </c>
      <c r="BD136" s="78" t="str">
        <f>HYPERLINK(".\links\CDD\EEC13528.1-CDD.txt","Cloacin Colicin-like bacteriocin tRNase domain")</f>
        <v>Cloacin Colicin-like bacteriocin tRNase domain</v>
      </c>
      <c r="BE136" s="75">
        <v>0.27</v>
      </c>
      <c r="BF136" s="75">
        <v>18.7</v>
      </c>
      <c r="BG136" s="75" t="s">
        <v>3678</v>
      </c>
      <c r="BH136" s="75" t="s">
        <v>3679</v>
      </c>
      <c r="BI136" s="75" t="str">
        <f>HYPERLINK(".\links\KOG\EEC13528.1-KOG.txt","CDD:226263 COG3740, COG3740, Phage head maturation protease")</f>
        <v>CDD:226263 COG3740, COG3740, Phage head maturation protease</v>
      </c>
      <c r="BJ136" s="75">
        <v>9.7000000000000003E-2</v>
      </c>
      <c r="BK136" s="75">
        <v>36.6</v>
      </c>
      <c r="BL136" s="75" t="s">
        <v>3680</v>
      </c>
      <c r="BM136" s="75" t="s">
        <v>2779</v>
      </c>
      <c r="BN136" s="78" t="str">
        <f>HYPERLINK(".\links\PFAM\EEC13528.1-PFAM.txt","Cloacin Colicin-like bacteriocin tRNase domain")</f>
        <v>Cloacin Colicin-like bacteriocin tRNase domain</v>
      </c>
      <c r="BO136" s="75">
        <v>6.3E-2</v>
      </c>
      <c r="BP136" s="75">
        <v>18.7</v>
      </c>
      <c r="BQ136" s="75" t="s">
        <v>3678</v>
      </c>
      <c r="BR136" s="75" t="s">
        <v>2772</v>
      </c>
      <c r="BS136" s="78" t="str">
        <f>HYPERLINK(".\links\SMART\EEC13528.1-SMART.txt","CDD:214707 smart00518, AP2Ec, AP endonuclease family 2")</f>
        <v>CDD:214707 smart00518, AP2Ec, AP endonuclease family 2</v>
      </c>
      <c r="BT136" s="75">
        <v>0.94</v>
      </c>
      <c r="BU136" s="75">
        <v>4.8</v>
      </c>
      <c r="BV136" s="75" t="s">
        <v>3681</v>
      </c>
      <c r="BW136" s="75" t="s">
        <v>2772</v>
      </c>
      <c r="BX136" s="78" t="str">
        <f>HYPERLINK(".\links\TSF\EEC13528.1-TSF.txt","55-324 55-324, Cytotoxin||S|")</f>
        <v>55-324 55-324, Cytotoxin||S|</v>
      </c>
      <c r="BY136" s="79">
        <v>1E-56</v>
      </c>
      <c r="BZ136" s="75">
        <v>51.8</v>
      </c>
      <c r="CA136" s="75" t="s">
        <v>3641</v>
      </c>
      <c r="CB136" s="75" t="s">
        <v>2962</v>
      </c>
      <c r="CC136" s="75" t="s">
        <v>2772</v>
      </c>
      <c r="CD136" s="75" t="s">
        <v>2785</v>
      </c>
      <c r="CE136" s="75" t="s">
        <v>3642</v>
      </c>
      <c r="CF136" s="75">
        <v>52</v>
      </c>
      <c r="CG136" s="75">
        <v>1</v>
      </c>
      <c r="CH136" s="75">
        <v>60</v>
      </c>
      <c r="CI136" s="75">
        <v>1</v>
      </c>
      <c r="CJ136" s="75">
        <v>61</v>
      </c>
      <c r="CK136" s="75">
        <v>1</v>
      </c>
      <c r="CL136" s="75">
        <v>65</v>
      </c>
      <c r="CM136" s="75">
        <v>1</v>
      </c>
      <c r="CN136" s="75">
        <v>69</v>
      </c>
      <c r="CO136" s="75">
        <v>1</v>
      </c>
      <c r="CP136" s="75">
        <v>71</v>
      </c>
      <c r="CQ136" s="75">
        <v>1</v>
      </c>
      <c r="CR136" s="75">
        <v>72</v>
      </c>
      <c r="CS136" s="75">
        <v>1</v>
      </c>
      <c r="CT136" s="75">
        <v>76</v>
      </c>
      <c r="CU136" s="75">
        <v>1</v>
      </c>
      <c r="CV136" s="75">
        <v>79</v>
      </c>
      <c r="CW136" s="75">
        <v>1</v>
      </c>
      <c r="CX136" s="75">
        <v>83</v>
      </c>
      <c r="CY136" s="75">
        <v>1</v>
      </c>
      <c r="CZ136" s="75">
        <v>85</v>
      </c>
      <c r="DA136" s="75">
        <v>1</v>
      </c>
      <c r="DB136" s="75">
        <v>91</v>
      </c>
      <c r="DC136" s="75">
        <v>1</v>
      </c>
      <c r="DD136" s="75">
        <v>94</v>
      </c>
      <c r="DE136" s="75">
        <v>1</v>
      </c>
      <c r="DF136" s="75">
        <v>96</v>
      </c>
      <c r="DG136" s="75">
        <v>1</v>
      </c>
      <c r="DH136" s="75">
        <v>97</v>
      </c>
      <c r="DI136" s="75">
        <v>1</v>
      </c>
      <c r="DJ136" s="75" t="s">
        <v>239</v>
      </c>
      <c r="DK136" s="75" t="str">
        <f>HYPERLINK(".\links\AAM-CEMENT-2018\EEC13528.1-AAM-CEMENT-2018.txt","Extracted CDS")</f>
        <v>Extracted CDS</v>
      </c>
      <c r="DL136" s="75" t="str">
        <f>HYPERLINK("http://www.ncbi.nlm.nih.gov/sutils/blink.cgi?pid=Aam-178397","6E-14")</f>
        <v>6E-14</v>
      </c>
      <c r="DM136" s="75" t="str">
        <f>HYPERLINK("http://www.ncbi.nlm.nih.gov/protein/Aam-178397","Aam-178397")</f>
        <v>Aam-178397</v>
      </c>
      <c r="DN136" s="75">
        <v>58.9</v>
      </c>
      <c r="DO136" s="75">
        <v>106</v>
      </c>
      <c r="DP136" s="75">
        <v>211</v>
      </c>
      <c r="DQ136" s="75">
        <v>31</v>
      </c>
      <c r="DR136" s="75">
        <v>48</v>
      </c>
      <c r="DS136" s="75">
        <v>50</v>
      </c>
      <c r="DT136" s="75">
        <v>73</v>
      </c>
      <c r="DU136" s="75">
        <v>2</v>
      </c>
      <c r="DV136" s="75">
        <v>3</v>
      </c>
      <c r="DW136" s="75">
        <v>9</v>
      </c>
      <c r="DX136" s="75">
        <v>1</v>
      </c>
      <c r="DY136" s="75" t="s">
        <v>2775</v>
      </c>
      <c r="DZ136" s="75" t="str">
        <f>HYPERLINK(".\links\CDD\EEC13528.1-CDD.txt","Cloacin Colicin-like bacteriocin tRNase domain")</f>
        <v>Cloacin Colicin-like bacteriocin tRNase domain</v>
      </c>
      <c r="EA136" s="75">
        <v>0.27</v>
      </c>
      <c r="EB136" s="75">
        <v>18.7</v>
      </c>
      <c r="EC136" s="75" t="s">
        <v>3678</v>
      </c>
      <c r="ED136" s="75" t="s">
        <v>3679</v>
      </c>
      <c r="EE136" s="75" t="str">
        <f>HYPERLINK(".\links\KOG\EEC13528.1-KOG.txt","CDD:226263 COG3740, COG3740, Phage head maturation protease")</f>
        <v>CDD:226263 COG3740, COG3740, Phage head maturation protease</v>
      </c>
      <c r="EF136" s="75">
        <v>9.7000000000000003E-2</v>
      </c>
      <c r="EG136" s="75">
        <v>36.6</v>
      </c>
      <c r="EH136" s="75" t="s">
        <v>3680</v>
      </c>
      <c r="EI136" s="75" t="s">
        <v>2779</v>
      </c>
      <c r="EJ136" s="75" t="str">
        <f>HYPERLINK(".\links\PFAM\EEC13528.1-PFAM.txt","Cloacin Colicin-like bacteriocin tRNase domain")</f>
        <v>Cloacin Colicin-like bacteriocin tRNase domain</v>
      </c>
      <c r="EK136" s="75">
        <v>6.3E-2</v>
      </c>
      <c r="EL136" s="75">
        <v>18.7</v>
      </c>
      <c r="EM136" s="75" t="s">
        <v>3678</v>
      </c>
      <c r="EN136" s="75" t="s">
        <v>2772</v>
      </c>
      <c r="EO136" s="75" t="str">
        <f>HYPERLINK(".\links\SMART\EEC13528.1-SMART.txt","CDD:214707 smart00518, AP2Ec, AP endonuclease family 2")</f>
        <v>CDD:214707 smart00518, AP2Ec, AP endonuclease family 2</v>
      </c>
      <c r="EP136" s="75">
        <v>0.94</v>
      </c>
      <c r="EQ136" s="75">
        <v>4.8</v>
      </c>
      <c r="ER136" s="75" t="s">
        <v>3681</v>
      </c>
      <c r="ES136" s="75" t="s">
        <v>2772</v>
      </c>
      <c r="ET136" s="75" t="str">
        <f>HYPERLINK(".\links\TSF\EEC13528.1-TSF.txt","55-324 55-324, Cytotoxin||S|")</f>
        <v>55-324 55-324, Cytotoxin||S|</v>
      </c>
      <c r="EU136" s="79">
        <v>1E-56</v>
      </c>
      <c r="EV136" s="75">
        <v>51.8</v>
      </c>
      <c r="EW136" s="75" t="s">
        <v>3641</v>
      </c>
      <c r="EX136" s="75" t="s">
        <v>2962</v>
      </c>
      <c r="EY136" s="75" t="s">
        <v>2772</v>
      </c>
      <c r="EZ136" s="75" t="s">
        <v>2785</v>
      </c>
      <c r="FA136" s="75" t="s">
        <v>3642</v>
      </c>
    </row>
    <row r="137" spans="1:157" x14ac:dyDescent="0.2">
      <c r="A137" s="75" t="str">
        <f>HYPERLINK(".\links\PEP\AAY66525.1-PEP.txt","AAY66525.1")</f>
        <v>AAY66525.1</v>
      </c>
      <c r="B137" s="75" t="s">
        <v>2768</v>
      </c>
      <c r="C137" s="75">
        <v>178</v>
      </c>
      <c r="D137" s="75" t="s">
        <v>3682</v>
      </c>
      <c r="E137" s="76" t="s">
        <v>54</v>
      </c>
      <c r="F137" s="75" t="s">
        <v>2771</v>
      </c>
      <c r="G137" s="75" t="str">
        <f>HYPERLINK(".\links\Sigp\AAY66525.1-SigP.txt","SIG")</f>
        <v>SIG</v>
      </c>
      <c r="H137" s="75" t="s">
        <v>2813</v>
      </c>
      <c r="I137" s="75">
        <v>20.251000000000001</v>
      </c>
      <c r="J137" s="75">
        <v>4.91</v>
      </c>
      <c r="K137" s="75">
        <v>18.190000000000001</v>
      </c>
      <c r="L137" s="75">
        <v>4.82</v>
      </c>
      <c r="M137" s="75" t="str">
        <f>HYPERLINK(".\links\netoglyc\AAY66525.1-netoglyc.txt","0")</f>
        <v>0</v>
      </c>
      <c r="N137" s="75" t="s">
        <v>3621</v>
      </c>
      <c r="O137" s="75">
        <v>178</v>
      </c>
      <c r="P137" s="75">
        <v>0</v>
      </c>
      <c r="Q137" s="75" t="s">
        <v>2772</v>
      </c>
      <c r="R137" s="75" t="s">
        <v>2772</v>
      </c>
      <c r="S137" s="75" t="s">
        <v>2772</v>
      </c>
      <c r="T137" s="75" t="s">
        <v>2772</v>
      </c>
      <c r="U137" s="75" t="s">
        <v>2772</v>
      </c>
      <c r="V137" s="75" t="s">
        <v>2772</v>
      </c>
      <c r="W137" s="75">
        <v>8.8000000000000007</v>
      </c>
      <c r="X137" s="75">
        <v>9.3000000000000007</v>
      </c>
      <c r="Y137" s="75">
        <v>6</v>
      </c>
      <c r="Z137" s="75" t="s">
        <v>2774</v>
      </c>
      <c r="AA137" s="77">
        <v>15.730337078651701</v>
      </c>
      <c r="AB137" s="75">
        <v>0.38</v>
      </c>
      <c r="AC137" s="75" t="s">
        <v>3683</v>
      </c>
      <c r="AD137" s="75">
        <v>13</v>
      </c>
      <c r="AE137" s="75" t="str">
        <f>HYPERLINK(".\links\pep\AAY66525.1-sulf.txt","3")</f>
        <v>3</v>
      </c>
      <c r="AF137" s="75" t="str">
        <f>HYPERLINK(".\links\pep\AAY66525.1-tyr-sulf.txt","Fasta with y")</f>
        <v>Fasta with y</v>
      </c>
      <c r="AG137" s="75" t="s">
        <v>2772</v>
      </c>
      <c r="AH137" s="75" t="s">
        <v>2772</v>
      </c>
      <c r="AI137" s="75" t="s">
        <v>2772</v>
      </c>
      <c r="AJ137" s="75" t="s">
        <v>2772</v>
      </c>
      <c r="AK137" s="75" t="s">
        <v>2772</v>
      </c>
      <c r="AL137" s="75" t="s">
        <v>2772</v>
      </c>
      <c r="AM137" s="75" t="s">
        <v>2772</v>
      </c>
      <c r="AN137" s="75" t="s">
        <v>2772</v>
      </c>
      <c r="AO137" s="78" t="str">
        <f>HYPERLINK(".\links\AAM-CEMENT-2018\AAY66525.1-AAM-CEMENT-2018.txt","Extracted CDS")</f>
        <v>Extracted CDS</v>
      </c>
      <c r="AP137" s="75" t="str">
        <f>HYPERLINK("http://www.ncbi.nlm.nih.gov/sutils/blink.cgi?pid=Aam-176065","7.5")</f>
        <v>7.5</v>
      </c>
      <c r="AQ137" s="75" t="str">
        <f>HYPERLINK("http://www.ncbi.nlm.nih.gov/protein/Aam-176065","Aam-176065")</f>
        <v>Aam-176065</v>
      </c>
      <c r="AR137" s="75">
        <v>19.2</v>
      </c>
      <c r="AS137" s="75">
        <v>43</v>
      </c>
      <c r="AT137" s="75">
        <v>106</v>
      </c>
      <c r="AU137" s="75">
        <v>30</v>
      </c>
      <c r="AV137" s="75">
        <v>37</v>
      </c>
      <c r="AW137" s="75">
        <v>41</v>
      </c>
      <c r="AX137" s="75">
        <v>30</v>
      </c>
      <c r="AY137" s="75">
        <v>10</v>
      </c>
      <c r="AZ137" s="75">
        <v>13</v>
      </c>
      <c r="BA137" s="75">
        <v>5</v>
      </c>
      <c r="BB137" s="75">
        <v>1</v>
      </c>
      <c r="BC137" s="75" t="s">
        <v>2775</v>
      </c>
      <c r="BD137" s="78" t="str">
        <f>HYPERLINK(".\links\CDD\AAY66525.1-CDD.txt","PRK15304 putative fimbrial outer membrane usher protein")</f>
        <v>PRK15304 putative fimbrial outer membrane usher protein</v>
      </c>
      <c r="BE137" s="75">
        <v>2.4</v>
      </c>
      <c r="BF137" s="75">
        <v>4.7</v>
      </c>
      <c r="BG137" s="75" t="s">
        <v>3684</v>
      </c>
      <c r="BH137" s="75" t="s">
        <v>3685</v>
      </c>
      <c r="BI137" s="75" t="str">
        <f>HYPERLINK(".\links\KOG\AAY66525.1-KOG.txt","CDD:227481 COG5152, COG5152, Uncharacterized conserved protein, contains RING and CCCH-type Zn-fingers")</f>
        <v>CDD:227481 COG5152, COG5152, Uncharacterized conserved protein, contains RING and CCCH-type Zn-fingers</v>
      </c>
      <c r="BJ137" s="75">
        <v>1.4</v>
      </c>
      <c r="BK137" s="75">
        <v>9.3000000000000007</v>
      </c>
      <c r="BL137" s="75" t="s">
        <v>3686</v>
      </c>
      <c r="BM137" s="75" t="s">
        <v>2779</v>
      </c>
      <c r="BN137" s="78" t="str">
        <f>HYPERLINK(".\links\PFAM\AAY66525.1-PFAM.txt","BBP2_2 Putative beta-barrel porin 2")</f>
        <v>BBP2_2 Putative beta-barrel porin 2</v>
      </c>
      <c r="BO137" s="75">
        <v>2.4</v>
      </c>
      <c r="BP137" s="75">
        <v>3.7</v>
      </c>
      <c r="BQ137" s="75" t="s">
        <v>3687</v>
      </c>
      <c r="BR137" s="75" t="s">
        <v>2772</v>
      </c>
      <c r="BS137" s="78" t="str">
        <f>HYPERLINK(".\links\SMART\AAY66525.1-SMART.txt","CDD:214665 smart00442, FGF, Acidic and basic fibroblast growth factor family")</f>
        <v>CDD:214665 smart00442, FGF, Acidic and basic fibroblast growth factor family</v>
      </c>
      <c r="BT137" s="75">
        <v>2.1</v>
      </c>
      <c r="BU137" s="75">
        <v>21.4</v>
      </c>
      <c r="BV137" s="75" t="s">
        <v>3688</v>
      </c>
      <c r="BW137" s="75" t="s">
        <v>2772</v>
      </c>
      <c r="BX137" s="78" t="str">
        <f>HYPERLINK(".\links\TSF\AAY66525.1-TSF.txt","40-77 40-77, BTSP||S|")</f>
        <v>40-77 40-77, BTSP||S|</v>
      </c>
      <c r="BY137" s="79">
        <v>2.9999999999999999E-75</v>
      </c>
      <c r="BZ137" s="75">
        <v>101.7</v>
      </c>
      <c r="CA137" s="75" t="s">
        <v>3626</v>
      </c>
      <c r="CB137" s="75" t="s">
        <v>3057</v>
      </c>
      <c r="CC137" s="75" t="s">
        <v>2772</v>
      </c>
      <c r="CD137" s="75" t="s">
        <v>2785</v>
      </c>
      <c r="CE137" s="75" t="s">
        <v>3627</v>
      </c>
      <c r="CF137" s="75">
        <f>HYPERLINK(".\links\cluster-b\Ixsc-cement-202225-50SimCLU6.txt", 6)</f>
        <v>6</v>
      </c>
      <c r="CG137" s="75">
        <f>HYPERLINK(".\links\cluster-b\Ixsc-cement-202225-50SimCLTL6.txt", 4)</f>
        <v>4</v>
      </c>
      <c r="CH137" s="75">
        <f>HYPERLINK(".\links\cluster-b\Ixsc-cement-202230-50SimCLU5.txt", 5)</f>
        <v>5</v>
      </c>
      <c r="CI137" s="75">
        <f>HYPERLINK(".\links\cluster-b\Ixsc-cement-202230-50SimCLTL5.txt", 4)</f>
        <v>4</v>
      </c>
      <c r="CJ137" s="75">
        <f>HYPERLINK(".\links\cluster-b\Ixsc-cement-202235-50SimCLU5.txt", 5)</f>
        <v>5</v>
      </c>
      <c r="CK137" s="75">
        <f>HYPERLINK(".\links\cluster-b\Ixsc-cement-202235-50SimCLTL5.txt", 4)</f>
        <v>4</v>
      </c>
      <c r="CL137" s="75">
        <f>HYPERLINK(".\links\cluster-b\Ixsc-cement-202240-50SimCLU5.txt", 5)</f>
        <v>5</v>
      </c>
      <c r="CM137" s="75">
        <f>HYPERLINK(".\links\cluster-b\Ixsc-cement-202240-50SimCLTL5.txt", 4)</f>
        <v>4</v>
      </c>
      <c r="CN137" s="75">
        <f>HYPERLINK(".\links\cluster-b\Ixsc-cement-202245-50SimCLU5.txt", 5)</f>
        <v>5</v>
      </c>
      <c r="CO137" s="75">
        <f>HYPERLINK(".\links\cluster-b\Ixsc-cement-202245-50SimCLTL5.txt", 4)</f>
        <v>4</v>
      </c>
      <c r="CP137" s="75">
        <f>HYPERLINK(".\links\cluster-b\Ixsc-cement-202250-50SimCLU5.txt", 5)</f>
        <v>5</v>
      </c>
      <c r="CQ137" s="75">
        <f>HYPERLINK(".\links\cluster-b\Ixsc-cement-202250-50SimCLTL5.txt", 4)</f>
        <v>4</v>
      </c>
      <c r="CR137" s="75">
        <f>HYPERLINK(".\links\cluster-b\Ixsc-cement-202255-50SimCLU5.txt", 5)</f>
        <v>5</v>
      </c>
      <c r="CS137" s="75">
        <f>HYPERLINK(".\links\cluster-b\Ixsc-cement-202255-50SimCLTL5.txt", 4)</f>
        <v>4</v>
      </c>
      <c r="CT137" s="75">
        <f>HYPERLINK(".\links\cluster-b\Ixsc-cement-202260-50SimCLU9.txt", 9)</f>
        <v>9</v>
      </c>
      <c r="CU137" s="75">
        <f>HYPERLINK(".\links\cluster-b\Ixsc-cement-202260-50SimCLTL9.txt", 2)</f>
        <v>2</v>
      </c>
      <c r="CV137" s="75">
        <v>21</v>
      </c>
      <c r="CW137" s="75">
        <v>1</v>
      </c>
      <c r="CX137" s="75">
        <v>20</v>
      </c>
      <c r="CY137" s="75">
        <v>1</v>
      </c>
      <c r="CZ137" s="75">
        <v>19</v>
      </c>
      <c r="DA137" s="75">
        <v>1</v>
      </c>
      <c r="DB137" s="75">
        <v>17</v>
      </c>
      <c r="DC137" s="75">
        <v>1</v>
      </c>
      <c r="DD137" s="75">
        <v>15</v>
      </c>
      <c r="DE137" s="75">
        <v>1</v>
      </c>
      <c r="DF137" s="75">
        <v>14</v>
      </c>
      <c r="DG137" s="75">
        <v>1</v>
      </c>
      <c r="DH137" s="75">
        <v>13</v>
      </c>
      <c r="DI137" s="75">
        <v>1</v>
      </c>
      <c r="DJ137" s="75" t="s">
        <v>21</v>
      </c>
      <c r="DK137" s="75" t="str">
        <f>HYPERLINK(".\links\AAM-CEMENT-2018\AAY66525.1-AAM-CEMENT-2018.txt","Extracted CDS")</f>
        <v>Extracted CDS</v>
      </c>
      <c r="DL137" s="75" t="str">
        <f>HYPERLINK("http://www.ncbi.nlm.nih.gov/sutils/blink.cgi?pid=Aam-176065","7.5")</f>
        <v>7.5</v>
      </c>
      <c r="DM137" s="75" t="str">
        <f>HYPERLINK("http://www.ncbi.nlm.nih.gov/protein/Aam-176065","Aam-176065")</f>
        <v>Aam-176065</v>
      </c>
      <c r="DN137" s="75">
        <v>19.2</v>
      </c>
      <c r="DO137" s="75">
        <v>43</v>
      </c>
      <c r="DP137" s="75">
        <v>106</v>
      </c>
      <c r="DQ137" s="75">
        <v>30</v>
      </c>
      <c r="DR137" s="75">
        <v>37</v>
      </c>
      <c r="DS137" s="75">
        <v>41</v>
      </c>
      <c r="DT137" s="75">
        <v>30</v>
      </c>
      <c r="DU137" s="75">
        <v>10</v>
      </c>
      <c r="DV137" s="75">
        <v>13</v>
      </c>
      <c r="DW137" s="75">
        <v>5</v>
      </c>
      <c r="DX137" s="75">
        <v>1</v>
      </c>
      <c r="DY137" s="75" t="s">
        <v>2775</v>
      </c>
      <c r="DZ137" s="75" t="str">
        <f>HYPERLINK(".\links\CDD\AAY66525.1-CDD.txt","PRK15304 putative fimbrial outer membrane usher protein")</f>
        <v>PRK15304 putative fimbrial outer membrane usher protein</v>
      </c>
      <c r="EA137" s="75">
        <v>2.4</v>
      </c>
      <c r="EB137" s="75">
        <v>4.7</v>
      </c>
      <c r="EC137" s="75" t="s">
        <v>3684</v>
      </c>
      <c r="ED137" s="75" t="s">
        <v>3685</v>
      </c>
      <c r="EE137" s="75" t="str">
        <f>HYPERLINK(".\links\KOG\AAY66525.1-KOG.txt","CDD:227481 COG5152, COG5152, Uncharacterized conserved protein, contains RING and CCCH-type Zn-fingers")</f>
        <v>CDD:227481 COG5152, COG5152, Uncharacterized conserved protein, contains RING and CCCH-type Zn-fingers</v>
      </c>
      <c r="EF137" s="75">
        <v>1.4</v>
      </c>
      <c r="EG137" s="75">
        <v>9.3000000000000007</v>
      </c>
      <c r="EH137" s="75" t="s">
        <v>3686</v>
      </c>
      <c r="EI137" s="75" t="s">
        <v>2779</v>
      </c>
      <c r="EJ137" s="75" t="str">
        <f>HYPERLINK(".\links\PFAM\AAY66525.1-PFAM.txt","BBP2_2 Putative beta-barrel porin 2")</f>
        <v>BBP2_2 Putative beta-barrel porin 2</v>
      </c>
      <c r="EK137" s="75">
        <v>2.4</v>
      </c>
      <c r="EL137" s="75">
        <v>3.7</v>
      </c>
      <c r="EM137" s="75" t="s">
        <v>3687</v>
      </c>
      <c r="EN137" s="75" t="s">
        <v>2772</v>
      </c>
      <c r="EO137" s="75" t="str">
        <f>HYPERLINK(".\links\SMART\AAY66525.1-SMART.txt","CDD:214665 smart00442, FGF, Acidic and basic fibroblast growth factor family")</f>
        <v>CDD:214665 smart00442, FGF, Acidic and basic fibroblast growth factor family</v>
      </c>
      <c r="EP137" s="75">
        <v>2.1</v>
      </c>
      <c r="EQ137" s="75">
        <v>21.4</v>
      </c>
      <c r="ER137" s="75" t="s">
        <v>3688</v>
      </c>
      <c r="ES137" s="75" t="s">
        <v>2772</v>
      </c>
      <c r="ET137" s="75" t="str">
        <f>HYPERLINK(".\links\TSF\AAY66525.1-TSF.txt","40-77 40-77, BTSP||S|")</f>
        <v>40-77 40-77, BTSP||S|</v>
      </c>
      <c r="EU137" s="79">
        <v>2.9999999999999999E-75</v>
      </c>
      <c r="EV137" s="75">
        <v>101.7</v>
      </c>
      <c r="EW137" s="75" t="s">
        <v>3626</v>
      </c>
      <c r="EX137" s="75" t="s">
        <v>3057</v>
      </c>
      <c r="EY137" s="75" t="s">
        <v>2772</v>
      </c>
      <c r="EZ137" s="75" t="s">
        <v>2785</v>
      </c>
      <c r="FA137" s="75" t="s">
        <v>3627</v>
      </c>
    </row>
    <row r="138" spans="1:157" x14ac:dyDescent="0.2">
      <c r="A138" s="75" t="str">
        <f>HYPERLINK(".\links\PEP\EEC03436.1-PEP.txt","EEC03436.1")</f>
        <v>EEC03436.1</v>
      </c>
      <c r="B138" s="75" t="s">
        <v>2598</v>
      </c>
      <c r="C138" s="75">
        <v>208</v>
      </c>
      <c r="D138" s="75" t="s">
        <v>3689</v>
      </c>
      <c r="E138" s="76" t="s">
        <v>54</v>
      </c>
      <c r="F138" s="75" t="s">
        <v>2771</v>
      </c>
      <c r="G138" s="75" t="str">
        <f>HYPERLINK(".\links\Sigp\EEC03436.1-SigP.txt","CYT")</f>
        <v>CYT</v>
      </c>
      <c r="H138" s="75" t="s">
        <v>2772</v>
      </c>
      <c r="I138" s="75">
        <v>22.934999999999999</v>
      </c>
      <c r="J138" s="75">
        <v>8.6199999999999992</v>
      </c>
      <c r="K138" s="75" t="s">
        <v>2772</v>
      </c>
      <c r="L138" s="75" t="s">
        <v>2772</v>
      </c>
      <c r="M138" s="75" t="str">
        <f>HYPERLINK(".\links\netoglyc\EEC03436.1-netoglyc.txt","0")</f>
        <v>0</v>
      </c>
      <c r="N138" s="75" t="s">
        <v>3690</v>
      </c>
      <c r="O138" s="75">
        <v>208</v>
      </c>
      <c r="P138" s="75">
        <v>0</v>
      </c>
      <c r="Q138" s="75" t="s">
        <v>2772</v>
      </c>
      <c r="R138" s="75" t="s">
        <v>2772</v>
      </c>
      <c r="S138" s="75" t="s">
        <v>2772</v>
      </c>
      <c r="T138" s="75" t="s">
        <v>2772</v>
      </c>
      <c r="U138" s="75" t="s">
        <v>2772</v>
      </c>
      <c r="V138" s="75" t="s">
        <v>3691</v>
      </c>
      <c r="W138" s="75">
        <v>13.2</v>
      </c>
      <c r="X138" s="75">
        <v>6.1</v>
      </c>
      <c r="Y138" s="75">
        <v>4.7</v>
      </c>
      <c r="Z138" s="75" t="s">
        <v>2774</v>
      </c>
      <c r="AA138" s="77">
        <v>11.057692307692299</v>
      </c>
      <c r="AB138" s="75">
        <v>0.37</v>
      </c>
      <c r="AD138" s="75">
        <v>9</v>
      </c>
      <c r="AE138" s="75" t="s">
        <v>2772</v>
      </c>
      <c r="AF138" s="75" t="s">
        <v>2772</v>
      </c>
      <c r="AG138" s="75" t="s">
        <v>2772</v>
      </c>
      <c r="AH138" s="75" t="s">
        <v>2772</v>
      </c>
      <c r="AI138" s="75">
        <v>1</v>
      </c>
      <c r="AJ138" s="75">
        <v>2</v>
      </c>
      <c r="AK138" s="75" t="s">
        <v>2772</v>
      </c>
      <c r="AL138" s="75" t="s">
        <v>2772</v>
      </c>
      <c r="AM138" s="75" t="s">
        <v>2772</v>
      </c>
      <c r="AN138" s="75" t="s">
        <v>2772</v>
      </c>
      <c r="AO138" s="78" t="str">
        <f>HYPERLINK(".\links\AAM-CEMENT-2018\EEC03436.1-AAM-CEMENT-2018.txt","Extracted CDS")</f>
        <v>Extracted CDS</v>
      </c>
      <c r="AP138" s="75" t="str">
        <f>HYPERLINK("http://www.ncbi.nlm.nih.gov/sutils/blink.cgi?pid=Aam-532","0.86")</f>
        <v>0.86</v>
      </c>
      <c r="AQ138" s="75" t="str">
        <f>HYPERLINK("http://www.ncbi.nlm.nih.gov/protein/Aam-532","Aam-532")</f>
        <v>Aam-532</v>
      </c>
      <c r="AR138" s="75">
        <v>23.1</v>
      </c>
      <c r="AS138" s="75">
        <v>62</v>
      </c>
      <c r="AT138" s="75">
        <v>555</v>
      </c>
      <c r="AU138" s="75">
        <v>24</v>
      </c>
      <c r="AV138" s="75">
        <v>45</v>
      </c>
      <c r="AW138" s="75">
        <v>11</v>
      </c>
      <c r="AX138" s="75">
        <v>47</v>
      </c>
      <c r="AY138" s="75">
        <v>0</v>
      </c>
      <c r="AZ138" s="75">
        <v>473</v>
      </c>
      <c r="BA138" s="75">
        <v>34</v>
      </c>
      <c r="BB138" s="75">
        <v>1</v>
      </c>
      <c r="BC138" s="75" t="s">
        <v>2775</v>
      </c>
      <c r="BD138" s="78" t="str">
        <f>HYPERLINK(".\links\CDD\EEC03436.1-CDD.txt","SAM_Samd3 SAM domain of Samd3 subfamily")</f>
        <v>SAM_Samd3 SAM domain of Samd3 subfamily</v>
      </c>
      <c r="BE138" s="75">
        <v>1.2</v>
      </c>
      <c r="BF138" s="75">
        <v>84.8</v>
      </c>
      <c r="BG138" s="75" t="s">
        <v>3692</v>
      </c>
      <c r="BH138" s="75" t="s">
        <v>3693</v>
      </c>
      <c r="BI138" s="75" t="str">
        <f>HYPERLINK(".\links\KOG\EEC03436.1-KOG.txt","CDD:223231 COG0153, GalK, Galactokinase")</f>
        <v>CDD:223231 COG0153, GalK, Galactokinase</v>
      </c>
      <c r="BJ138" s="75">
        <v>0.39</v>
      </c>
      <c r="BK138" s="75">
        <v>6.2</v>
      </c>
      <c r="BL138" s="75" t="s">
        <v>3694</v>
      </c>
      <c r="BM138" s="75" t="s">
        <v>2779</v>
      </c>
      <c r="BN138" s="78" t="str">
        <f>HYPERLINK(".\links\PFAM\EEC03436.1-PFAM.txt","Pho86 Inorganic phosphate transporter Pho86")</f>
        <v>Pho86 Inorganic phosphate transporter Pho86</v>
      </c>
      <c r="BO138" s="75">
        <v>0.38</v>
      </c>
      <c r="BP138" s="75">
        <v>8.8000000000000007</v>
      </c>
      <c r="BQ138" s="75" t="s">
        <v>3695</v>
      </c>
      <c r="BR138" s="75" t="s">
        <v>2772</v>
      </c>
      <c r="BS138" s="78" t="str">
        <f>HYPERLINK(".\links\SMART\EEC03436.1-SMART.txt","CDD:214491 smart00052, EAL, Putative diguanylate phosphodiesterase")</f>
        <v>CDD:214491 smart00052, EAL, Putative diguanylate phosphodiesterase</v>
      </c>
      <c r="BT138" s="75">
        <v>0.64</v>
      </c>
      <c r="BU138" s="75">
        <v>11.6</v>
      </c>
      <c r="BV138" s="75" t="s">
        <v>3696</v>
      </c>
      <c r="BW138" s="75" t="s">
        <v>2772</v>
      </c>
      <c r="BX138" s="78" t="str">
        <f>HYPERLINK(".\links\TSF\EEC03436.1-TSF.txt","50-31 50-31, Lipocalin | P32 antigen |S| ")</f>
        <v xml:space="preserve">50-31 50-31, Lipocalin | P32 antigen |S| </v>
      </c>
      <c r="BY138" s="75">
        <v>0.17</v>
      </c>
      <c r="BZ138" s="75">
        <v>4.8</v>
      </c>
      <c r="CA138" s="75" t="s">
        <v>3334</v>
      </c>
      <c r="CB138" s="75" t="s">
        <v>3335</v>
      </c>
      <c r="CC138" s="75" t="s">
        <v>3336</v>
      </c>
      <c r="CD138" s="75" t="s">
        <v>2785</v>
      </c>
      <c r="CE138" s="75" t="s">
        <v>3337</v>
      </c>
      <c r="CF138" s="75">
        <v>26</v>
      </c>
      <c r="CG138" s="75">
        <v>1</v>
      </c>
      <c r="CH138" s="75">
        <v>31</v>
      </c>
      <c r="CI138" s="75">
        <v>1</v>
      </c>
      <c r="CJ138" s="75">
        <v>31</v>
      </c>
      <c r="CK138" s="75">
        <v>1</v>
      </c>
      <c r="CL138" s="75">
        <v>33</v>
      </c>
      <c r="CM138" s="75">
        <v>1</v>
      </c>
      <c r="CN138" s="75">
        <v>32</v>
      </c>
      <c r="CO138" s="75">
        <v>1</v>
      </c>
      <c r="CP138" s="75">
        <v>33</v>
      </c>
      <c r="CQ138" s="75">
        <v>1</v>
      </c>
      <c r="CR138" s="75">
        <v>34</v>
      </c>
      <c r="CS138" s="75">
        <v>1</v>
      </c>
      <c r="CT138" s="75">
        <v>37</v>
      </c>
      <c r="CU138" s="75">
        <v>1</v>
      </c>
      <c r="CV138" s="75">
        <v>39</v>
      </c>
      <c r="CW138" s="75">
        <v>1</v>
      </c>
      <c r="CX138" s="75">
        <v>41</v>
      </c>
      <c r="CY138" s="75">
        <v>1</v>
      </c>
      <c r="CZ138" s="75">
        <v>42</v>
      </c>
      <c r="DA138" s="75">
        <v>1</v>
      </c>
      <c r="DB138" s="75">
        <v>42</v>
      </c>
      <c r="DC138" s="75">
        <v>1</v>
      </c>
      <c r="DD138" s="75">
        <v>40</v>
      </c>
      <c r="DE138" s="75">
        <v>1</v>
      </c>
      <c r="DF138" s="75">
        <v>39</v>
      </c>
      <c r="DG138" s="75">
        <v>1</v>
      </c>
      <c r="DH138" s="75">
        <v>40</v>
      </c>
      <c r="DI138" s="75">
        <v>1</v>
      </c>
      <c r="DJ138" s="75" t="s">
        <v>103</v>
      </c>
      <c r="DK138" s="75" t="str">
        <f>HYPERLINK(".\links\AAM-CEMENT-2018\EEC03436.1-AAM-CEMENT-2018.txt","Extracted CDS")</f>
        <v>Extracted CDS</v>
      </c>
      <c r="DL138" s="75" t="str">
        <f>HYPERLINK("http://www.ncbi.nlm.nih.gov/sutils/blink.cgi?pid=Aam-532","0.86")</f>
        <v>0.86</v>
      </c>
      <c r="DM138" s="75" t="str">
        <f>HYPERLINK("http://www.ncbi.nlm.nih.gov/protein/Aam-532","Aam-532")</f>
        <v>Aam-532</v>
      </c>
      <c r="DN138" s="75">
        <v>23.1</v>
      </c>
      <c r="DO138" s="75">
        <v>62</v>
      </c>
      <c r="DP138" s="75">
        <v>555</v>
      </c>
      <c r="DQ138" s="75">
        <v>24</v>
      </c>
      <c r="DR138" s="75">
        <v>45</v>
      </c>
      <c r="DS138" s="75">
        <v>11</v>
      </c>
      <c r="DT138" s="75">
        <v>47</v>
      </c>
      <c r="DU138" s="75">
        <v>0</v>
      </c>
      <c r="DV138" s="75">
        <v>473</v>
      </c>
      <c r="DW138" s="75">
        <v>34</v>
      </c>
      <c r="DX138" s="75">
        <v>1</v>
      </c>
      <c r="DY138" s="75" t="s">
        <v>2775</v>
      </c>
      <c r="DZ138" s="75" t="str">
        <f>HYPERLINK(".\links\CDD\EEC03436.1-CDD.txt","SAM_Samd3 SAM domain of Samd3 subfamily")</f>
        <v>SAM_Samd3 SAM domain of Samd3 subfamily</v>
      </c>
      <c r="EA138" s="75">
        <v>1.2</v>
      </c>
      <c r="EB138" s="75">
        <v>84.8</v>
      </c>
      <c r="EC138" s="75" t="s">
        <v>3692</v>
      </c>
      <c r="ED138" s="75" t="s">
        <v>3693</v>
      </c>
      <c r="EE138" s="75" t="str">
        <f>HYPERLINK(".\links\KOG\EEC03436.1-KOG.txt","CDD:223231 COG0153, GalK, Galactokinase")</f>
        <v>CDD:223231 COG0153, GalK, Galactokinase</v>
      </c>
      <c r="EF138" s="75">
        <v>0.39</v>
      </c>
      <c r="EG138" s="75">
        <v>6.2</v>
      </c>
      <c r="EH138" s="75" t="s">
        <v>3694</v>
      </c>
      <c r="EI138" s="75" t="s">
        <v>2779</v>
      </c>
      <c r="EJ138" s="75" t="str">
        <f>HYPERLINK(".\links\PFAM\EEC03436.1-PFAM.txt","Pho86 Inorganic phosphate transporter Pho86")</f>
        <v>Pho86 Inorganic phosphate transporter Pho86</v>
      </c>
      <c r="EK138" s="75">
        <v>0.38</v>
      </c>
      <c r="EL138" s="75">
        <v>8.8000000000000007</v>
      </c>
      <c r="EM138" s="75" t="s">
        <v>3695</v>
      </c>
      <c r="EN138" s="75" t="s">
        <v>2772</v>
      </c>
      <c r="EO138" s="75" t="str">
        <f>HYPERLINK(".\links\SMART\EEC03436.1-SMART.txt","CDD:214491 smart00052, EAL, Putative diguanylate phosphodiesterase")</f>
        <v>CDD:214491 smart00052, EAL, Putative diguanylate phosphodiesterase</v>
      </c>
      <c r="EP138" s="75">
        <v>0.64</v>
      </c>
      <c r="EQ138" s="75">
        <v>11.6</v>
      </c>
      <c r="ER138" s="75" t="s">
        <v>3696</v>
      </c>
      <c r="ES138" s="75" t="s">
        <v>2772</v>
      </c>
      <c r="ET138" s="75" t="str">
        <f>HYPERLINK(".\links\TSF\EEC03436.1-TSF.txt","50-31 50-31, Lipocalin | P32 antigen |S| ")</f>
        <v xml:space="preserve">50-31 50-31, Lipocalin | P32 antigen |S| </v>
      </c>
      <c r="EU138" s="75">
        <v>0.17</v>
      </c>
      <c r="EV138" s="75">
        <v>4.8</v>
      </c>
      <c r="EW138" s="75" t="s">
        <v>3334</v>
      </c>
      <c r="EX138" s="75" t="s">
        <v>3335</v>
      </c>
      <c r="EY138" s="75" t="s">
        <v>3336</v>
      </c>
      <c r="EZ138" s="75" t="s">
        <v>2785</v>
      </c>
      <c r="FA138" s="75" t="s">
        <v>3337</v>
      </c>
    </row>
    <row r="139" spans="1:157" x14ac:dyDescent="0.2">
      <c r="A139" s="75" t="str">
        <f>HYPERLINK(".\links\PEP\EEC03925.1-PEP.txt","EEC03925.1")</f>
        <v>EEC03925.1</v>
      </c>
      <c r="B139" s="75" t="s">
        <v>2768</v>
      </c>
      <c r="C139" s="75">
        <v>167</v>
      </c>
      <c r="D139" s="75" t="s">
        <v>3172</v>
      </c>
      <c r="E139" s="76" t="s">
        <v>54</v>
      </c>
      <c r="F139" s="75" t="s">
        <v>2771</v>
      </c>
      <c r="G139" s="75" t="str">
        <f>HYPERLINK(".\links\Sigp\EEC03925.1-SigP.txt","ANC")</f>
        <v>ANC</v>
      </c>
      <c r="H139" s="75" t="s">
        <v>2772</v>
      </c>
      <c r="I139" s="75">
        <v>18.744</v>
      </c>
      <c r="J139" s="75">
        <v>4.7300000000000004</v>
      </c>
      <c r="K139" s="75">
        <v>10.606999999999999</v>
      </c>
      <c r="L139" s="75">
        <v>4.2</v>
      </c>
      <c r="M139" s="75" t="str">
        <f>HYPERLINK(".\links\netoglyc\EEC03925.1-netoglyc.txt","0")</f>
        <v>0</v>
      </c>
      <c r="N139" s="75" t="s">
        <v>3697</v>
      </c>
      <c r="O139" s="75">
        <v>167</v>
      </c>
      <c r="P139" s="75">
        <v>0</v>
      </c>
      <c r="Q139" s="75" t="s">
        <v>2772</v>
      </c>
      <c r="R139" s="75" t="s">
        <v>2772</v>
      </c>
      <c r="S139" s="75" t="s">
        <v>2772</v>
      </c>
      <c r="T139" s="75" t="s">
        <v>2772</v>
      </c>
      <c r="U139" s="75" t="s">
        <v>2772</v>
      </c>
      <c r="V139" s="75" t="s">
        <v>2772</v>
      </c>
      <c r="W139" s="75">
        <v>12.3</v>
      </c>
      <c r="X139" s="75">
        <v>3.5</v>
      </c>
      <c r="Y139" s="75">
        <v>2.9</v>
      </c>
      <c r="Z139" s="75" t="s">
        <v>2774</v>
      </c>
      <c r="AA139" s="77">
        <v>6.5868263473053901</v>
      </c>
      <c r="AB139" s="75">
        <v>0.36</v>
      </c>
      <c r="AD139" s="75">
        <v>8</v>
      </c>
      <c r="AE139" s="75" t="s">
        <v>2772</v>
      </c>
      <c r="AF139" s="75" t="s">
        <v>2772</v>
      </c>
      <c r="AG139" s="75" t="s">
        <v>2772</v>
      </c>
      <c r="AH139" s="75">
        <v>1</v>
      </c>
      <c r="AI139" s="75" t="s">
        <v>2772</v>
      </c>
      <c r="AJ139" s="75">
        <v>1</v>
      </c>
      <c r="AK139" s="75" t="s">
        <v>2772</v>
      </c>
      <c r="AL139" s="75" t="s">
        <v>2772</v>
      </c>
      <c r="AM139" s="75" t="s">
        <v>2772</v>
      </c>
      <c r="AN139" s="75" t="s">
        <v>2772</v>
      </c>
      <c r="AO139" s="78" t="str">
        <f>HYPERLINK(".\links\AAM-CEMENT-2018\EEC03925.1-AAM-CEMENT-2018.txt","Extracted CDS")</f>
        <v>Extracted CDS</v>
      </c>
      <c r="AP139" s="75" t="str">
        <f>HYPERLINK("http://www.ncbi.nlm.nih.gov/sutils/blink.cgi?pid=Aam-788","0.71")</f>
        <v>0.71</v>
      </c>
      <c r="AQ139" s="75" t="str">
        <f>HYPERLINK("http://www.ncbi.nlm.nih.gov/protein/Aam-788","Aam-788")</f>
        <v>Aam-788</v>
      </c>
      <c r="AR139" s="75">
        <v>22.7</v>
      </c>
      <c r="AS139" s="75">
        <v>103</v>
      </c>
      <c r="AT139" s="75">
        <v>175</v>
      </c>
      <c r="AU139" s="75">
        <v>22</v>
      </c>
      <c r="AV139" s="75">
        <v>37</v>
      </c>
      <c r="AW139" s="75">
        <v>59</v>
      </c>
      <c r="AX139" s="75">
        <v>80</v>
      </c>
      <c r="AY139" s="75">
        <v>13</v>
      </c>
      <c r="AZ139" s="75">
        <v>35</v>
      </c>
      <c r="BA139" s="75">
        <v>21</v>
      </c>
      <c r="BB139" s="75">
        <v>1</v>
      </c>
      <c r="BC139" s="75" t="s">
        <v>2775</v>
      </c>
      <c r="BD139" s="78" t="str">
        <f>HYPERLINK(".\links\CDD\EEC03925.1-CDD.txt","UPF0029 Uncharacterized protein family UPF0029")</f>
        <v>UPF0029 Uncharacterized protein family UPF0029</v>
      </c>
      <c r="BE139" s="75">
        <v>0.42</v>
      </c>
      <c r="BF139" s="75">
        <v>37.299999999999997</v>
      </c>
      <c r="BG139" s="75" t="s">
        <v>3698</v>
      </c>
      <c r="BH139" s="75" t="s">
        <v>3699</v>
      </c>
      <c r="BI139" s="75" t="str">
        <f>HYPERLINK(".\links\KOG\EEC03925.1-KOG.txt","CDD:223239 COG0161, BioA, Adenosylmethionine-8-amino-7-oxononanoate aminotransferase")</f>
        <v>CDD:223239 COG0161, BioA, Adenosylmethionine-8-amino-7-oxononanoate aminotransferase</v>
      </c>
      <c r="BJ139" s="75">
        <v>2.4</v>
      </c>
      <c r="BK139" s="75">
        <v>8.1999999999999993</v>
      </c>
      <c r="BL139" s="75" t="s">
        <v>3700</v>
      </c>
      <c r="BM139" s="75" t="s">
        <v>2779</v>
      </c>
      <c r="BN139" s="78" t="str">
        <f>HYPERLINK(".\links\PFAM\EEC03925.1-PFAM.txt","UPF0029 Uncharacterized protein family UPF0029")</f>
        <v>UPF0029 Uncharacterized protein family UPF0029</v>
      </c>
      <c r="BO139" s="75">
        <v>9.9000000000000005E-2</v>
      </c>
      <c r="BP139" s="75">
        <v>37.299999999999997</v>
      </c>
      <c r="BQ139" s="75" t="s">
        <v>3698</v>
      </c>
      <c r="BR139" s="75" t="s">
        <v>2772</v>
      </c>
      <c r="BS139" s="78" t="str">
        <f>HYPERLINK(".\links\SMART\EEC03925.1-SMART.txt","CDD:214941 smart00963, SRP54_N, SRP54-type protein, helical bundle domain")</f>
        <v>CDD:214941 smart00963, SRP54_N, SRP54-type protein, helical bundle domain</v>
      </c>
      <c r="BT139" s="75">
        <v>1.9</v>
      </c>
      <c r="BU139" s="75">
        <v>48.1</v>
      </c>
      <c r="BV139" s="75" t="s">
        <v>3701</v>
      </c>
      <c r="BW139" s="75" t="s">
        <v>2772</v>
      </c>
      <c r="BX139" s="78" t="str">
        <f>HYPERLINK(".\links\TSF\EEC03925.1-TSF.txt","30-60 30-60, Mys-30-60||S|")</f>
        <v>30-60 30-60, Mys-30-60||S|</v>
      </c>
      <c r="BY139" s="79">
        <v>1.9999999999999998E-24</v>
      </c>
      <c r="BZ139" s="75">
        <v>100</v>
      </c>
      <c r="CA139" s="75" t="s">
        <v>3702</v>
      </c>
      <c r="CB139" s="75" t="s">
        <v>3703</v>
      </c>
      <c r="CC139" s="75" t="s">
        <v>2772</v>
      </c>
      <c r="CD139" s="75" t="s">
        <v>2785</v>
      </c>
      <c r="CE139" s="75" t="s">
        <v>3421</v>
      </c>
      <c r="CF139" s="75">
        <v>27</v>
      </c>
      <c r="CG139" s="75">
        <v>1</v>
      </c>
      <c r="CH139" s="75">
        <v>32</v>
      </c>
      <c r="CI139" s="75">
        <v>1</v>
      </c>
      <c r="CJ139" s="75">
        <v>32</v>
      </c>
      <c r="CK139" s="75">
        <v>1</v>
      </c>
      <c r="CL139" s="75">
        <v>34</v>
      </c>
      <c r="CM139" s="75">
        <v>1</v>
      </c>
      <c r="CN139" s="75">
        <v>33</v>
      </c>
      <c r="CO139" s="75">
        <v>1</v>
      </c>
      <c r="CP139" s="75">
        <v>34</v>
      </c>
      <c r="CQ139" s="75">
        <v>1</v>
      </c>
      <c r="CR139" s="75">
        <v>35</v>
      </c>
      <c r="CS139" s="75">
        <v>1</v>
      </c>
      <c r="CT139" s="75">
        <v>38</v>
      </c>
      <c r="CU139" s="75">
        <v>1</v>
      </c>
      <c r="CV139" s="75">
        <v>40</v>
      </c>
      <c r="CW139" s="75">
        <v>1</v>
      </c>
      <c r="CX139" s="75">
        <v>42</v>
      </c>
      <c r="CY139" s="75">
        <v>1</v>
      </c>
      <c r="CZ139" s="75">
        <v>43</v>
      </c>
      <c r="DA139" s="75">
        <v>1</v>
      </c>
      <c r="DB139" s="75">
        <v>43</v>
      </c>
      <c r="DC139" s="75">
        <v>1</v>
      </c>
      <c r="DD139" s="75">
        <v>44</v>
      </c>
      <c r="DE139" s="75">
        <v>1</v>
      </c>
      <c r="DF139" s="75">
        <v>43</v>
      </c>
      <c r="DG139" s="75">
        <v>1</v>
      </c>
      <c r="DH139" s="75">
        <v>44</v>
      </c>
      <c r="DI139" s="75">
        <v>1</v>
      </c>
      <c r="DJ139" s="75" t="s">
        <v>139</v>
      </c>
      <c r="DK139" s="75" t="str">
        <f>HYPERLINK(".\links\AAM-CEMENT-2018\EEC03925.1-AAM-CEMENT-2018.txt","Extracted CDS")</f>
        <v>Extracted CDS</v>
      </c>
      <c r="DL139" s="75" t="str">
        <f>HYPERLINK("http://www.ncbi.nlm.nih.gov/sutils/blink.cgi?pid=Aam-788","0.71")</f>
        <v>0.71</v>
      </c>
      <c r="DM139" s="75" t="str">
        <f>HYPERLINK("http://www.ncbi.nlm.nih.gov/protein/Aam-788","Aam-788")</f>
        <v>Aam-788</v>
      </c>
      <c r="DN139" s="75">
        <v>22.7</v>
      </c>
      <c r="DO139" s="75">
        <v>103</v>
      </c>
      <c r="DP139" s="75">
        <v>175</v>
      </c>
      <c r="DQ139" s="75">
        <v>22</v>
      </c>
      <c r="DR139" s="75">
        <v>37</v>
      </c>
      <c r="DS139" s="75">
        <v>59</v>
      </c>
      <c r="DT139" s="75">
        <v>80</v>
      </c>
      <c r="DU139" s="75">
        <v>13</v>
      </c>
      <c r="DV139" s="75">
        <v>35</v>
      </c>
      <c r="DW139" s="75">
        <v>21</v>
      </c>
      <c r="DX139" s="75">
        <v>1</v>
      </c>
      <c r="DY139" s="75" t="s">
        <v>2775</v>
      </c>
      <c r="DZ139" s="75" t="str">
        <f>HYPERLINK(".\links\CDD\EEC03925.1-CDD.txt","UPF0029 Uncharacterized protein family UPF0029")</f>
        <v>UPF0029 Uncharacterized protein family UPF0029</v>
      </c>
      <c r="EA139" s="75">
        <v>0.42</v>
      </c>
      <c r="EB139" s="75">
        <v>37.299999999999997</v>
      </c>
      <c r="EC139" s="75" t="s">
        <v>3698</v>
      </c>
      <c r="ED139" s="75" t="s">
        <v>3699</v>
      </c>
      <c r="EE139" s="75" t="str">
        <f>HYPERLINK(".\links\KOG\EEC03925.1-KOG.txt","CDD:223239 COG0161, BioA, Adenosylmethionine-8-amino-7-oxononanoate aminotransferase")</f>
        <v>CDD:223239 COG0161, BioA, Adenosylmethionine-8-amino-7-oxononanoate aminotransferase</v>
      </c>
      <c r="EF139" s="75">
        <v>2.4</v>
      </c>
      <c r="EG139" s="75">
        <v>8.1999999999999993</v>
      </c>
      <c r="EH139" s="75" t="s">
        <v>3700</v>
      </c>
      <c r="EI139" s="75" t="s">
        <v>2779</v>
      </c>
      <c r="EJ139" s="75" t="str">
        <f>HYPERLINK(".\links\PFAM\EEC03925.1-PFAM.txt","UPF0029 Uncharacterized protein family UPF0029")</f>
        <v>UPF0029 Uncharacterized protein family UPF0029</v>
      </c>
      <c r="EK139" s="75">
        <v>9.9000000000000005E-2</v>
      </c>
      <c r="EL139" s="75">
        <v>37.299999999999997</v>
      </c>
      <c r="EM139" s="75" t="s">
        <v>3698</v>
      </c>
      <c r="EN139" s="75" t="s">
        <v>2772</v>
      </c>
      <c r="EO139" s="75" t="str">
        <f>HYPERLINK(".\links\SMART\EEC03925.1-SMART.txt","CDD:214941 smart00963, SRP54_N, SRP54-type protein, helical bundle domain")</f>
        <v>CDD:214941 smart00963, SRP54_N, SRP54-type protein, helical bundle domain</v>
      </c>
      <c r="EP139" s="75">
        <v>1.9</v>
      </c>
      <c r="EQ139" s="75">
        <v>48.1</v>
      </c>
      <c r="ER139" s="75" t="s">
        <v>3701</v>
      </c>
      <c r="ES139" s="75" t="s">
        <v>2772</v>
      </c>
      <c r="ET139" s="75" t="str">
        <f>HYPERLINK(".\links\TSF\EEC03925.1-TSF.txt","30-60 30-60, Mys-30-60||S|")</f>
        <v>30-60 30-60, Mys-30-60||S|</v>
      </c>
      <c r="EU139" s="79">
        <v>1.9999999999999998E-24</v>
      </c>
      <c r="EV139" s="75">
        <v>100</v>
      </c>
      <c r="EW139" s="75" t="s">
        <v>3702</v>
      </c>
      <c r="EX139" s="75" t="s">
        <v>3703</v>
      </c>
      <c r="EY139" s="75" t="s">
        <v>2772</v>
      </c>
      <c r="EZ139" s="75" t="s">
        <v>2785</v>
      </c>
      <c r="FA139" s="75" t="s">
        <v>3421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5CC7-F5D8-ED49-9CC0-CF98C9B13B2D}">
  <dimension ref="B3:J59"/>
  <sheetViews>
    <sheetView topLeftCell="A45" workbookViewId="0">
      <selection activeCell="J81" sqref="J81"/>
    </sheetView>
  </sheetViews>
  <sheetFormatPr baseColWidth="10" defaultRowHeight="16" x14ac:dyDescent="0.2"/>
  <sheetData>
    <row r="3" spans="2:10" ht="17" thickBot="1" x14ac:dyDescent="0.25">
      <c r="B3" s="13"/>
      <c r="C3" s="13"/>
      <c r="D3" s="13"/>
      <c r="E3" s="13"/>
      <c r="F3" s="13"/>
      <c r="G3" s="13"/>
      <c r="H3" s="13"/>
      <c r="I3" s="13"/>
      <c r="J3" s="13"/>
    </row>
    <row r="4" spans="2:10" ht="59" customHeight="1" x14ac:dyDescent="0.2">
      <c r="B4" s="13"/>
      <c r="C4" s="51" t="s">
        <v>2566</v>
      </c>
      <c r="D4" s="53" t="s">
        <v>2567</v>
      </c>
      <c r="E4" s="55" t="s">
        <v>2568</v>
      </c>
      <c r="F4" s="55" t="s">
        <v>2569</v>
      </c>
      <c r="G4" s="55" t="s">
        <v>2570</v>
      </c>
      <c r="H4" s="55" t="s">
        <v>2571</v>
      </c>
      <c r="I4" s="57" t="s">
        <v>2572</v>
      </c>
      <c r="J4" s="59" t="s">
        <v>2573</v>
      </c>
    </row>
    <row r="5" spans="2:10" ht="17" thickBot="1" x14ac:dyDescent="0.25">
      <c r="B5" s="13"/>
      <c r="C5" s="52"/>
      <c r="D5" s="54"/>
      <c r="E5" s="56"/>
      <c r="F5" s="56"/>
      <c r="G5" s="56"/>
      <c r="H5" s="56"/>
      <c r="I5" s="58"/>
      <c r="J5" s="60"/>
    </row>
    <row r="6" spans="2:10" ht="19" x14ac:dyDescent="0.25">
      <c r="B6" s="13"/>
      <c r="C6" s="61" t="s">
        <v>2574</v>
      </c>
      <c r="D6" s="14" t="s">
        <v>2575</v>
      </c>
      <c r="E6" s="15">
        <v>33</v>
      </c>
      <c r="F6" s="15">
        <v>3</v>
      </c>
      <c r="G6" s="15">
        <v>0.04</v>
      </c>
      <c r="H6" s="15">
        <v>71.58</v>
      </c>
      <c r="I6" s="16">
        <v>1.26E-5</v>
      </c>
      <c r="J6" s="17">
        <v>1.72E-2</v>
      </c>
    </row>
    <row r="7" spans="2:10" ht="19" x14ac:dyDescent="0.25">
      <c r="B7" s="13"/>
      <c r="C7" s="62"/>
      <c r="D7" s="18" t="s">
        <v>2576</v>
      </c>
      <c r="E7" s="19">
        <v>1081</v>
      </c>
      <c r="F7" s="19">
        <v>9</v>
      </c>
      <c r="G7" s="19">
        <v>1.37</v>
      </c>
      <c r="H7" s="19">
        <v>6.56</v>
      </c>
      <c r="I7" s="20">
        <v>4.5199999999999999E-6</v>
      </c>
      <c r="J7" s="21">
        <v>1.23E-2</v>
      </c>
    </row>
    <row r="8" spans="2:10" ht="19" x14ac:dyDescent="0.25">
      <c r="B8" s="13"/>
      <c r="C8" s="62"/>
      <c r="D8" s="18" t="s">
        <v>2577</v>
      </c>
      <c r="E8" s="19">
        <v>5333</v>
      </c>
      <c r="F8" s="19">
        <v>17</v>
      </c>
      <c r="G8" s="19">
        <v>6.77</v>
      </c>
      <c r="H8" s="19">
        <v>2.5099999999999998</v>
      </c>
      <c r="I8" s="20">
        <v>2.9600000000000001E-5</v>
      </c>
      <c r="J8" s="21">
        <v>2.69E-2</v>
      </c>
    </row>
    <row r="9" spans="2:10" ht="20" thickBot="1" x14ac:dyDescent="0.3">
      <c r="B9" s="13"/>
      <c r="C9" s="63"/>
      <c r="D9" s="22" t="s">
        <v>2578</v>
      </c>
      <c r="E9" s="23">
        <v>58</v>
      </c>
      <c r="F9" s="23">
        <v>3</v>
      </c>
      <c r="G9" s="23">
        <v>7.0000000000000007E-2</v>
      </c>
      <c r="H9" s="23">
        <v>40.729999999999997</v>
      </c>
      <c r="I9" s="24">
        <v>6.2100000000000005E-5</v>
      </c>
      <c r="J9" s="25">
        <v>4.24E-2</v>
      </c>
    </row>
    <row r="10" spans="2:10" ht="19" x14ac:dyDescent="0.25">
      <c r="B10" s="13"/>
      <c r="C10" s="64" t="s">
        <v>2579</v>
      </c>
      <c r="D10" s="26" t="s">
        <v>2580</v>
      </c>
      <c r="E10" s="27">
        <v>14</v>
      </c>
      <c r="F10" s="27">
        <v>4</v>
      </c>
      <c r="G10" s="27">
        <v>0.01</v>
      </c>
      <c r="H10" s="27" t="s">
        <v>2581</v>
      </c>
      <c r="I10" s="28">
        <v>4.1500000000000001E-10</v>
      </c>
      <c r="J10" s="29">
        <v>1.13E-6</v>
      </c>
    </row>
    <row r="11" spans="2:10" ht="19" x14ac:dyDescent="0.25">
      <c r="B11" s="13"/>
      <c r="C11" s="62"/>
      <c r="D11" s="26" t="s">
        <v>2582</v>
      </c>
      <c r="E11" s="27">
        <v>17</v>
      </c>
      <c r="F11" s="27">
        <v>4</v>
      </c>
      <c r="G11" s="27">
        <v>0.01</v>
      </c>
      <c r="H11" s="27" t="s">
        <v>2581</v>
      </c>
      <c r="I11" s="28">
        <v>8.1099999999999999E-10</v>
      </c>
      <c r="J11" s="29">
        <v>1.11E-6</v>
      </c>
    </row>
    <row r="12" spans="2:10" ht="19" x14ac:dyDescent="0.25">
      <c r="B12" s="13"/>
      <c r="C12" s="62"/>
      <c r="D12" s="26" t="s">
        <v>2583</v>
      </c>
      <c r="E12" s="27">
        <v>29</v>
      </c>
      <c r="F12" s="27">
        <v>4</v>
      </c>
      <c r="G12" s="27">
        <v>0.02</v>
      </c>
      <c r="H12" s="27" t="s">
        <v>2581</v>
      </c>
      <c r="I12" s="28">
        <v>5.52E-9</v>
      </c>
      <c r="J12" s="29">
        <v>5.0200000000000002E-6</v>
      </c>
    </row>
    <row r="13" spans="2:10" ht="19" x14ac:dyDescent="0.25">
      <c r="B13" s="13"/>
      <c r="C13" s="62"/>
      <c r="D13" s="26" t="s">
        <v>2578</v>
      </c>
      <c r="E13" s="27">
        <v>58</v>
      </c>
      <c r="F13" s="27">
        <v>4</v>
      </c>
      <c r="G13" s="27">
        <v>0.04</v>
      </c>
      <c r="H13" s="27" t="s">
        <v>2581</v>
      </c>
      <c r="I13" s="28">
        <v>7.4400000000000004E-8</v>
      </c>
      <c r="J13" s="29">
        <v>5.0800000000000002E-5</v>
      </c>
    </row>
    <row r="14" spans="2:10" ht="19" x14ac:dyDescent="0.25">
      <c r="B14" s="13"/>
      <c r="C14" s="62"/>
      <c r="D14" s="30" t="s">
        <v>2584</v>
      </c>
      <c r="E14" s="31">
        <v>96</v>
      </c>
      <c r="F14" s="31">
        <v>4</v>
      </c>
      <c r="G14" s="31">
        <v>7.0000000000000007E-2</v>
      </c>
      <c r="H14" s="31">
        <v>60.93</v>
      </c>
      <c r="I14" s="32">
        <v>5.1500000000000005E-7</v>
      </c>
      <c r="J14" s="33">
        <v>2.81E-4</v>
      </c>
    </row>
    <row r="15" spans="2:10" ht="19" x14ac:dyDescent="0.25">
      <c r="B15" s="13"/>
      <c r="C15" s="62"/>
      <c r="D15" s="34" t="s">
        <v>2585</v>
      </c>
      <c r="E15" s="31">
        <v>426</v>
      </c>
      <c r="F15" s="31">
        <v>5</v>
      </c>
      <c r="G15" s="31">
        <v>0.28999999999999998</v>
      </c>
      <c r="H15" s="31">
        <v>17.16</v>
      </c>
      <c r="I15" s="32">
        <v>6.8900000000000001E-6</v>
      </c>
      <c r="J15" s="33">
        <v>2.3500000000000001E-3</v>
      </c>
    </row>
    <row r="16" spans="2:10" ht="19" x14ac:dyDescent="0.25">
      <c r="B16" s="13"/>
      <c r="C16" s="62"/>
      <c r="D16" s="34" t="s">
        <v>2586</v>
      </c>
      <c r="E16" s="31">
        <v>262</v>
      </c>
      <c r="F16" s="31">
        <v>4</v>
      </c>
      <c r="G16" s="31">
        <v>0.18</v>
      </c>
      <c r="H16" s="31">
        <v>22.33</v>
      </c>
      <c r="I16" s="32">
        <v>2.51E-5</v>
      </c>
      <c r="J16" s="33">
        <v>6.8500000000000002E-3</v>
      </c>
    </row>
    <row r="17" spans="2:10" ht="19" x14ac:dyDescent="0.25">
      <c r="B17" s="13"/>
      <c r="C17" s="62"/>
      <c r="D17" s="34" t="s">
        <v>2587</v>
      </c>
      <c r="E17" s="31">
        <v>294</v>
      </c>
      <c r="F17" s="31">
        <v>4</v>
      </c>
      <c r="G17" s="31">
        <v>0.2</v>
      </c>
      <c r="H17" s="31">
        <v>19.899999999999999</v>
      </c>
      <c r="I17" s="32">
        <v>3.9100000000000002E-5</v>
      </c>
      <c r="J17" s="33">
        <v>9.7199999999999995E-3</v>
      </c>
    </row>
    <row r="18" spans="2:10" ht="19" x14ac:dyDescent="0.25">
      <c r="B18" s="13"/>
      <c r="C18" s="62"/>
      <c r="D18" s="34" t="s">
        <v>2588</v>
      </c>
      <c r="E18" s="31">
        <v>311</v>
      </c>
      <c r="F18" s="31">
        <v>4</v>
      </c>
      <c r="G18" s="31">
        <v>0.21</v>
      </c>
      <c r="H18" s="31">
        <v>18.809999999999999</v>
      </c>
      <c r="I18" s="32">
        <v>4.8600000000000002E-5</v>
      </c>
      <c r="J18" s="33">
        <v>1.11E-2</v>
      </c>
    </row>
    <row r="19" spans="2:10" ht="19" x14ac:dyDescent="0.25">
      <c r="B19" s="13"/>
      <c r="C19" s="62"/>
      <c r="D19" s="35" t="s">
        <v>2589</v>
      </c>
      <c r="E19" s="27">
        <v>311</v>
      </c>
      <c r="F19" s="27">
        <v>4</v>
      </c>
      <c r="G19" s="27">
        <v>0.21</v>
      </c>
      <c r="H19" s="27">
        <v>18.809999999999999</v>
      </c>
      <c r="I19" s="28">
        <v>4.8600000000000002E-5</v>
      </c>
      <c r="J19" s="29">
        <v>1.0200000000000001E-2</v>
      </c>
    </row>
    <row r="20" spans="2:10" ht="19" x14ac:dyDescent="0.25">
      <c r="B20" s="13"/>
      <c r="C20" s="62"/>
      <c r="D20" s="30" t="s">
        <v>2590</v>
      </c>
      <c r="E20" s="31">
        <v>141</v>
      </c>
      <c r="F20" s="31">
        <v>4</v>
      </c>
      <c r="G20" s="31">
        <v>0.1</v>
      </c>
      <c r="H20" s="31">
        <v>41.49</v>
      </c>
      <c r="I20" s="32">
        <v>2.2800000000000002E-6</v>
      </c>
      <c r="J20" s="33">
        <v>1.0399999999999999E-3</v>
      </c>
    </row>
    <row r="21" spans="2:10" ht="19" x14ac:dyDescent="0.25">
      <c r="B21" s="13"/>
      <c r="C21" s="62"/>
      <c r="D21" s="34" t="s">
        <v>2591</v>
      </c>
      <c r="E21" s="31">
        <v>167</v>
      </c>
      <c r="F21" s="31">
        <v>4</v>
      </c>
      <c r="G21" s="31">
        <v>0.11</v>
      </c>
      <c r="H21" s="31">
        <v>35.03</v>
      </c>
      <c r="I21" s="32">
        <v>4.3900000000000003E-6</v>
      </c>
      <c r="J21" s="33">
        <v>1.7099999999999999E-3</v>
      </c>
    </row>
    <row r="22" spans="2:10" ht="19" x14ac:dyDescent="0.25">
      <c r="B22" s="13"/>
      <c r="C22" s="62"/>
      <c r="D22" s="35" t="s">
        <v>2592</v>
      </c>
      <c r="E22" s="27">
        <v>193</v>
      </c>
      <c r="F22" s="27">
        <v>4</v>
      </c>
      <c r="G22" s="27">
        <v>0.13</v>
      </c>
      <c r="H22" s="27">
        <v>30.31</v>
      </c>
      <c r="I22" s="28">
        <v>7.7000000000000008E-6</v>
      </c>
      <c r="J22" s="29">
        <v>2.3400000000000001E-3</v>
      </c>
    </row>
    <row r="23" spans="2:10" ht="19" x14ac:dyDescent="0.25">
      <c r="B23" s="13"/>
      <c r="C23" s="62"/>
      <c r="D23" s="26" t="s">
        <v>2593</v>
      </c>
      <c r="E23" s="27">
        <v>109</v>
      </c>
      <c r="F23" s="27">
        <v>3</v>
      </c>
      <c r="G23" s="27">
        <v>7.0000000000000007E-2</v>
      </c>
      <c r="H23" s="27">
        <v>40.25</v>
      </c>
      <c r="I23" s="28">
        <v>5.5399999999999998E-5</v>
      </c>
      <c r="J23" s="29">
        <v>1.0800000000000001E-2</v>
      </c>
    </row>
    <row r="24" spans="2:10" ht="19" x14ac:dyDescent="0.25">
      <c r="B24" s="13"/>
      <c r="C24" s="62"/>
      <c r="D24" s="30" t="s">
        <v>2594</v>
      </c>
      <c r="E24" s="31">
        <v>883</v>
      </c>
      <c r="F24" s="31">
        <v>5</v>
      </c>
      <c r="G24" s="31">
        <v>0.6</v>
      </c>
      <c r="H24" s="31">
        <v>8.2799999999999994</v>
      </c>
      <c r="I24" s="32">
        <v>2.1800000000000001E-4</v>
      </c>
      <c r="J24" s="33">
        <v>3.7199999999999997E-2</v>
      </c>
    </row>
    <row r="25" spans="2:10" ht="19" x14ac:dyDescent="0.25">
      <c r="B25" s="13"/>
      <c r="C25" s="62"/>
      <c r="D25" s="34" t="s">
        <v>2595</v>
      </c>
      <c r="E25" s="31">
        <v>904</v>
      </c>
      <c r="F25" s="31">
        <v>5</v>
      </c>
      <c r="G25" s="31">
        <v>0.62</v>
      </c>
      <c r="H25" s="31">
        <v>8.09</v>
      </c>
      <c r="I25" s="32">
        <v>2.43E-4</v>
      </c>
      <c r="J25" s="33">
        <v>3.9100000000000003E-2</v>
      </c>
    </row>
    <row r="26" spans="2:10" ht="19" x14ac:dyDescent="0.25">
      <c r="B26" s="13"/>
      <c r="C26" s="62"/>
      <c r="D26" s="34" t="s">
        <v>2596</v>
      </c>
      <c r="E26" s="31">
        <v>1238</v>
      </c>
      <c r="F26" s="31">
        <v>6</v>
      </c>
      <c r="G26" s="31">
        <v>0.85</v>
      </c>
      <c r="H26" s="31">
        <v>7.09</v>
      </c>
      <c r="I26" s="32">
        <v>9.7399999999999996E-5</v>
      </c>
      <c r="J26" s="33">
        <v>1.77E-2</v>
      </c>
    </row>
    <row r="27" spans="2:10" ht="20" thickBot="1" x14ac:dyDescent="0.3">
      <c r="B27" s="13"/>
      <c r="C27" s="65"/>
      <c r="D27" s="36" t="s">
        <v>2597</v>
      </c>
      <c r="E27" s="37">
        <v>909</v>
      </c>
      <c r="F27" s="37">
        <v>5</v>
      </c>
      <c r="G27" s="37">
        <v>0.62</v>
      </c>
      <c r="H27" s="37">
        <v>8.0399999999999991</v>
      </c>
      <c r="I27" s="38">
        <v>2.5000000000000001E-4</v>
      </c>
      <c r="J27" s="39">
        <v>3.7900000000000003E-2</v>
      </c>
    </row>
    <row r="28" spans="2:10" ht="21" thickBot="1" x14ac:dyDescent="0.3">
      <c r="B28" s="13"/>
      <c r="C28" s="40" t="s">
        <v>2598</v>
      </c>
      <c r="D28" s="41" t="s">
        <v>2599</v>
      </c>
      <c r="E28" s="37">
        <v>22</v>
      </c>
      <c r="F28" s="37">
        <v>3</v>
      </c>
      <c r="G28" s="37">
        <v>0.01</v>
      </c>
      <c r="H28" s="37" t="s">
        <v>2581</v>
      </c>
      <c r="I28" s="38">
        <v>1.92E-7</v>
      </c>
      <c r="J28" s="39">
        <v>5.2300000000000003E-4</v>
      </c>
    </row>
    <row r="29" spans="2:10" ht="19" x14ac:dyDescent="0.25">
      <c r="B29" s="13"/>
      <c r="C29" s="51" t="s">
        <v>2600</v>
      </c>
      <c r="D29" s="30" t="s">
        <v>2599</v>
      </c>
      <c r="E29" s="31">
        <v>22</v>
      </c>
      <c r="F29" s="31">
        <v>10</v>
      </c>
      <c r="G29" s="31">
        <v>0.03</v>
      </c>
      <c r="H29" s="31" t="s">
        <v>2581</v>
      </c>
      <c r="I29" s="32">
        <v>3.5199999999999999E-22</v>
      </c>
      <c r="J29" s="33">
        <v>9.6000000000000009E-19</v>
      </c>
    </row>
    <row r="30" spans="2:10" ht="19" x14ac:dyDescent="0.25">
      <c r="B30" s="13"/>
      <c r="C30" s="66"/>
      <c r="D30" s="35" t="s">
        <v>2601</v>
      </c>
      <c r="E30" s="27">
        <v>323</v>
      </c>
      <c r="F30" s="27">
        <v>15</v>
      </c>
      <c r="G30" s="27">
        <v>0.46</v>
      </c>
      <c r="H30" s="27">
        <v>32.78</v>
      </c>
      <c r="I30" s="28">
        <v>8.34E-20</v>
      </c>
      <c r="J30" s="29">
        <v>1.14E-16</v>
      </c>
    </row>
    <row r="31" spans="2:10" ht="19" x14ac:dyDescent="0.25">
      <c r="B31" s="13"/>
      <c r="C31" s="66"/>
      <c r="D31" s="30" t="s">
        <v>2602</v>
      </c>
      <c r="E31" s="31">
        <v>164</v>
      </c>
      <c r="F31" s="31">
        <v>11</v>
      </c>
      <c r="G31" s="31">
        <v>0.23</v>
      </c>
      <c r="H31" s="31">
        <v>47.35</v>
      </c>
      <c r="I31" s="32">
        <v>3.8600000000000001E-16</v>
      </c>
      <c r="J31" s="33">
        <v>1.7600000000000001E-13</v>
      </c>
    </row>
    <row r="32" spans="2:10" ht="19" x14ac:dyDescent="0.25">
      <c r="B32" s="13"/>
      <c r="C32" s="66"/>
      <c r="D32" s="34" t="s">
        <v>2603</v>
      </c>
      <c r="E32" s="31">
        <v>262</v>
      </c>
      <c r="F32" s="31">
        <v>11</v>
      </c>
      <c r="G32" s="31">
        <v>0.37</v>
      </c>
      <c r="H32" s="31">
        <v>29.64</v>
      </c>
      <c r="I32" s="32">
        <v>5.3399999999999998E-14</v>
      </c>
      <c r="J32" s="33">
        <v>2.0799999999999999E-11</v>
      </c>
    </row>
    <row r="33" spans="2:10" ht="19" x14ac:dyDescent="0.25">
      <c r="B33" s="13"/>
      <c r="C33" s="66"/>
      <c r="D33" s="34" t="s">
        <v>2604</v>
      </c>
      <c r="E33" s="31">
        <v>294</v>
      </c>
      <c r="F33" s="31">
        <v>11</v>
      </c>
      <c r="G33" s="31">
        <v>0.42</v>
      </c>
      <c r="H33" s="31">
        <v>26.41</v>
      </c>
      <c r="I33" s="32">
        <v>1.7999999999999999E-13</v>
      </c>
      <c r="J33" s="33">
        <v>6.1400000000000003E-11</v>
      </c>
    </row>
    <row r="34" spans="2:10" ht="19" x14ac:dyDescent="0.25">
      <c r="B34" s="13"/>
      <c r="C34" s="66"/>
      <c r="D34" s="34" t="s">
        <v>2605</v>
      </c>
      <c r="E34" s="31">
        <v>311</v>
      </c>
      <c r="F34" s="31">
        <v>11</v>
      </c>
      <c r="G34" s="31">
        <v>0.44</v>
      </c>
      <c r="H34" s="31">
        <v>24.97</v>
      </c>
      <c r="I34" s="32">
        <v>3.2499999999999998E-13</v>
      </c>
      <c r="J34" s="33">
        <v>9.8700000000000006E-11</v>
      </c>
    </row>
    <row r="35" spans="2:10" ht="19" x14ac:dyDescent="0.25">
      <c r="B35" s="13"/>
      <c r="C35" s="66"/>
      <c r="D35" s="34" t="s">
        <v>2606</v>
      </c>
      <c r="E35" s="31">
        <v>311</v>
      </c>
      <c r="F35" s="31">
        <v>11</v>
      </c>
      <c r="G35" s="31">
        <v>0.44</v>
      </c>
      <c r="H35" s="31">
        <v>24.97</v>
      </c>
      <c r="I35" s="32">
        <v>3.2499999999999998E-13</v>
      </c>
      <c r="J35" s="33">
        <v>8.8800000000000006E-11</v>
      </c>
    </row>
    <row r="36" spans="2:10" ht="19" x14ac:dyDescent="0.25">
      <c r="B36" s="13"/>
      <c r="C36" s="66"/>
      <c r="D36" s="35" t="s">
        <v>2607</v>
      </c>
      <c r="E36" s="27">
        <v>2457</v>
      </c>
      <c r="F36" s="27">
        <v>12</v>
      </c>
      <c r="G36" s="27">
        <v>3.48</v>
      </c>
      <c r="H36" s="27">
        <v>3.45</v>
      </c>
      <c r="I36" s="28">
        <v>6.4999999999999994E-5</v>
      </c>
      <c r="J36" s="29">
        <v>6.3400000000000001E-3</v>
      </c>
    </row>
    <row r="37" spans="2:10" ht="19" x14ac:dyDescent="0.25">
      <c r="B37" s="13"/>
      <c r="C37" s="66"/>
      <c r="D37" s="30" t="s">
        <v>2608</v>
      </c>
      <c r="E37" s="31">
        <v>194</v>
      </c>
      <c r="F37" s="31">
        <v>12</v>
      </c>
      <c r="G37" s="31">
        <v>0.27</v>
      </c>
      <c r="H37" s="31">
        <v>43.67</v>
      </c>
      <c r="I37" s="32">
        <v>3.4299999999999998E-17</v>
      </c>
      <c r="J37" s="33">
        <v>3.1200000000000002E-14</v>
      </c>
    </row>
    <row r="38" spans="2:10" ht="19" x14ac:dyDescent="0.25">
      <c r="B38" s="13"/>
      <c r="C38" s="66"/>
      <c r="D38" s="34" t="s">
        <v>2609</v>
      </c>
      <c r="E38" s="31">
        <v>1072</v>
      </c>
      <c r="F38" s="31">
        <v>15</v>
      </c>
      <c r="G38" s="31">
        <v>1.52</v>
      </c>
      <c r="H38" s="31">
        <v>9.8800000000000008</v>
      </c>
      <c r="I38" s="32">
        <v>2.5700000000000002E-12</v>
      </c>
      <c r="J38" s="33">
        <v>5.4099999999999999E-10</v>
      </c>
    </row>
    <row r="39" spans="2:10" ht="19" x14ac:dyDescent="0.25">
      <c r="B39" s="13"/>
      <c r="C39" s="66"/>
      <c r="D39" s="34" t="s">
        <v>2610</v>
      </c>
      <c r="E39" s="31">
        <v>1300</v>
      </c>
      <c r="F39" s="31">
        <v>16</v>
      </c>
      <c r="G39" s="31">
        <v>1.84</v>
      </c>
      <c r="H39" s="31">
        <v>8.69</v>
      </c>
      <c r="I39" s="32">
        <v>2.33E-12</v>
      </c>
      <c r="J39" s="33">
        <v>5.2900000000000003E-10</v>
      </c>
    </row>
    <row r="40" spans="2:10" ht="19" x14ac:dyDescent="0.25">
      <c r="B40" s="13"/>
      <c r="C40" s="66"/>
      <c r="D40" s="34" t="s">
        <v>2611</v>
      </c>
      <c r="E40" s="31">
        <v>3209</v>
      </c>
      <c r="F40" s="31">
        <v>17</v>
      </c>
      <c r="G40" s="31">
        <v>4.55</v>
      </c>
      <c r="H40" s="31">
        <v>3.74</v>
      </c>
      <c r="I40" s="32">
        <v>1.6400000000000001E-7</v>
      </c>
      <c r="J40" s="33">
        <v>2.1299999999999999E-5</v>
      </c>
    </row>
    <row r="41" spans="2:10" ht="19" x14ac:dyDescent="0.25">
      <c r="B41" s="13"/>
      <c r="C41" s="66"/>
      <c r="D41" s="34" t="s">
        <v>2612</v>
      </c>
      <c r="E41" s="31">
        <v>5333</v>
      </c>
      <c r="F41" s="31">
        <v>17</v>
      </c>
      <c r="G41" s="31">
        <v>7.55</v>
      </c>
      <c r="H41" s="31">
        <v>2.25</v>
      </c>
      <c r="I41" s="32">
        <v>3.6699999999999998E-4</v>
      </c>
      <c r="J41" s="33">
        <v>3.4599999999999999E-2</v>
      </c>
    </row>
    <row r="42" spans="2:10" ht="19" x14ac:dyDescent="0.25">
      <c r="B42" s="13"/>
      <c r="C42" s="66"/>
      <c r="D42" s="34" t="s">
        <v>2613</v>
      </c>
      <c r="E42" s="31">
        <v>3189</v>
      </c>
      <c r="F42" s="31">
        <v>17</v>
      </c>
      <c r="G42" s="31">
        <v>4.5199999999999996</v>
      </c>
      <c r="H42" s="31">
        <v>3.76</v>
      </c>
      <c r="I42" s="32">
        <v>1.49E-7</v>
      </c>
      <c r="J42" s="33">
        <v>2.0400000000000001E-5</v>
      </c>
    </row>
    <row r="43" spans="2:10" ht="19" x14ac:dyDescent="0.25">
      <c r="B43" s="13"/>
      <c r="C43" s="66"/>
      <c r="D43" s="34" t="s">
        <v>2614</v>
      </c>
      <c r="E43" s="31">
        <v>1296</v>
      </c>
      <c r="F43" s="31">
        <v>15</v>
      </c>
      <c r="G43" s="31">
        <v>1.84</v>
      </c>
      <c r="H43" s="31">
        <v>8.17</v>
      </c>
      <c r="I43" s="32">
        <v>3.7400000000000001E-11</v>
      </c>
      <c r="J43" s="33">
        <v>5.3700000000000003E-9</v>
      </c>
    </row>
    <row r="44" spans="2:10" ht="19" x14ac:dyDescent="0.25">
      <c r="B44" s="13"/>
      <c r="C44" s="66"/>
      <c r="D44" s="34" t="s">
        <v>2615</v>
      </c>
      <c r="E44" s="31">
        <v>2775</v>
      </c>
      <c r="F44" s="31">
        <v>15</v>
      </c>
      <c r="G44" s="31">
        <v>3.93</v>
      </c>
      <c r="H44" s="31">
        <v>3.82</v>
      </c>
      <c r="I44" s="32">
        <v>1.15E-6</v>
      </c>
      <c r="J44" s="33">
        <v>1.25E-4</v>
      </c>
    </row>
    <row r="45" spans="2:10" ht="19" x14ac:dyDescent="0.25">
      <c r="B45" s="13"/>
      <c r="C45" s="66"/>
      <c r="D45" s="34" t="s">
        <v>2616</v>
      </c>
      <c r="E45" s="31">
        <v>200</v>
      </c>
      <c r="F45" s="31">
        <v>12</v>
      </c>
      <c r="G45" s="31">
        <v>0.28000000000000003</v>
      </c>
      <c r="H45" s="31">
        <v>42.36</v>
      </c>
      <c r="I45" s="32">
        <v>4.8599999999999997E-17</v>
      </c>
      <c r="J45" s="33">
        <v>3.32E-14</v>
      </c>
    </row>
    <row r="46" spans="2:10" ht="19" x14ac:dyDescent="0.25">
      <c r="B46" s="13"/>
      <c r="C46" s="66"/>
      <c r="D46" s="34" t="s">
        <v>2617</v>
      </c>
      <c r="E46" s="31">
        <v>1097</v>
      </c>
      <c r="F46" s="31">
        <v>15</v>
      </c>
      <c r="G46" s="31">
        <v>1.55</v>
      </c>
      <c r="H46" s="31">
        <v>9.65</v>
      </c>
      <c r="I46" s="32">
        <v>3.5699999999999999E-12</v>
      </c>
      <c r="J46" s="33">
        <v>6.9599999999999997E-10</v>
      </c>
    </row>
    <row r="47" spans="2:10" ht="19" x14ac:dyDescent="0.25">
      <c r="B47" s="13"/>
      <c r="C47" s="66"/>
      <c r="D47" s="34" t="s">
        <v>2618</v>
      </c>
      <c r="E47" s="31">
        <v>1111</v>
      </c>
      <c r="F47" s="31">
        <v>15</v>
      </c>
      <c r="G47" s="31">
        <v>1.57</v>
      </c>
      <c r="H47" s="31">
        <v>9.5299999999999994</v>
      </c>
      <c r="I47" s="32">
        <v>4.2700000000000002E-12</v>
      </c>
      <c r="J47" s="33">
        <v>7.7700000000000001E-10</v>
      </c>
    </row>
    <row r="48" spans="2:10" ht="19" x14ac:dyDescent="0.25">
      <c r="B48" s="13"/>
      <c r="C48" s="66"/>
      <c r="D48" s="34" t="s">
        <v>2619</v>
      </c>
      <c r="E48" s="31">
        <v>1300</v>
      </c>
      <c r="F48" s="31">
        <v>16</v>
      </c>
      <c r="G48" s="31">
        <v>1.84</v>
      </c>
      <c r="H48" s="31">
        <v>8.69</v>
      </c>
      <c r="I48" s="32">
        <v>2.33E-12</v>
      </c>
      <c r="J48" s="33">
        <v>5.7699999999999997E-10</v>
      </c>
    </row>
    <row r="49" spans="2:10" ht="19" x14ac:dyDescent="0.25">
      <c r="B49" s="13"/>
      <c r="C49" s="66"/>
      <c r="D49" s="34" t="s">
        <v>2620</v>
      </c>
      <c r="E49" s="31">
        <v>1402</v>
      </c>
      <c r="F49" s="31">
        <v>16</v>
      </c>
      <c r="G49" s="31">
        <v>1.99</v>
      </c>
      <c r="H49" s="31">
        <v>8.06</v>
      </c>
      <c r="I49" s="32">
        <v>7.2399999999999998E-12</v>
      </c>
      <c r="J49" s="33">
        <v>1.1599999999999999E-9</v>
      </c>
    </row>
    <row r="50" spans="2:10" ht="19" x14ac:dyDescent="0.25">
      <c r="B50" s="13"/>
      <c r="C50" s="66"/>
      <c r="D50" s="34" t="s">
        <v>2621</v>
      </c>
      <c r="E50" s="31">
        <v>1112</v>
      </c>
      <c r="F50" s="31">
        <v>15</v>
      </c>
      <c r="G50" s="31">
        <v>1.58</v>
      </c>
      <c r="H50" s="31">
        <v>9.52</v>
      </c>
      <c r="I50" s="32">
        <v>4.3200000000000002E-12</v>
      </c>
      <c r="J50" s="33">
        <v>7.3800000000000004E-10</v>
      </c>
    </row>
    <row r="51" spans="2:10" ht="19" x14ac:dyDescent="0.25">
      <c r="B51" s="13"/>
      <c r="C51" s="66"/>
      <c r="D51" s="34" t="s">
        <v>2596</v>
      </c>
      <c r="E51" s="31">
        <v>1238</v>
      </c>
      <c r="F51" s="31">
        <v>15</v>
      </c>
      <c r="G51" s="31">
        <v>1.75</v>
      </c>
      <c r="H51" s="31">
        <v>8.5500000000000007</v>
      </c>
      <c r="I51" s="32">
        <v>1.97E-11</v>
      </c>
      <c r="J51" s="33">
        <v>2.98E-9</v>
      </c>
    </row>
    <row r="52" spans="2:10" ht="19" x14ac:dyDescent="0.25">
      <c r="B52" s="13"/>
      <c r="C52" s="66"/>
      <c r="D52" s="35" t="s">
        <v>2622</v>
      </c>
      <c r="E52" s="27">
        <v>208</v>
      </c>
      <c r="F52" s="27">
        <v>12</v>
      </c>
      <c r="G52" s="27">
        <v>0.28999999999999998</v>
      </c>
      <c r="H52" s="27">
        <v>40.729999999999997</v>
      </c>
      <c r="I52" s="28">
        <v>7.6199999999999998E-17</v>
      </c>
      <c r="J52" s="29">
        <v>4.1600000000000001E-14</v>
      </c>
    </row>
    <row r="53" spans="2:10" ht="19" x14ac:dyDescent="0.25">
      <c r="B53" s="13"/>
      <c r="C53" s="66"/>
      <c r="D53" s="30" t="s">
        <v>2623</v>
      </c>
      <c r="E53" s="31">
        <v>101</v>
      </c>
      <c r="F53" s="31">
        <v>5</v>
      </c>
      <c r="G53" s="31">
        <v>0.14000000000000001</v>
      </c>
      <c r="H53" s="31">
        <v>34.950000000000003</v>
      </c>
      <c r="I53" s="32">
        <v>3.6100000000000002E-7</v>
      </c>
      <c r="J53" s="33">
        <v>4.4799999999999998E-5</v>
      </c>
    </row>
    <row r="54" spans="2:10" ht="19" x14ac:dyDescent="0.25">
      <c r="B54" s="13"/>
      <c r="C54" s="66"/>
      <c r="D54" s="34" t="s">
        <v>2624</v>
      </c>
      <c r="E54" s="31">
        <v>101</v>
      </c>
      <c r="F54" s="31">
        <v>5</v>
      </c>
      <c r="G54" s="31">
        <v>0.14000000000000001</v>
      </c>
      <c r="H54" s="31">
        <v>34.950000000000003</v>
      </c>
      <c r="I54" s="32">
        <v>3.6100000000000002E-7</v>
      </c>
      <c r="J54" s="33">
        <v>4.2899999999999999E-5</v>
      </c>
    </row>
    <row r="55" spans="2:10" ht="20" thickBot="1" x14ac:dyDescent="0.3">
      <c r="B55" s="13"/>
      <c r="C55" s="67"/>
      <c r="D55" s="34" t="s">
        <v>2625</v>
      </c>
      <c r="E55" s="31">
        <v>109</v>
      </c>
      <c r="F55" s="31">
        <v>5</v>
      </c>
      <c r="G55" s="31">
        <v>0.15</v>
      </c>
      <c r="H55" s="31">
        <v>32.380000000000003</v>
      </c>
      <c r="I55" s="32">
        <v>5.1900000000000003E-7</v>
      </c>
      <c r="J55" s="33">
        <v>5.91E-5</v>
      </c>
    </row>
    <row r="56" spans="2:10" ht="20" thickBot="1" x14ac:dyDescent="0.3">
      <c r="B56" s="13"/>
      <c r="C56" s="42" t="s">
        <v>2626</v>
      </c>
      <c r="D56" s="43" t="s">
        <v>2593</v>
      </c>
      <c r="E56" s="44">
        <v>109</v>
      </c>
      <c r="F56" s="44">
        <v>4</v>
      </c>
      <c r="G56" s="44">
        <v>0.14000000000000001</v>
      </c>
      <c r="H56" s="44">
        <v>28.9</v>
      </c>
      <c r="I56" s="45">
        <v>1.19E-5</v>
      </c>
      <c r="J56" s="46">
        <v>3.2500000000000001E-2</v>
      </c>
    </row>
    <row r="57" spans="2:10" ht="19" x14ac:dyDescent="0.25">
      <c r="B57" s="13"/>
      <c r="C57" s="48" t="s">
        <v>2627</v>
      </c>
      <c r="D57" s="26" t="s">
        <v>2628</v>
      </c>
      <c r="E57" s="27">
        <v>7</v>
      </c>
      <c r="F57" s="27">
        <v>2</v>
      </c>
      <c r="G57" s="27">
        <v>0</v>
      </c>
      <c r="H57" s="27" t="s">
        <v>2581</v>
      </c>
      <c r="I57" s="28">
        <v>1.13E-5</v>
      </c>
      <c r="J57" s="29">
        <v>3.0800000000000001E-2</v>
      </c>
    </row>
    <row r="58" spans="2:10" ht="19" x14ac:dyDescent="0.25">
      <c r="B58" s="13"/>
      <c r="C58" s="49"/>
      <c r="D58" s="30" t="s">
        <v>2593</v>
      </c>
      <c r="E58" s="31">
        <v>109</v>
      </c>
      <c r="F58" s="31">
        <v>3</v>
      </c>
      <c r="G58" s="31">
        <v>0.06</v>
      </c>
      <c r="H58" s="31">
        <v>46.96</v>
      </c>
      <c r="I58" s="32">
        <v>3.3800000000000002E-5</v>
      </c>
      <c r="J58" s="33">
        <v>3.0700000000000002E-2</v>
      </c>
    </row>
    <row r="59" spans="2:10" ht="20" thickBot="1" x14ac:dyDescent="0.3">
      <c r="B59" s="13"/>
      <c r="C59" s="50"/>
      <c r="D59" s="36" t="s">
        <v>2601</v>
      </c>
      <c r="E59" s="37">
        <v>323</v>
      </c>
      <c r="F59" s="37">
        <v>4</v>
      </c>
      <c r="G59" s="37">
        <v>0.19</v>
      </c>
      <c r="H59" s="37">
        <v>21.13</v>
      </c>
      <c r="I59" s="38">
        <v>2.8500000000000002E-5</v>
      </c>
      <c r="J59" s="39">
        <v>3.8899999999999997E-2</v>
      </c>
    </row>
  </sheetData>
  <mergeCells count="12">
    <mergeCell ref="I4:I5"/>
    <mergeCell ref="J4:J5"/>
    <mergeCell ref="C6:C9"/>
    <mergeCell ref="C10:C27"/>
    <mergeCell ref="C29:C55"/>
    <mergeCell ref="G4:G5"/>
    <mergeCell ref="H4:H5"/>
    <mergeCell ref="C57:C59"/>
    <mergeCell ref="C4:C5"/>
    <mergeCell ref="D4:D5"/>
    <mergeCell ref="E4:E5"/>
    <mergeCell ref="F4: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1013-4251-2D4A-874B-CD13D37335B9}">
  <dimension ref="A1:D55"/>
  <sheetViews>
    <sheetView topLeftCell="A48" workbookViewId="0">
      <selection activeCell="K76" sqref="K76"/>
    </sheetView>
  </sheetViews>
  <sheetFormatPr baseColWidth="10" defaultColWidth="8.83203125" defaultRowHeight="16" x14ac:dyDescent="0.2"/>
  <cols>
    <col min="1" max="1" width="9" customWidth="1"/>
    <col min="2" max="2" width="9.6640625" customWidth="1"/>
    <col min="3" max="3" width="58" customWidth="1"/>
    <col min="4" max="75" width="9" customWidth="1"/>
  </cols>
  <sheetData>
    <row r="1" spans="1:4" x14ac:dyDescent="0.2">
      <c r="A1" s="47" t="s">
        <v>2566</v>
      </c>
      <c r="B1" s="47" t="s">
        <v>2629</v>
      </c>
      <c r="C1" s="47" t="s">
        <v>2630</v>
      </c>
      <c r="D1" s="47" t="s">
        <v>2631</v>
      </c>
    </row>
    <row r="2" spans="1:4" x14ac:dyDescent="0.2">
      <c r="A2" t="s">
        <v>2574</v>
      </c>
      <c r="B2">
        <v>3</v>
      </c>
      <c r="C2" t="s">
        <v>2575</v>
      </c>
      <c r="D2" t="s">
        <v>2632</v>
      </c>
    </row>
    <row r="3" spans="1:4" x14ac:dyDescent="0.2">
      <c r="A3" t="s">
        <v>2574</v>
      </c>
      <c r="B3">
        <v>9</v>
      </c>
      <c r="C3" t="s">
        <v>2576</v>
      </c>
      <c r="D3" t="s">
        <v>2633</v>
      </c>
    </row>
    <row r="4" spans="1:4" x14ac:dyDescent="0.2">
      <c r="A4" t="s">
        <v>2574</v>
      </c>
      <c r="B4">
        <v>17</v>
      </c>
      <c r="C4" t="s">
        <v>2577</v>
      </c>
      <c r="D4" t="s">
        <v>2634</v>
      </c>
    </row>
    <row r="5" spans="1:4" x14ac:dyDescent="0.2">
      <c r="A5" t="s">
        <v>2574</v>
      </c>
      <c r="B5">
        <v>3</v>
      </c>
      <c r="C5" t="s">
        <v>2578</v>
      </c>
      <c r="D5" t="s">
        <v>2635</v>
      </c>
    </row>
    <row r="6" spans="1:4" x14ac:dyDescent="0.2">
      <c r="A6" t="s">
        <v>2579</v>
      </c>
      <c r="B6">
        <v>4</v>
      </c>
      <c r="C6" t="s">
        <v>2580</v>
      </c>
      <c r="D6" t="s">
        <v>2636</v>
      </c>
    </row>
    <row r="7" spans="1:4" x14ac:dyDescent="0.2">
      <c r="A7" t="s">
        <v>2579</v>
      </c>
      <c r="B7">
        <v>4</v>
      </c>
      <c r="C7" t="s">
        <v>2582</v>
      </c>
      <c r="D7" t="s">
        <v>2636</v>
      </c>
    </row>
    <row r="8" spans="1:4" x14ac:dyDescent="0.2">
      <c r="A8" t="s">
        <v>2579</v>
      </c>
      <c r="B8">
        <v>4</v>
      </c>
      <c r="C8" t="s">
        <v>2583</v>
      </c>
      <c r="D8" t="s">
        <v>2636</v>
      </c>
    </row>
    <row r="9" spans="1:4" x14ac:dyDescent="0.2">
      <c r="A9" t="s">
        <v>2579</v>
      </c>
      <c r="B9">
        <v>4</v>
      </c>
      <c r="C9" t="s">
        <v>2578</v>
      </c>
      <c r="D9" t="s">
        <v>2637</v>
      </c>
    </row>
    <row r="10" spans="1:4" x14ac:dyDescent="0.2">
      <c r="A10" t="s">
        <v>2579</v>
      </c>
      <c r="B10">
        <v>4</v>
      </c>
      <c r="C10" t="s">
        <v>2584</v>
      </c>
      <c r="D10" t="s">
        <v>2636</v>
      </c>
    </row>
    <row r="11" spans="1:4" x14ac:dyDescent="0.2">
      <c r="A11" t="s">
        <v>2579</v>
      </c>
      <c r="B11">
        <v>5</v>
      </c>
      <c r="C11" t="s">
        <v>2638</v>
      </c>
      <c r="D11" t="s">
        <v>2639</v>
      </c>
    </row>
    <row r="12" spans="1:4" x14ac:dyDescent="0.2">
      <c r="A12" t="s">
        <v>2579</v>
      </c>
      <c r="B12">
        <v>4</v>
      </c>
      <c r="C12" t="s">
        <v>2640</v>
      </c>
      <c r="D12" t="s">
        <v>2636</v>
      </c>
    </row>
    <row r="13" spans="1:4" x14ac:dyDescent="0.2">
      <c r="A13" t="s">
        <v>2579</v>
      </c>
      <c r="B13">
        <v>4</v>
      </c>
      <c r="C13" t="s">
        <v>2641</v>
      </c>
      <c r="D13" t="s">
        <v>2636</v>
      </c>
    </row>
    <row r="14" spans="1:4" x14ac:dyDescent="0.2">
      <c r="A14" t="s">
        <v>2579</v>
      </c>
      <c r="B14">
        <v>4</v>
      </c>
      <c r="C14" t="s">
        <v>2642</v>
      </c>
      <c r="D14" t="s">
        <v>2636</v>
      </c>
    </row>
    <row r="15" spans="1:4" x14ac:dyDescent="0.2">
      <c r="A15" t="s">
        <v>2579</v>
      </c>
      <c r="B15">
        <v>4</v>
      </c>
      <c r="C15" t="s">
        <v>2643</v>
      </c>
      <c r="D15" t="s">
        <v>2636</v>
      </c>
    </row>
    <row r="16" spans="1:4" x14ac:dyDescent="0.2">
      <c r="A16" t="s">
        <v>2579</v>
      </c>
      <c r="B16">
        <v>4</v>
      </c>
      <c r="C16" t="s">
        <v>2590</v>
      </c>
      <c r="D16" t="s">
        <v>2644</v>
      </c>
    </row>
    <row r="17" spans="1:4" x14ac:dyDescent="0.2">
      <c r="A17" t="s">
        <v>2579</v>
      </c>
      <c r="B17">
        <v>4</v>
      </c>
      <c r="C17" t="s">
        <v>2645</v>
      </c>
      <c r="D17" t="s">
        <v>2644</v>
      </c>
    </row>
    <row r="18" spans="1:4" x14ac:dyDescent="0.2">
      <c r="A18" t="s">
        <v>2579</v>
      </c>
      <c r="B18">
        <v>4</v>
      </c>
      <c r="C18" t="s">
        <v>2646</v>
      </c>
      <c r="D18" t="s">
        <v>2644</v>
      </c>
    </row>
    <row r="19" spans="1:4" x14ac:dyDescent="0.2">
      <c r="A19" t="s">
        <v>2579</v>
      </c>
      <c r="B19">
        <v>3</v>
      </c>
      <c r="C19" t="s">
        <v>2593</v>
      </c>
      <c r="D19" t="s">
        <v>2647</v>
      </c>
    </row>
    <row r="20" spans="1:4" x14ac:dyDescent="0.2">
      <c r="A20" t="s">
        <v>2579</v>
      </c>
      <c r="B20">
        <v>5</v>
      </c>
      <c r="C20" t="s">
        <v>2594</v>
      </c>
      <c r="D20" t="s">
        <v>2639</v>
      </c>
    </row>
    <row r="21" spans="1:4" x14ac:dyDescent="0.2">
      <c r="A21" t="s">
        <v>2579</v>
      </c>
      <c r="B21">
        <v>5</v>
      </c>
      <c r="C21" t="s">
        <v>2648</v>
      </c>
      <c r="D21" t="s">
        <v>2639</v>
      </c>
    </row>
    <row r="22" spans="1:4" x14ac:dyDescent="0.2">
      <c r="A22" t="s">
        <v>2579</v>
      </c>
      <c r="B22">
        <v>6</v>
      </c>
      <c r="C22" t="s">
        <v>2649</v>
      </c>
      <c r="D22" t="s">
        <v>2650</v>
      </c>
    </row>
    <row r="23" spans="1:4" x14ac:dyDescent="0.2">
      <c r="A23" t="s">
        <v>2579</v>
      </c>
      <c r="B23">
        <v>5</v>
      </c>
      <c r="C23" t="s">
        <v>2651</v>
      </c>
      <c r="D23" t="s">
        <v>2639</v>
      </c>
    </row>
    <row r="24" spans="1:4" x14ac:dyDescent="0.2">
      <c r="A24" t="s">
        <v>2598</v>
      </c>
      <c r="B24">
        <v>3</v>
      </c>
      <c r="C24" t="s">
        <v>2599</v>
      </c>
      <c r="D24" t="s">
        <v>2652</v>
      </c>
    </row>
    <row r="25" spans="1:4" x14ac:dyDescent="0.2">
      <c r="A25" t="s">
        <v>2600</v>
      </c>
      <c r="B25">
        <v>10</v>
      </c>
      <c r="C25" t="s">
        <v>2599</v>
      </c>
      <c r="D25" t="s">
        <v>2653</v>
      </c>
    </row>
    <row r="26" spans="1:4" x14ac:dyDescent="0.2">
      <c r="A26" t="s">
        <v>2600</v>
      </c>
      <c r="B26">
        <v>15</v>
      </c>
      <c r="C26" t="s">
        <v>2654</v>
      </c>
      <c r="D26" t="s">
        <v>2655</v>
      </c>
    </row>
    <row r="27" spans="1:4" x14ac:dyDescent="0.2">
      <c r="A27" t="s">
        <v>2600</v>
      </c>
      <c r="B27">
        <v>11</v>
      </c>
      <c r="C27" t="s">
        <v>2602</v>
      </c>
      <c r="D27" t="s">
        <v>2656</v>
      </c>
    </row>
    <row r="28" spans="1:4" x14ac:dyDescent="0.2">
      <c r="A28" t="s">
        <v>2600</v>
      </c>
      <c r="B28">
        <v>11</v>
      </c>
      <c r="C28" t="s">
        <v>2640</v>
      </c>
      <c r="D28" t="s">
        <v>2656</v>
      </c>
    </row>
    <row r="29" spans="1:4" x14ac:dyDescent="0.2">
      <c r="A29" t="s">
        <v>2600</v>
      </c>
      <c r="B29">
        <v>11</v>
      </c>
      <c r="C29" t="s">
        <v>2641</v>
      </c>
      <c r="D29" t="s">
        <v>2657</v>
      </c>
    </row>
    <row r="30" spans="1:4" x14ac:dyDescent="0.2">
      <c r="A30" t="s">
        <v>2600</v>
      </c>
      <c r="B30">
        <v>11</v>
      </c>
      <c r="C30" t="s">
        <v>2642</v>
      </c>
      <c r="D30" t="s">
        <v>2657</v>
      </c>
    </row>
    <row r="31" spans="1:4" x14ac:dyDescent="0.2">
      <c r="A31" t="s">
        <v>2600</v>
      </c>
      <c r="B31">
        <v>11</v>
      </c>
      <c r="C31" t="s">
        <v>2643</v>
      </c>
      <c r="D31" t="s">
        <v>2657</v>
      </c>
    </row>
    <row r="32" spans="1:4" x14ac:dyDescent="0.2">
      <c r="A32" t="s">
        <v>2600</v>
      </c>
      <c r="B32">
        <v>12</v>
      </c>
      <c r="C32" t="s">
        <v>2658</v>
      </c>
      <c r="D32" t="s">
        <v>2659</v>
      </c>
    </row>
    <row r="33" spans="1:4" x14ac:dyDescent="0.2">
      <c r="A33" t="s">
        <v>2600</v>
      </c>
      <c r="B33">
        <v>12</v>
      </c>
      <c r="C33" t="s">
        <v>2608</v>
      </c>
      <c r="D33" t="s">
        <v>2660</v>
      </c>
    </row>
    <row r="34" spans="1:4" x14ac:dyDescent="0.2">
      <c r="A34" t="s">
        <v>2600</v>
      </c>
      <c r="B34">
        <v>15</v>
      </c>
      <c r="C34" t="s">
        <v>2661</v>
      </c>
      <c r="D34" t="s">
        <v>2662</v>
      </c>
    </row>
    <row r="35" spans="1:4" x14ac:dyDescent="0.2">
      <c r="A35" t="s">
        <v>2600</v>
      </c>
      <c r="B35">
        <v>16</v>
      </c>
      <c r="C35" t="s">
        <v>2663</v>
      </c>
      <c r="D35" t="s">
        <v>2664</v>
      </c>
    </row>
    <row r="36" spans="1:4" x14ac:dyDescent="0.2">
      <c r="A36" t="s">
        <v>2600</v>
      </c>
      <c r="B36">
        <v>17</v>
      </c>
      <c r="C36" t="s">
        <v>2665</v>
      </c>
      <c r="D36" t="s">
        <v>2666</v>
      </c>
    </row>
    <row r="37" spans="1:4" x14ac:dyDescent="0.2">
      <c r="A37" t="s">
        <v>2600</v>
      </c>
      <c r="B37">
        <v>17</v>
      </c>
      <c r="C37" t="s">
        <v>2577</v>
      </c>
      <c r="D37" t="s">
        <v>2666</v>
      </c>
    </row>
    <row r="38" spans="1:4" x14ac:dyDescent="0.2">
      <c r="A38" t="s">
        <v>2600</v>
      </c>
      <c r="B38">
        <v>17</v>
      </c>
      <c r="C38" t="s">
        <v>2667</v>
      </c>
      <c r="D38" t="s">
        <v>2666</v>
      </c>
    </row>
    <row r="39" spans="1:4" x14ac:dyDescent="0.2">
      <c r="A39" t="s">
        <v>2600</v>
      </c>
      <c r="B39">
        <v>15</v>
      </c>
      <c r="C39" t="s">
        <v>2668</v>
      </c>
      <c r="D39" t="s">
        <v>2662</v>
      </c>
    </row>
    <row r="40" spans="1:4" x14ac:dyDescent="0.2">
      <c r="A40" t="s">
        <v>2600</v>
      </c>
      <c r="B40">
        <v>15</v>
      </c>
      <c r="C40" t="s">
        <v>2669</v>
      </c>
      <c r="D40" t="s">
        <v>2662</v>
      </c>
    </row>
    <row r="41" spans="1:4" x14ac:dyDescent="0.2">
      <c r="A41" t="s">
        <v>2600</v>
      </c>
      <c r="B41">
        <v>12</v>
      </c>
      <c r="C41" t="s">
        <v>2670</v>
      </c>
      <c r="D41" t="s">
        <v>2660</v>
      </c>
    </row>
    <row r="42" spans="1:4" x14ac:dyDescent="0.2">
      <c r="A42" t="s">
        <v>2600</v>
      </c>
      <c r="B42">
        <v>15</v>
      </c>
      <c r="C42" t="s">
        <v>2671</v>
      </c>
      <c r="D42" t="s">
        <v>2662</v>
      </c>
    </row>
    <row r="43" spans="1:4" x14ac:dyDescent="0.2">
      <c r="A43" t="s">
        <v>2600</v>
      </c>
      <c r="B43">
        <v>15</v>
      </c>
      <c r="C43" t="s">
        <v>2672</v>
      </c>
      <c r="D43" t="s">
        <v>2662</v>
      </c>
    </row>
    <row r="44" spans="1:4" x14ac:dyDescent="0.2">
      <c r="A44" t="s">
        <v>2600</v>
      </c>
      <c r="B44">
        <v>16</v>
      </c>
      <c r="C44" t="s">
        <v>2673</v>
      </c>
      <c r="D44" t="s">
        <v>2664</v>
      </c>
    </row>
    <row r="45" spans="1:4" x14ac:dyDescent="0.2">
      <c r="A45" t="s">
        <v>2600</v>
      </c>
      <c r="B45">
        <v>16</v>
      </c>
      <c r="C45" t="s">
        <v>2674</v>
      </c>
      <c r="D45" t="s">
        <v>2664</v>
      </c>
    </row>
    <row r="46" spans="1:4" x14ac:dyDescent="0.2">
      <c r="A46" t="s">
        <v>2600</v>
      </c>
      <c r="B46">
        <v>15</v>
      </c>
      <c r="C46" t="s">
        <v>2675</v>
      </c>
      <c r="D46" t="s">
        <v>2662</v>
      </c>
    </row>
    <row r="47" spans="1:4" x14ac:dyDescent="0.2">
      <c r="A47" t="s">
        <v>2600</v>
      </c>
      <c r="B47">
        <v>15</v>
      </c>
      <c r="C47" t="s">
        <v>2649</v>
      </c>
      <c r="D47" t="s">
        <v>2662</v>
      </c>
    </row>
    <row r="48" spans="1:4" x14ac:dyDescent="0.2">
      <c r="A48" t="s">
        <v>2600</v>
      </c>
      <c r="B48">
        <v>12</v>
      </c>
      <c r="C48" t="s">
        <v>2676</v>
      </c>
      <c r="D48" t="s">
        <v>2660</v>
      </c>
    </row>
    <row r="49" spans="1:4" x14ac:dyDescent="0.2">
      <c r="A49" t="s">
        <v>2600</v>
      </c>
      <c r="B49">
        <v>5</v>
      </c>
      <c r="C49" t="s">
        <v>2623</v>
      </c>
      <c r="D49" t="s">
        <v>2677</v>
      </c>
    </row>
    <row r="50" spans="1:4" x14ac:dyDescent="0.2">
      <c r="A50" t="s">
        <v>2600</v>
      </c>
      <c r="B50">
        <v>5</v>
      </c>
      <c r="C50" t="s">
        <v>2678</v>
      </c>
      <c r="D50" t="s">
        <v>2677</v>
      </c>
    </row>
    <row r="51" spans="1:4" x14ac:dyDescent="0.2">
      <c r="A51" t="s">
        <v>2600</v>
      </c>
      <c r="B51">
        <v>5</v>
      </c>
      <c r="C51" t="s">
        <v>2593</v>
      </c>
      <c r="D51" t="s">
        <v>2677</v>
      </c>
    </row>
    <row r="52" spans="1:4" x14ac:dyDescent="0.2">
      <c r="A52" t="s">
        <v>2626</v>
      </c>
      <c r="B52">
        <v>4</v>
      </c>
      <c r="C52" t="s">
        <v>2593</v>
      </c>
      <c r="D52" t="s">
        <v>2679</v>
      </c>
    </row>
    <row r="53" spans="1:4" x14ac:dyDescent="0.2">
      <c r="A53" t="s">
        <v>2627</v>
      </c>
      <c r="B53">
        <v>2</v>
      </c>
      <c r="C53" t="s">
        <v>2628</v>
      </c>
      <c r="D53" t="s">
        <v>2680</v>
      </c>
    </row>
    <row r="54" spans="1:4" x14ac:dyDescent="0.2">
      <c r="A54" t="s">
        <v>2627</v>
      </c>
      <c r="B54">
        <v>3</v>
      </c>
      <c r="C54" t="s">
        <v>2593</v>
      </c>
      <c r="D54" t="s">
        <v>2681</v>
      </c>
    </row>
    <row r="55" spans="1:4" x14ac:dyDescent="0.2">
      <c r="A55" t="s">
        <v>2627</v>
      </c>
      <c r="B55">
        <v>4</v>
      </c>
      <c r="C55" t="s">
        <v>2654</v>
      </c>
      <c r="D55" t="s">
        <v>2682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D625-AC26-A442-8E79-86C2C272FF74}">
  <dimension ref="A1:T523"/>
  <sheetViews>
    <sheetView workbookViewId="0">
      <selection sqref="A1:XFD1"/>
    </sheetView>
  </sheetViews>
  <sheetFormatPr baseColWidth="10" defaultRowHeight="16" x14ac:dyDescent="0.2"/>
  <sheetData>
    <row r="1" spans="1:20" s="9" customFormat="1" x14ac:dyDescent="0.2">
      <c r="A1" s="8" t="s">
        <v>0</v>
      </c>
      <c r="B1" s="8" t="s">
        <v>24</v>
      </c>
      <c r="C1" s="8" t="s">
        <v>46</v>
      </c>
      <c r="D1" s="8" t="s">
        <v>59</v>
      </c>
      <c r="E1" s="8" t="s">
        <v>60</v>
      </c>
      <c r="F1" s="8" t="s">
        <v>2539</v>
      </c>
      <c r="G1" s="8" t="s">
        <v>2537</v>
      </c>
      <c r="H1" s="8" t="s">
        <v>2538</v>
      </c>
      <c r="I1" s="8" t="s">
        <v>2540</v>
      </c>
      <c r="J1" s="8" t="s">
        <v>2544</v>
      </c>
      <c r="K1" s="8" t="s">
        <v>2548</v>
      </c>
      <c r="L1" s="8" t="s">
        <v>2541</v>
      </c>
      <c r="M1" s="8" t="s">
        <v>2545</v>
      </c>
      <c r="N1" s="8" t="s">
        <v>2549</v>
      </c>
      <c r="O1" s="8" t="s">
        <v>2542</v>
      </c>
      <c r="P1" s="8" t="s">
        <v>2546</v>
      </c>
      <c r="Q1" s="8" t="s">
        <v>2550</v>
      </c>
      <c r="R1" s="8" t="s">
        <v>2543</v>
      </c>
      <c r="S1" s="8" t="s">
        <v>2547</v>
      </c>
      <c r="T1" s="8" t="s">
        <v>2551</v>
      </c>
    </row>
    <row r="2" spans="1:20" x14ac:dyDescent="0.2">
      <c r="A2" s="1" t="s">
        <v>284</v>
      </c>
      <c r="B2" s="1" t="s">
        <v>285</v>
      </c>
      <c r="C2" s="1">
        <v>1</v>
      </c>
      <c r="D2" s="1" t="s">
        <v>1180</v>
      </c>
      <c r="E2" s="1">
        <v>11</v>
      </c>
      <c r="F2" s="1">
        <v>0</v>
      </c>
      <c r="G2" s="1">
        <v>0</v>
      </c>
      <c r="H2" s="2">
        <v>9.5799999999999998E-4</v>
      </c>
      <c r="I2" s="1">
        <v>0</v>
      </c>
      <c r="J2" s="1">
        <v>0</v>
      </c>
      <c r="K2" s="1">
        <v>0.63305199999999995</v>
      </c>
      <c r="L2" s="1">
        <v>0</v>
      </c>
      <c r="M2" s="1">
        <v>0</v>
      </c>
      <c r="N2" s="1">
        <v>16</v>
      </c>
      <c r="O2" s="1">
        <v>0</v>
      </c>
      <c r="P2" s="1">
        <v>0</v>
      </c>
      <c r="Q2" s="3">
        <v>0.21299999999999999</v>
      </c>
      <c r="R2" s="1">
        <v>0</v>
      </c>
      <c r="S2" s="1">
        <v>0</v>
      </c>
    </row>
    <row r="3" spans="1:20" x14ac:dyDescent="0.2">
      <c r="A3" s="1" t="s">
        <v>286</v>
      </c>
      <c r="B3" s="1" t="s">
        <v>287</v>
      </c>
      <c r="C3" s="1">
        <v>1</v>
      </c>
      <c r="D3" s="1" t="s">
        <v>1180</v>
      </c>
      <c r="E3" s="1">
        <v>26</v>
      </c>
      <c r="F3" s="1">
        <v>0</v>
      </c>
      <c r="G3" s="1">
        <v>0</v>
      </c>
      <c r="H3" s="1">
        <v>1.4254599999999999E-3</v>
      </c>
      <c r="I3" s="1">
        <v>0</v>
      </c>
      <c r="J3" s="1">
        <v>0</v>
      </c>
      <c r="K3" s="1">
        <v>1.4831331000000001</v>
      </c>
      <c r="L3" s="1">
        <v>0</v>
      </c>
      <c r="M3" s="1">
        <v>0</v>
      </c>
      <c r="N3" s="1">
        <v>42</v>
      </c>
      <c r="O3" s="1">
        <v>0</v>
      </c>
      <c r="P3" s="1">
        <v>0</v>
      </c>
      <c r="Q3" s="3">
        <v>0.39500000000000002</v>
      </c>
      <c r="R3" s="1">
        <v>0</v>
      </c>
      <c r="S3" s="1">
        <v>0</v>
      </c>
    </row>
    <row r="4" spans="1:20" x14ac:dyDescent="0.2">
      <c r="A4" s="1" t="s">
        <v>288</v>
      </c>
      <c r="B4" s="1" t="s">
        <v>289</v>
      </c>
      <c r="C4" s="1">
        <v>1</v>
      </c>
      <c r="D4" s="1" t="s">
        <v>1180</v>
      </c>
      <c r="E4" s="1">
        <v>3</v>
      </c>
      <c r="F4" s="1">
        <v>0</v>
      </c>
      <c r="G4" s="1">
        <v>0</v>
      </c>
      <c r="H4" s="1">
        <v>1.72649E-3</v>
      </c>
      <c r="I4" s="1">
        <v>0</v>
      </c>
      <c r="J4" s="1">
        <v>0</v>
      </c>
      <c r="K4" s="1">
        <v>0.46217715999999998</v>
      </c>
      <c r="L4" s="1">
        <v>0</v>
      </c>
      <c r="M4" s="1">
        <v>0</v>
      </c>
      <c r="N4" s="1">
        <v>15</v>
      </c>
      <c r="O4" s="1">
        <v>0</v>
      </c>
      <c r="P4" s="1">
        <v>0</v>
      </c>
      <c r="Q4" s="3">
        <v>0.16500000000000001</v>
      </c>
      <c r="R4" s="1">
        <v>0</v>
      </c>
      <c r="S4" s="1">
        <v>0</v>
      </c>
    </row>
    <row r="5" spans="1:20" x14ac:dyDescent="0.2">
      <c r="A5" s="1" t="s">
        <v>290</v>
      </c>
      <c r="B5" s="1" t="s">
        <v>291</v>
      </c>
      <c r="C5" s="1">
        <v>1</v>
      </c>
      <c r="D5" s="1" t="s">
        <v>1180</v>
      </c>
      <c r="E5" s="1">
        <v>8</v>
      </c>
      <c r="F5" s="1">
        <v>0</v>
      </c>
      <c r="G5" s="1">
        <v>0</v>
      </c>
      <c r="H5" s="2">
        <v>6.9700000000000003E-4</v>
      </c>
      <c r="I5" s="1">
        <v>0</v>
      </c>
      <c r="J5" s="1">
        <v>0</v>
      </c>
      <c r="K5" s="1">
        <v>0.78237880000000004</v>
      </c>
      <c r="L5" s="1">
        <v>0</v>
      </c>
      <c r="M5" s="1">
        <v>0</v>
      </c>
      <c r="N5" s="1">
        <v>9</v>
      </c>
      <c r="O5" s="1">
        <v>0</v>
      </c>
      <c r="P5" s="1">
        <v>0</v>
      </c>
      <c r="Q5" s="3">
        <v>0.251</v>
      </c>
      <c r="R5" s="1">
        <v>0</v>
      </c>
      <c r="S5" s="1">
        <v>0</v>
      </c>
    </row>
    <row r="6" spans="1:20" x14ac:dyDescent="0.2">
      <c r="A6" s="1" t="s">
        <v>292</v>
      </c>
      <c r="B6" s="1" t="s">
        <v>82</v>
      </c>
      <c r="C6" s="1">
        <v>1</v>
      </c>
      <c r="D6" s="1" t="s">
        <v>1180</v>
      </c>
      <c r="E6" s="1">
        <v>19</v>
      </c>
      <c r="F6" s="1">
        <v>0</v>
      </c>
      <c r="G6" s="1">
        <v>0</v>
      </c>
      <c r="H6" s="1">
        <v>1.48194E-3</v>
      </c>
      <c r="I6" s="1">
        <v>0</v>
      </c>
      <c r="J6" s="1">
        <v>0</v>
      </c>
      <c r="K6" s="1">
        <v>0.86208713000000003</v>
      </c>
      <c r="L6" s="1">
        <v>0</v>
      </c>
      <c r="M6" s="1">
        <v>0</v>
      </c>
      <c r="N6" s="1">
        <v>44</v>
      </c>
      <c r="O6" s="1">
        <v>0</v>
      </c>
      <c r="P6" s="1">
        <v>0</v>
      </c>
      <c r="Q6" s="3">
        <v>0.27</v>
      </c>
      <c r="R6" s="1">
        <v>0</v>
      </c>
      <c r="S6" s="1">
        <v>0</v>
      </c>
    </row>
    <row r="7" spans="1:20" x14ac:dyDescent="0.2">
      <c r="A7" s="1" t="s">
        <v>293</v>
      </c>
      <c r="B7" s="1" t="s">
        <v>82</v>
      </c>
      <c r="C7" s="1">
        <v>1</v>
      </c>
      <c r="D7" s="1" t="s">
        <v>1180</v>
      </c>
      <c r="E7" s="1">
        <v>4</v>
      </c>
      <c r="F7" s="1">
        <v>0</v>
      </c>
      <c r="G7" s="1">
        <v>0</v>
      </c>
      <c r="H7" s="2">
        <v>9.0399999999999996E-4</v>
      </c>
      <c r="I7" s="1">
        <v>0</v>
      </c>
      <c r="J7" s="1">
        <v>0</v>
      </c>
      <c r="K7" s="1">
        <v>2.0974192999999999</v>
      </c>
      <c r="L7" s="1">
        <v>0</v>
      </c>
      <c r="M7" s="1">
        <v>0</v>
      </c>
      <c r="N7" s="1">
        <v>11</v>
      </c>
      <c r="O7" s="1">
        <v>0</v>
      </c>
      <c r="P7" s="1">
        <v>0</v>
      </c>
      <c r="Q7" s="3">
        <v>0.49099999999999999</v>
      </c>
      <c r="R7" s="1">
        <v>0</v>
      </c>
      <c r="S7" s="1">
        <v>0</v>
      </c>
    </row>
    <row r="8" spans="1:20" x14ac:dyDescent="0.2">
      <c r="A8" s="1" t="s">
        <v>294</v>
      </c>
      <c r="B8" s="1" t="s">
        <v>42</v>
      </c>
      <c r="C8" s="1">
        <v>1</v>
      </c>
      <c r="D8" s="1" t="s">
        <v>1180</v>
      </c>
      <c r="E8" s="1">
        <v>9</v>
      </c>
      <c r="F8" s="1">
        <v>0</v>
      </c>
      <c r="G8" s="1">
        <v>0</v>
      </c>
      <c r="H8" s="2">
        <v>6.6799999999999997E-4</v>
      </c>
      <c r="I8" s="1">
        <v>0</v>
      </c>
      <c r="J8" s="1">
        <v>0</v>
      </c>
      <c r="K8" s="1">
        <v>0.15877736000000001</v>
      </c>
      <c r="L8" s="1">
        <v>0</v>
      </c>
      <c r="M8" s="1">
        <v>0</v>
      </c>
      <c r="N8" s="1">
        <v>11</v>
      </c>
      <c r="O8" s="1">
        <v>0</v>
      </c>
      <c r="P8" s="1">
        <v>0</v>
      </c>
      <c r="Q8" s="3">
        <v>6.4000000000000001E-2</v>
      </c>
      <c r="R8" s="1">
        <v>0</v>
      </c>
      <c r="S8" s="1">
        <v>0</v>
      </c>
    </row>
    <row r="9" spans="1:20" x14ac:dyDescent="0.2">
      <c r="A9" s="1" t="s">
        <v>295</v>
      </c>
      <c r="B9" s="1" t="s">
        <v>296</v>
      </c>
      <c r="C9" s="1">
        <v>1</v>
      </c>
      <c r="D9" s="1" t="s">
        <v>1180</v>
      </c>
      <c r="E9" s="1">
        <v>3</v>
      </c>
      <c r="F9" s="1">
        <v>0</v>
      </c>
      <c r="G9" s="1">
        <v>0</v>
      </c>
      <c r="H9" s="2">
        <v>3.9399999999999998E-4</v>
      </c>
      <c r="I9" s="1">
        <v>0</v>
      </c>
      <c r="J9" s="1">
        <v>0</v>
      </c>
      <c r="K9" s="1">
        <v>0.11429453000000001</v>
      </c>
      <c r="L9" s="1">
        <v>0</v>
      </c>
      <c r="M9" s="1">
        <v>0</v>
      </c>
      <c r="N9" s="1">
        <v>7</v>
      </c>
      <c r="O9" s="1">
        <v>0</v>
      </c>
      <c r="P9" s="1">
        <v>0</v>
      </c>
      <c r="Q9" s="3">
        <v>4.7E-2</v>
      </c>
      <c r="R9" s="1">
        <v>0</v>
      </c>
      <c r="S9" s="1">
        <v>0</v>
      </c>
    </row>
    <row r="10" spans="1:20" x14ac:dyDescent="0.2">
      <c r="A10" s="1" t="s">
        <v>297</v>
      </c>
      <c r="B10" s="1" t="s">
        <v>298</v>
      </c>
      <c r="C10" s="1">
        <v>1</v>
      </c>
      <c r="D10" s="1" t="s">
        <v>1180</v>
      </c>
      <c r="E10" s="1">
        <v>3</v>
      </c>
      <c r="F10" s="1">
        <v>0</v>
      </c>
      <c r="G10" s="1">
        <v>0</v>
      </c>
      <c r="H10" s="2">
        <v>4.0999999999999999E-4</v>
      </c>
      <c r="I10" s="1">
        <v>0</v>
      </c>
      <c r="J10" s="1">
        <v>0</v>
      </c>
      <c r="K10" s="1">
        <v>0.33045447</v>
      </c>
      <c r="L10" s="1">
        <v>0</v>
      </c>
      <c r="M10" s="1">
        <v>0</v>
      </c>
      <c r="N10" s="1">
        <v>4</v>
      </c>
      <c r="O10" s="1">
        <v>0</v>
      </c>
      <c r="P10" s="1">
        <v>0</v>
      </c>
      <c r="Q10" s="3">
        <v>0.124</v>
      </c>
      <c r="R10" s="1">
        <v>0</v>
      </c>
      <c r="S10" s="1">
        <v>0</v>
      </c>
    </row>
    <row r="11" spans="1:20" x14ac:dyDescent="0.2">
      <c r="A11" s="1" t="s">
        <v>299</v>
      </c>
      <c r="B11" s="1" t="s">
        <v>300</v>
      </c>
      <c r="C11" s="1">
        <v>1</v>
      </c>
      <c r="D11" s="1" t="s">
        <v>1180</v>
      </c>
      <c r="E11" s="1">
        <v>5</v>
      </c>
      <c r="F11" s="1">
        <v>0</v>
      </c>
      <c r="G11" s="1">
        <v>0</v>
      </c>
      <c r="H11" s="2">
        <v>3.0400000000000002E-4</v>
      </c>
      <c r="I11" s="1">
        <v>0</v>
      </c>
      <c r="J11" s="1">
        <v>0</v>
      </c>
      <c r="K11" s="1">
        <v>0.59220874000000001</v>
      </c>
      <c r="L11" s="1">
        <v>0</v>
      </c>
      <c r="M11" s="1">
        <v>0</v>
      </c>
      <c r="N11" s="1">
        <v>5</v>
      </c>
      <c r="O11" s="1">
        <v>0</v>
      </c>
      <c r="P11" s="1">
        <v>0</v>
      </c>
      <c r="Q11" s="3">
        <v>0.20200000000000001</v>
      </c>
      <c r="R11" s="1">
        <v>0</v>
      </c>
      <c r="S11" s="1">
        <v>0</v>
      </c>
    </row>
    <row r="12" spans="1:20" x14ac:dyDescent="0.2">
      <c r="A12" s="1" t="s">
        <v>301</v>
      </c>
      <c r="B12" s="1" t="s">
        <v>302</v>
      </c>
      <c r="C12" s="1">
        <v>1</v>
      </c>
      <c r="D12" s="1" t="s">
        <v>1180</v>
      </c>
      <c r="E12" s="1">
        <v>12</v>
      </c>
      <c r="F12" s="1">
        <v>0</v>
      </c>
      <c r="G12" s="1">
        <v>0</v>
      </c>
      <c r="H12" s="1">
        <v>1.63306E-3</v>
      </c>
      <c r="I12" s="1">
        <v>0</v>
      </c>
      <c r="J12" s="1">
        <v>0</v>
      </c>
      <c r="K12" s="1">
        <v>1.0796967</v>
      </c>
      <c r="L12" s="1">
        <v>0</v>
      </c>
      <c r="M12" s="1">
        <v>0</v>
      </c>
      <c r="N12" s="1">
        <v>19</v>
      </c>
      <c r="O12" s="1">
        <v>0</v>
      </c>
      <c r="P12" s="1">
        <v>0</v>
      </c>
      <c r="Q12" s="3">
        <v>0.318</v>
      </c>
      <c r="R12" s="1">
        <v>0</v>
      </c>
      <c r="S12" s="1">
        <v>0</v>
      </c>
    </row>
    <row r="13" spans="1:20" x14ac:dyDescent="0.2">
      <c r="A13" s="1" t="s">
        <v>303</v>
      </c>
      <c r="B13" s="1" t="s">
        <v>304</v>
      </c>
      <c r="C13" s="1">
        <v>1</v>
      </c>
      <c r="D13" s="1" t="s">
        <v>1180</v>
      </c>
      <c r="E13" s="1">
        <v>7</v>
      </c>
      <c r="F13" s="1">
        <v>0</v>
      </c>
      <c r="G13" s="1">
        <v>0</v>
      </c>
      <c r="H13" s="2">
        <v>5.31E-4</v>
      </c>
      <c r="I13" s="1">
        <v>0</v>
      </c>
      <c r="J13" s="1">
        <v>0</v>
      </c>
      <c r="K13" s="1">
        <v>0.27938128000000001</v>
      </c>
      <c r="L13" s="1">
        <v>0</v>
      </c>
      <c r="M13" s="1">
        <v>0</v>
      </c>
      <c r="N13" s="1">
        <v>12</v>
      </c>
      <c r="O13" s="1">
        <v>0</v>
      </c>
      <c r="P13" s="1">
        <v>0</v>
      </c>
      <c r="Q13" s="3">
        <v>0.107</v>
      </c>
      <c r="R13" s="1">
        <v>0</v>
      </c>
      <c r="S13" s="1">
        <v>0</v>
      </c>
    </row>
    <row r="14" spans="1:20" x14ac:dyDescent="0.2">
      <c r="A14" s="1" t="s">
        <v>305</v>
      </c>
      <c r="B14" s="1" t="s">
        <v>306</v>
      </c>
      <c r="C14" s="1">
        <v>1</v>
      </c>
      <c r="D14" s="1" t="s">
        <v>1180</v>
      </c>
      <c r="E14" s="1">
        <v>10</v>
      </c>
      <c r="F14" s="1">
        <v>0</v>
      </c>
      <c r="G14" s="1">
        <v>0</v>
      </c>
      <c r="H14" s="1">
        <v>3.0158899999999998E-3</v>
      </c>
      <c r="I14" s="1">
        <v>0</v>
      </c>
      <c r="J14" s="1">
        <v>0</v>
      </c>
      <c r="K14" s="1">
        <v>2.8194427000000002</v>
      </c>
      <c r="L14" s="1">
        <v>0</v>
      </c>
      <c r="M14" s="1">
        <v>0</v>
      </c>
      <c r="N14" s="1">
        <v>18</v>
      </c>
      <c r="O14" s="1">
        <v>0</v>
      </c>
      <c r="P14" s="1">
        <v>0</v>
      </c>
      <c r="Q14" s="3">
        <v>0.58199999999999996</v>
      </c>
      <c r="R14" s="1">
        <v>0</v>
      </c>
      <c r="S14" s="1">
        <v>0</v>
      </c>
    </row>
    <row r="15" spans="1:20" x14ac:dyDescent="0.2">
      <c r="A15" s="1" t="s">
        <v>307</v>
      </c>
      <c r="B15" s="1" t="s">
        <v>308</v>
      </c>
      <c r="C15" s="1">
        <v>1</v>
      </c>
      <c r="D15" s="1" t="s">
        <v>1180</v>
      </c>
      <c r="E15" s="1">
        <v>9</v>
      </c>
      <c r="F15" s="1">
        <v>0</v>
      </c>
      <c r="G15" s="1">
        <v>0</v>
      </c>
      <c r="H15" s="1">
        <v>2.1243600000000001E-3</v>
      </c>
      <c r="I15" s="1">
        <v>0</v>
      </c>
      <c r="J15" s="1">
        <v>0</v>
      </c>
      <c r="K15" s="1">
        <v>1.0370419</v>
      </c>
      <c r="L15" s="1">
        <v>0</v>
      </c>
      <c r="M15" s="1">
        <v>0</v>
      </c>
      <c r="N15" s="1">
        <v>13</v>
      </c>
      <c r="O15" s="1">
        <v>0</v>
      </c>
      <c r="P15" s="1">
        <v>0</v>
      </c>
      <c r="Q15" s="3">
        <v>0.309</v>
      </c>
      <c r="R15" s="1">
        <v>0</v>
      </c>
      <c r="S15" s="1">
        <v>0</v>
      </c>
    </row>
    <row r="16" spans="1:20" x14ac:dyDescent="0.2">
      <c r="A16" s="1" t="s">
        <v>309</v>
      </c>
      <c r="B16" s="1" t="s">
        <v>310</v>
      </c>
      <c r="C16" s="1">
        <v>1</v>
      </c>
      <c r="D16" s="1" t="s">
        <v>1180</v>
      </c>
      <c r="E16" s="1">
        <v>22</v>
      </c>
      <c r="F16" s="1">
        <v>0</v>
      </c>
      <c r="G16" s="1">
        <v>0</v>
      </c>
      <c r="H16" s="1">
        <v>2.8473700000000001E-3</v>
      </c>
      <c r="I16" s="1">
        <v>0</v>
      </c>
      <c r="J16" s="1">
        <v>0</v>
      </c>
      <c r="K16" s="1">
        <v>2.0760968000000002</v>
      </c>
      <c r="L16" s="1">
        <v>0</v>
      </c>
      <c r="M16" s="1">
        <v>0</v>
      </c>
      <c r="N16" s="1">
        <v>37</v>
      </c>
      <c r="O16" s="1">
        <v>0</v>
      </c>
      <c r="P16" s="1">
        <v>0</v>
      </c>
      <c r="Q16" s="3">
        <v>0.48799999999999999</v>
      </c>
      <c r="R16" s="1">
        <v>0</v>
      </c>
      <c r="S16" s="1">
        <v>0</v>
      </c>
    </row>
    <row r="17" spans="1:19" x14ac:dyDescent="0.2">
      <c r="A17" s="1" t="s">
        <v>311</v>
      </c>
      <c r="B17" s="1" t="s">
        <v>312</v>
      </c>
      <c r="C17" s="1">
        <v>1</v>
      </c>
      <c r="D17" s="1" t="s">
        <v>1180</v>
      </c>
      <c r="E17" s="1">
        <v>9</v>
      </c>
      <c r="F17" s="1">
        <v>0</v>
      </c>
      <c r="G17" s="1">
        <v>0</v>
      </c>
      <c r="H17" s="1">
        <v>1.80087E-3</v>
      </c>
      <c r="I17" s="1">
        <v>0</v>
      </c>
      <c r="J17" s="1">
        <v>0</v>
      </c>
      <c r="K17" s="1">
        <v>0.84077190000000002</v>
      </c>
      <c r="L17" s="1">
        <v>0</v>
      </c>
      <c r="M17" s="1">
        <v>0</v>
      </c>
      <c r="N17" s="1">
        <v>20</v>
      </c>
      <c r="O17" s="1">
        <v>0</v>
      </c>
      <c r="P17" s="1">
        <v>0</v>
      </c>
      <c r="Q17" s="3">
        <v>0.26500000000000001</v>
      </c>
      <c r="R17" s="1">
        <v>0</v>
      </c>
      <c r="S17" s="1">
        <v>0</v>
      </c>
    </row>
    <row r="18" spans="1:19" x14ac:dyDescent="0.2">
      <c r="A18" s="1" t="s">
        <v>313</v>
      </c>
      <c r="B18" s="1" t="s">
        <v>314</v>
      </c>
      <c r="C18" s="1">
        <v>1</v>
      </c>
      <c r="D18" s="1" t="s">
        <v>1180</v>
      </c>
      <c r="E18" s="1">
        <v>4</v>
      </c>
      <c r="F18" s="1">
        <v>0</v>
      </c>
      <c r="G18" s="1">
        <v>0</v>
      </c>
      <c r="H18" s="2">
        <v>6.9200000000000002E-4</v>
      </c>
      <c r="I18" s="1">
        <v>0</v>
      </c>
      <c r="J18" s="1">
        <v>0</v>
      </c>
      <c r="K18" s="1">
        <v>0.33045447</v>
      </c>
      <c r="L18" s="1">
        <v>0</v>
      </c>
      <c r="M18" s="1">
        <v>0</v>
      </c>
      <c r="N18" s="1">
        <v>8</v>
      </c>
      <c r="O18" s="1">
        <v>0</v>
      </c>
      <c r="P18" s="1">
        <v>0</v>
      </c>
      <c r="Q18" s="3">
        <v>0.124</v>
      </c>
      <c r="R18" s="1">
        <v>0</v>
      </c>
      <c r="S18" s="1">
        <v>0</v>
      </c>
    </row>
    <row r="19" spans="1:19" x14ac:dyDescent="0.2">
      <c r="A19" s="1" t="s">
        <v>315</v>
      </c>
      <c r="B19" s="1" t="s">
        <v>316</v>
      </c>
      <c r="C19" s="1">
        <v>1</v>
      </c>
      <c r="D19" s="1" t="s">
        <v>1180</v>
      </c>
      <c r="E19" s="1">
        <v>3</v>
      </c>
      <c r="F19" s="1">
        <v>0</v>
      </c>
      <c r="G19" s="1">
        <v>0</v>
      </c>
      <c r="H19" s="2">
        <v>3.01E-4</v>
      </c>
      <c r="I19" s="1">
        <v>0</v>
      </c>
      <c r="J19" s="1">
        <v>0</v>
      </c>
      <c r="K19" s="1">
        <v>0.30016959999999998</v>
      </c>
      <c r="L19" s="1">
        <v>0</v>
      </c>
      <c r="M19" s="1">
        <v>0</v>
      </c>
      <c r="N19" s="1">
        <v>3</v>
      </c>
      <c r="O19" s="1">
        <v>0</v>
      </c>
      <c r="P19" s="1">
        <v>0</v>
      </c>
      <c r="Q19" s="3">
        <v>0.114</v>
      </c>
      <c r="R19" s="1">
        <v>0</v>
      </c>
      <c r="S19" s="1">
        <v>0</v>
      </c>
    </row>
    <row r="20" spans="1:19" x14ac:dyDescent="0.2">
      <c r="A20" s="1" t="s">
        <v>317</v>
      </c>
      <c r="B20" s="1" t="s">
        <v>318</v>
      </c>
      <c r="C20" s="1">
        <v>1</v>
      </c>
      <c r="D20" s="1" t="s">
        <v>1180</v>
      </c>
      <c r="E20" s="1">
        <v>3</v>
      </c>
      <c r="F20" s="1">
        <v>0</v>
      </c>
      <c r="G20" s="1">
        <v>0</v>
      </c>
      <c r="H20" s="2">
        <v>6.9300000000000004E-4</v>
      </c>
      <c r="I20" s="1">
        <v>0</v>
      </c>
      <c r="J20" s="1">
        <v>0</v>
      </c>
      <c r="K20" s="1">
        <v>0.14287830000000001</v>
      </c>
      <c r="L20" s="1">
        <v>0</v>
      </c>
      <c r="M20" s="1">
        <v>0</v>
      </c>
      <c r="N20" s="1">
        <v>9</v>
      </c>
      <c r="O20" s="1">
        <v>0</v>
      </c>
      <c r="P20" s="1">
        <v>0</v>
      </c>
      <c r="Q20" s="3">
        <v>5.8000000000000003E-2</v>
      </c>
      <c r="R20" s="1">
        <v>0</v>
      </c>
      <c r="S20" s="1">
        <v>0</v>
      </c>
    </row>
    <row r="21" spans="1:19" x14ac:dyDescent="0.2">
      <c r="A21" s="1" t="s">
        <v>319</v>
      </c>
      <c r="B21" s="1" t="s">
        <v>320</v>
      </c>
      <c r="C21" s="1">
        <v>1</v>
      </c>
      <c r="D21" s="1" t="s">
        <v>1180</v>
      </c>
      <c r="E21" s="1">
        <v>6</v>
      </c>
      <c r="F21" s="1">
        <v>0</v>
      </c>
      <c r="G21" s="1">
        <v>0</v>
      </c>
      <c r="H21" s="2">
        <v>7.3499999999999998E-4</v>
      </c>
      <c r="I21" s="1">
        <v>0</v>
      </c>
      <c r="J21" s="1">
        <v>0</v>
      </c>
      <c r="K21" s="1">
        <v>0.48593570000000003</v>
      </c>
      <c r="L21" s="1">
        <v>0</v>
      </c>
      <c r="M21" s="1">
        <v>0</v>
      </c>
      <c r="N21" s="1">
        <v>11</v>
      </c>
      <c r="O21" s="1">
        <v>0</v>
      </c>
      <c r="P21" s="1">
        <v>0</v>
      </c>
      <c r="Q21" s="3">
        <v>0.17199999999999999</v>
      </c>
      <c r="R21" s="1">
        <v>0</v>
      </c>
      <c r="S21" s="1">
        <v>0</v>
      </c>
    </row>
    <row r="22" spans="1:19" x14ac:dyDescent="0.2">
      <c r="A22" s="1" t="s">
        <v>321</v>
      </c>
      <c r="B22" s="1" t="s">
        <v>322</v>
      </c>
      <c r="C22" s="1">
        <v>1</v>
      </c>
      <c r="D22" s="1" t="s">
        <v>1180</v>
      </c>
      <c r="E22" s="1">
        <v>2</v>
      </c>
      <c r="F22" s="1">
        <v>0</v>
      </c>
      <c r="G22" s="1">
        <v>0</v>
      </c>
      <c r="H22" s="2">
        <v>1.9799999999999999E-4</v>
      </c>
      <c r="I22" s="1">
        <v>0</v>
      </c>
      <c r="J22" s="1">
        <v>0</v>
      </c>
      <c r="K22" s="1">
        <v>0.18850218999999999</v>
      </c>
      <c r="L22" s="1">
        <v>0</v>
      </c>
      <c r="M22" s="1">
        <v>0</v>
      </c>
      <c r="N22" s="1">
        <v>2</v>
      </c>
      <c r="O22" s="1">
        <v>0</v>
      </c>
      <c r="P22" s="1">
        <v>0</v>
      </c>
      <c r="Q22" s="3">
        <v>7.4999999999999997E-2</v>
      </c>
      <c r="R22" s="1">
        <v>0</v>
      </c>
      <c r="S22" s="1">
        <v>0</v>
      </c>
    </row>
    <row r="23" spans="1:19" x14ac:dyDescent="0.2">
      <c r="A23" s="1" t="s">
        <v>323</v>
      </c>
      <c r="B23" s="1" t="s">
        <v>324</v>
      </c>
      <c r="C23" s="1">
        <v>1</v>
      </c>
      <c r="D23" s="1" t="s">
        <v>1180</v>
      </c>
      <c r="E23" s="1">
        <v>7</v>
      </c>
      <c r="F23" s="1">
        <v>0</v>
      </c>
      <c r="G23" s="1">
        <v>0</v>
      </c>
      <c r="H23" s="2">
        <v>3.8299999999999999E-4</v>
      </c>
      <c r="I23" s="1">
        <v>0</v>
      </c>
      <c r="J23" s="1">
        <v>0</v>
      </c>
      <c r="K23" s="1">
        <v>0.73780084000000001</v>
      </c>
      <c r="L23" s="1">
        <v>0</v>
      </c>
      <c r="M23" s="1">
        <v>0</v>
      </c>
      <c r="N23" s="1">
        <v>7</v>
      </c>
      <c r="O23" s="1">
        <v>0</v>
      </c>
      <c r="P23" s="1">
        <v>0</v>
      </c>
      <c r="Q23" s="3">
        <v>0.24</v>
      </c>
      <c r="R23" s="1">
        <v>0</v>
      </c>
      <c r="S23" s="1">
        <v>0</v>
      </c>
    </row>
    <row r="24" spans="1:19" x14ac:dyDescent="0.2">
      <c r="A24" s="1" t="s">
        <v>325</v>
      </c>
      <c r="B24" s="1" t="s">
        <v>326</v>
      </c>
      <c r="C24" s="1">
        <v>1</v>
      </c>
      <c r="D24" s="1" t="s">
        <v>1180</v>
      </c>
      <c r="E24" s="1">
        <v>8</v>
      </c>
      <c r="F24" s="1">
        <v>0</v>
      </c>
      <c r="G24" s="1">
        <v>0</v>
      </c>
      <c r="H24" s="2">
        <v>8.8199999999999997E-4</v>
      </c>
      <c r="I24" s="1">
        <v>0</v>
      </c>
      <c r="J24" s="1">
        <v>0</v>
      </c>
      <c r="K24" s="1">
        <v>0.72186863000000001</v>
      </c>
      <c r="L24" s="1">
        <v>0</v>
      </c>
      <c r="M24" s="1">
        <v>0</v>
      </c>
      <c r="N24" s="1">
        <v>11</v>
      </c>
      <c r="O24" s="1">
        <v>0</v>
      </c>
      <c r="P24" s="1">
        <v>0</v>
      </c>
      <c r="Q24" s="3">
        <v>0.23599999999999999</v>
      </c>
      <c r="R24" s="1">
        <v>0</v>
      </c>
      <c r="S24" s="1">
        <v>0</v>
      </c>
    </row>
    <row r="25" spans="1:19" x14ac:dyDescent="0.2">
      <c r="A25" s="1" t="s">
        <v>327</v>
      </c>
      <c r="B25" s="1" t="s">
        <v>328</v>
      </c>
      <c r="C25" s="1">
        <v>1</v>
      </c>
      <c r="D25" s="1" t="s">
        <v>1180</v>
      </c>
      <c r="E25" s="1">
        <v>2</v>
      </c>
      <c r="F25" s="1">
        <v>0</v>
      </c>
      <c r="G25" s="1">
        <v>0</v>
      </c>
      <c r="H25" s="2">
        <v>2.7599999999999999E-4</v>
      </c>
      <c r="I25" s="1">
        <v>0</v>
      </c>
      <c r="J25" s="1">
        <v>0</v>
      </c>
      <c r="K25" s="1">
        <v>0.30316674999999998</v>
      </c>
      <c r="L25" s="1">
        <v>0</v>
      </c>
      <c r="M25" s="1">
        <v>0</v>
      </c>
      <c r="N25" s="1">
        <v>2</v>
      </c>
      <c r="O25" s="1">
        <v>0</v>
      </c>
      <c r="P25" s="1">
        <v>0</v>
      </c>
      <c r="Q25" s="3">
        <v>0.115</v>
      </c>
      <c r="R25" s="1">
        <v>0</v>
      </c>
      <c r="S25" s="1">
        <v>0</v>
      </c>
    </row>
    <row r="26" spans="1:19" x14ac:dyDescent="0.2">
      <c r="A26" s="1" t="s">
        <v>329</v>
      </c>
      <c r="B26" s="1" t="s">
        <v>330</v>
      </c>
      <c r="C26" s="1">
        <v>1</v>
      </c>
      <c r="D26" s="1" t="s">
        <v>1180</v>
      </c>
      <c r="E26" s="1">
        <v>18</v>
      </c>
      <c r="F26" s="1">
        <v>0</v>
      </c>
      <c r="G26" s="1">
        <v>0</v>
      </c>
      <c r="H26" s="1">
        <v>2.0868200000000001E-3</v>
      </c>
      <c r="I26" s="1">
        <v>0</v>
      </c>
      <c r="J26" s="1">
        <v>0</v>
      </c>
      <c r="K26" s="1">
        <v>1.2908678</v>
      </c>
      <c r="L26" s="1">
        <v>0</v>
      </c>
      <c r="M26" s="1">
        <v>0</v>
      </c>
      <c r="N26" s="1">
        <v>35</v>
      </c>
      <c r="O26" s="1">
        <v>0</v>
      </c>
      <c r="P26" s="1">
        <v>0</v>
      </c>
      <c r="Q26" s="3">
        <v>0.36</v>
      </c>
      <c r="R26" s="1">
        <v>0</v>
      </c>
      <c r="S26" s="1">
        <v>0</v>
      </c>
    </row>
    <row r="27" spans="1:19" x14ac:dyDescent="0.2">
      <c r="A27" s="1" t="s">
        <v>331</v>
      </c>
      <c r="B27" s="1" t="s">
        <v>332</v>
      </c>
      <c r="C27" s="1">
        <v>1</v>
      </c>
      <c r="D27" s="1" t="s">
        <v>1180</v>
      </c>
      <c r="E27" s="1">
        <v>55</v>
      </c>
      <c r="F27" s="1">
        <v>0</v>
      </c>
      <c r="G27" s="1">
        <v>0</v>
      </c>
      <c r="H27" s="1">
        <v>3.6467700000000001E-3</v>
      </c>
      <c r="I27" s="1">
        <v>0</v>
      </c>
      <c r="J27" s="1">
        <v>0</v>
      </c>
      <c r="K27" s="1">
        <v>2.7068074000000002</v>
      </c>
      <c r="L27" s="1">
        <v>0</v>
      </c>
      <c r="M27" s="1">
        <v>0</v>
      </c>
      <c r="N27" s="1">
        <v>108</v>
      </c>
      <c r="O27" s="1">
        <v>0</v>
      </c>
      <c r="P27" s="1">
        <v>0</v>
      </c>
      <c r="Q27" s="3">
        <v>0.56899999999999995</v>
      </c>
      <c r="R27" s="1">
        <v>0</v>
      </c>
      <c r="S27" s="1">
        <v>0</v>
      </c>
    </row>
    <row r="28" spans="1:19" x14ac:dyDescent="0.2">
      <c r="A28" s="1" t="s">
        <v>333</v>
      </c>
      <c r="B28" s="1" t="s">
        <v>334</v>
      </c>
      <c r="C28" s="1">
        <v>1</v>
      </c>
      <c r="D28" s="1" t="s">
        <v>1180</v>
      </c>
      <c r="E28" s="1">
        <v>4</v>
      </c>
      <c r="F28" s="1">
        <v>0</v>
      </c>
      <c r="G28" s="1">
        <v>0</v>
      </c>
      <c r="H28" s="2">
        <v>1.26E-4</v>
      </c>
      <c r="I28" s="1">
        <v>0</v>
      </c>
      <c r="J28" s="1">
        <v>0</v>
      </c>
      <c r="K28" s="1">
        <v>0.10917485</v>
      </c>
      <c r="L28" s="1">
        <v>0</v>
      </c>
      <c r="M28" s="1">
        <v>0</v>
      </c>
      <c r="N28" s="1">
        <v>4</v>
      </c>
      <c r="O28" s="1">
        <v>0</v>
      </c>
      <c r="P28" s="1">
        <v>0</v>
      </c>
      <c r="Q28" s="3">
        <v>4.4999999999999998E-2</v>
      </c>
      <c r="R28" s="1">
        <v>0</v>
      </c>
      <c r="S28" s="1">
        <v>0</v>
      </c>
    </row>
    <row r="29" spans="1:19" x14ac:dyDescent="0.2">
      <c r="A29" s="1" t="s">
        <v>335</v>
      </c>
      <c r="B29" s="1" t="s">
        <v>336</v>
      </c>
      <c r="C29" s="1">
        <v>1</v>
      </c>
      <c r="D29" s="1" t="s">
        <v>1180</v>
      </c>
      <c r="E29" s="1">
        <v>16</v>
      </c>
      <c r="F29" s="1">
        <v>0</v>
      </c>
      <c r="G29" s="1">
        <v>0</v>
      </c>
      <c r="H29" s="1">
        <v>2.58757E-3</v>
      </c>
      <c r="I29" s="1">
        <v>0</v>
      </c>
      <c r="J29" s="1">
        <v>0</v>
      </c>
      <c r="K29" s="1">
        <v>1.9785166000000001</v>
      </c>
      <c r="L29" s="1">
        <v>0</v>
      </c>
      <c r="M29" s="1">
        <v>0</v>
      </c>
      <c r="N29" s="1">
        <v>26</v>
      </c>
      <c r="O29" s="1">
        <v>0</v>
      </c>
      <c r="P29" s="1">
        <v>0</v>
      </c>
      <c r="Q29" s="3">
        <v>0.47399999999999998</v>
      </c>
      <c r="R29" s="1">
        <v>0</v>
      </c>
      <c r="S29" s="1">
        <v>0</v>
      </c>
    </row>
    <row r="30" spans="1:19" x14ac:dyDescent="0.2">
      <c r="A30" s="1" t="s">
        <v>337</v>
      </c>
      <c r="B30" s="1" t="s">
        <v>338</v>
      </c>
      <c r="C30" s="1">
        <v>1</v>
      </c>
      <c r="D30" s="1" t="s">
        <v>1180</v>
      </c>
      <c r="E30" s="1">
        <v>3</v>
      </c>
      <c r="F30" s="1">
        <v>0</v>
      </c>
      <c r="G30" s="1">
        <v>0</v>
      </c>
      <c r="H30" s="2">
        <v>7.4200000000000004E-4</v>
      </c>
      <c r="I30" s="1">
        <v>0</v>
      </c>
      <c r="J30" s="1">
        <v>0</v>
      </c>
      <c r="K30" s="1">
        <v>0.23879659</v>
      </c>
      <c r="L30" s="1">
        <v>0</v>
      </c>
      <c r="M30" s="1">
        <v>0</v>
      </c>
      <c r="N30" s="1">
        <v>6</v>
      </c>
      <c r="O30" s="1">
        <v>0</v>
      </c>
      <c r="P30" s="1">
        <v>0</v>
      </c>
      <c r="Q30" s="3">
        <v>9.2999999999999999E-2</v>
      </c>
      <c r="R30" s="1">
        <v>0</v>
      </c>
      <c r="S30" s="1">
        <v>0</v>
      </c>
    </row>
    <row r="31" spans="1:19" x14ac:dyDescent="0.2">
      <c r="A31" s="1" t="s">
        <v>339</v>
      </c>
      <c r="B31" s="1" t="s">
        <v>41</v>
      </c>
      <c r="C31" s="1">
        <v>1</v>
      </c>
      <c r="D31" s="1" t="s">
        <v>1180</v>
      </c>
      <c r="E31" s="1">
        <v>2</v>
      </c>
      <c r="F31" s="1">
        <v>0</v>
      </c>
      <c r="G31" s="1">
        <v>0</v>
      </c>
      <c r="H31" s="2">
        <v>3.9500000000000001E-4</v>
      </c>
      <c r="I31" s="1">
        <v>0</v>
      </c>
      <c r="J31" s="1">
        <v>0</v>
      </c>
      <c r="K31" s="1">
        <v>0.73380400000000001</v>
      </c>
      <c r="L31" s="1">
        <v>0</v>
      </c>
      <c r="M31" s="1">
        <v>0</v>
      </c>
      <c r="N31" s="1">
        <v>2</v>
      </c>
      <c r="O31" s="1">
        <v>0</v>
      </c>
      <c r="P31" s="1">
        <v>0</v>
      </c>
      <c r="Q31" s="3">
        <v>0.23899999999999999</v>
      </c>
      <c r="R31" s="1">
        <v>0</v>
      </c>
      <c r="S31" s="1">
        <v>0</v>
      </c>
    </row>
    <row r="32" spans="1:19" x14ac:dyDescent="0.2">
      <c r="A32" s="1" t="s">
        <v>340</v>
      </c>
      <c r="B32" s="1" t="s">
        <v>341</v>
      </c>
      <c r="C32" s="1">
        <v>1</v>
      </c>
      <c r="D32" s="1" t="s">
        <v>1180</v>
      </c>
      <c r="E32" s="1">
        <v>12</v>
      </c>
      <c r="F32" s="1">
        <v>0</v>
      </c>
      <c r="G32" s="1">
        <v>0</v>
      </c>
      <c r="H32" s="2">
        <v>3.3599999999999998E-4</v>
      </c>
      <c r="I32" s="1">
        <v>0</v>
      </c>
      <c r="J32" s="1">
        <v>0</v>
      </c>
      <c r="K32" s="1">
        <v>0.69044090000000002</v>
      </c>
      <c r="L32" s="1">
        <v>0</v>
      </c>
      <c r="M32" s="1">
        <v>0</v>
      </c>
      <c r="N32" s="1">
        <v>16</v>
      </c>
      <c r="O32" s="1">
        <v>0</v>
      </c>
      <c r="P32" s="1">
        <v>0</v>
      </c>
      <c r="Q32" s="3">
        <v>0.22800000000000001</v>
      </c>
      <c r="R32" s="1">
        <v>0</v>
      </c>
      <c r="S32" s="1">
        <v>0</v>
      </c>
    </row>
    <row r="33" spans="1:19" x14ac:dyDescent="0.2">
      <c r="A33" s="1" t="s">
        <v>342</v>
      </c>
      <c r="B33" s="1" t="s">
        <v>259</v>
      </c>
      <c r="C33" s="1">
        <v>1</v>
      </c>
      <c r="D33" s="1" t="s">
        <v>1180</v>
      </c>
      <c r="E33" s="1">
        <v>12</v>
      </c>
      <c r="F33" s="1">
        <v>0</v>
      </c>
      <c r="G33" s="1">
        <v>0</v>
      </c>
      <c r="H33" s="1">
        <v>3.0808900000000002E-3</v>
      </c>
      <c r="I33" s="1">
        <v>0</v>
      </c>
      <c r="J33" s="1">
        <v>0</v>
      </c>
      <c r="K33" s="1">
        <v>0.67494284999999998</v>
      </c>
      <c r="L33" s="1">
        <v>0</v>
      </c>
      <c r="M33" s="1">
        <v>0</v>
      </c>
      <c r="N33" s="1">
        <v>27</v>
      </c>
      <c r="O33" s="1">
        <v>0</v>
      </c>
      <c r="P33" s="1">
        <v>0</v>
      </c>
      <c r="Q33" s="3">
        <v>0.224</v>
      </c>
      <c r="R33" s="1">
        <v>0</v>
      </c>
      <c r="S33" s="1">
        <v>0</v>
      </c>
    </row>
    <row r="34" spans="1:19" x14ac:dyDescent="0.2">
      <c r="A34" s="1" t="s">
        <v>343</v>
      </c>
      <c r="B34" s="1" t="s">
        <v>344</v>
      </c>
      <c r="C34" s="1">
        <v>1</v>
      </c>
      <c r="D34" s="1" t="s">
        <v>1180</v>
      </c>
      <c r="E34" s="1">
        <v>88</v>
      </c>
      <c r="F34" s="1">
        <v>0</v>
      </c>
      <c r="G34" s="1">
        <v>0</v>
      </c>
      <c r="H34" s="2">
        <v>9.4200000000000002E-4</v>
      </c>
      <c r="I34" s="1">
        <v>0</v>
      </c>
      <c r="J34" s="1">
        <v>0</v>
      </c>
      <c r="K34" s="1">
        <v>0.566751</v>
      </c>
      <c r="L34" s="1">
        <v>0</v>
      </c>
      <c r="M34" s="1">
        <v>0</v>
      </c>
      <c r="N34" s="1">
        <v>129</v>
      </c>
      <c r="O34" s="1">
        <v>0</v>
      </c>
      <c r="P34" s="1">
        <v>0</v>
      </c>
      <c r="Q34" s="3">
        <v>0.19500000000000001</v>
      </c>
      <c r="R34" s="1">
        <v>0</v>
      </c>
      <c r="S34" s="1">
        <v>0</v>
      </c>
    </row>
    <row r="35" spans="1:19" x14ac:dyDescent="0.2">
      <c r="A35" s="1" t="s">
        <v>345</v>
      </c>
      <c r="B35" s="1" t="s">
        <v>346</v>
      </c>
      <c r="C35" s="1">
        <v>1</v>
      </c>
      <c r="D35" s="1" t="s">
        <v>1180</v>
      </c>
      <c r="E35" s="1">
        <v>28</v>
      </c>
      <c r="F35" s="1">
        <v>0</v>
      </c>
      <c r="G35" s="1">
        <v>0</v>
      </c>
      <c r="H35" s="2">
        <v>2.12E-4</v>
      </c>
      <c r="I35" s="1">
        <v>0</v>
      </c>
      <c r="J35" s="1">
        <v>0</v>
      </c>
      <c r="K35" s="1">
        <v>0.21618604999999999</v>
      </c>
      <c r="L35" s="1">
        <v>0</v>
      </c>
      <c r="M35" s="1">
        <v>0</v>
      </c>
      <c r="N35" s="1">
        <v>38</v>
      </c>
      <c r="O35" s="1">
        <v>0</v>
      </c>
      <c r="P35" s="1">
        <v>0</v>
      </c>
      <c r="Q35" s="3">
        <v>8.5000000000000006E-2</v>
      </c>
      <c r="R35" s="1">
        <v>0</v>
      </c>
      <c r="S35" s="1">
        <v>0</v>
      </c>
    </row>
    <row r="36" spans="1:19" x14ac:dyDescent="0.2">
      <c r="A36" s="1" t="s">
        <v>347</v>
      </c>
      <c r="B36" s="1" t="s">
        <v>348</v>
      </c>
      <c r="C36" s="1">
        <v>1</v>
      </c>
      <c r="D36" s="1" t="s">
        <v>1180</v>
      </c>
      <c r="E36" s="1">
        <v>6</v>
      </c>
      <c r="F36" s="1">
        <v>0</v>
      </c>
      <c r="G36" s="1">
        <v>0</v>
      </c>
      <c r="H36" s="2">
        <v>2.4499999999999999E-4</v>
      </c>
      <c r="I36" s="1">
        <v>0</v>
      </c>
      <c r="J36" s="1">
        <v>0</v>
      </c>
      <c r="K36" s="1">
        <v>0.1614486</v>
      </c>
      <c r="L36" s="1">
        <v>0</v>
      </c>
      <c r="M36" s="1">
        <v>0</v>
      </c>
      <c r="N36" s="1">
        <v>8</v>
      </c>
      <c r="O36" s="1">
        <v>0</v>
      </c>
      <c r="P36" s="1">
        <v>0</v>
      </c>
      <c r="Q36" s="3">
        <v>6.5000000000000002E-2</v>
      </c>
      <c r="R36" s="1">
        <v>0</v>
      </c>
      <c r="S36" s="1">
        <v>0</v>
      </c>
    </row>
    <row r="37" spans="1:19" x14ac:dyDescent="0.2">
      <c r="A37" s="1" t="s">
        <v>349</v>
      </c>
      <c r="B37" s="1" t="s">
        <v>39</v>
      </c>
      <c r="C37" s="1">
        <v>1</v>
      </c>
      <c r="D37" s="1" t="s">
        <v>1180</v>
      </c>
      <c r="E37" s="1">
        <v>5</v>
      </c>
      <c r="F37" s="1">
        <v>0</v>
      </c>
      <c r="G37" s="1">
        <v>0</v>
      </c>
      <c r="H37" s="1">
        <v>1.0627799999999999E-3</v>
      </c>
      <c r="I37" s="1">
        <v>0</v>
      </c>
      <c r="J37" s="1">
        <v>0</v>
      </c>
      <c r="K37" s="1">
        <v>0.62929606000000005</v>
      </c>
      <c r="L37" s="1">
        <v>0</v>
      </c>
      <c r="M37" s="1">
        <v>0</v>
      </c>
      <c r="N37" s="1">
        <v>11</v>
      </c>
      <c r="O37" s="1">
        <v>0</v>
      </c>
      <c r="P37" s="1">
        <v>0</v>
      </c>
      <c r="Q37" s="3">
        <v>0.21199999999999999</v>
      </c>
      <c r="R37" s="1">
        <v>0</v>
      </c>
      <c r="S37" s="1">
        <v>0</v>
      </c>
    </row>
    <row r="38" spans="1:19" x14ac:dyDescent="0.2">
      <c r="A38" s="1" t="s">
        <v>350</v>
      </c>
      <c r="B38" s="1" t="s">
        <v>178</v>
      </c>
      <c r="C38" s="1">
        <v>1</v>
      </c>
      <c r="D38" s="1" t="s">
        <v>1180</v>
      </c>
      <c r="E38" s="1">
        <v>2</v>
      </c>
      <c r="F38" s="1">
        <v>0</v>
      </c>
      <c r="G38" s="1">
        <v>0</v>
      </c>
      <c r="H38" s="2">
        <v>3.3099999999999998E-5</v>
      </c>
      <c r="I38" s="1">
        <v>0</v>
      </c>
      <c r="J38" s="1">
        <v>0</v>
      </c>
      <c r="K38" s="1">
        <v>4.4720169999999997E-2</v>
      </c>
      <c r="L38" s="1">
        <v>0</v>
      </c>
      <c r="M38" s="1">
        <v>0</v>
      </c>
      <c r="N38" s="1">
        <v>2</v>
      </c>
      <c r="O38" s="1">
        <v>0</v>
      </c>
      <c r="P38" s="1">
        <v>0</v>
      </c>
      <c r="Q38" s="3">
        <v>1.9E-2</v>
      </c>
      <c r="R38" s="1">
        <v>0</v>
      </c>
      <c r="S38" s="1">
        <v>0</v>
      </c>
    </row>
    <row r="39" spans="1:19" x14ac:dyDescent="0.2">
      <c r="A39" s="1" t="s">
        <v>351</v>
      </c>
      <c r="B39" s="1" t="s">
        <v>40</v>
      </c>
      <c r="C39" s="1">
        <v>1</v>
      </c>
      <c r="D39" s="1" t="s">
        <v>1180</v>
      </c>
      <c r="E39" s="1">
        <v>18</v>
      </c>
      <c r="F39" s="1">
        <v>0</v>
      </c>
      <c r="G39" s="1">
        <v>0</v>
      </c>
      <c r="H39" s="1">
        <v>2.9055600000000002E-3</v>
      </c>
      <c r="I39" s="1">
        <v>0</v>
      </c>
      <c r="J39" s="1">
        <v>0</v>
      </c>
      <c r="K39" s="1">
        <v>2.0760968000000002</v>
      </c>
      <c r="L39" s="1">
        <v>0</v>
      </c>
      <c r="M39" s="1">
        <v>0</v>
      </c>
      <c r="N39" s="1">
        <v>36</v>
      </c>
      <c r="O39" s="1">
        <v>0</v>
      </c>
      <c r="P39" s="1">
        <v>0</v>
      </c>
      <c r="Q39" s="3">
        <v>0.48799999999999999</v>
      </c>
      <c r="R39" s="1">
        <v>0</v>
      </c>
      <c r="S39" s="1">
        <v>0</v>
      </c>
    </row>
    <row r="40" spans="1:19" x14ac:dyDescent="0.2">
      <c r="A40" s="1" t="s">
        <v>352</v>
      </c>
      <c r="B40" s="1" t="s">
        <v>353</v>
      </c>
      <c r="C40" s="1">
        <v>1</v>
      </c>
      <c r="D40" s="1" t="s">
        <v>1180</v>
      </c>
      <c r="E40" s="1">
        <v>2</v>
      </c>
      <c r="F40" s="1">
        <v>0</v>
      </c>
      <c r="G40" s="1">
        <v>0</v>
      </c>
      <c r="H40" s="2">
        <v>1.9599999999999999E-4</v>
      </c>
      <c r="I40" s="1">
        <v>0</v>
      </c>
      <c r="J40" s="1">
        <v>0</v>
      </c>
      <c r="K40" s="1">
        <v>0.18576872</v>
      </c>
      <c r="L40" s="1">
        <v>0</v>
      </c>
      <c r="M40" s="1">
        <v>0</v>
      </c>
      <c r="N40" s="1">
        <v>2</v>
      </c>
      <c r="O40" s="1">
        <v>0</v>
      </c>
      <c r="P40" s="1">
        <v>0</v>
      </c>
      <c r="Q40" s="3">
        <v>7.3999999999999996E-2</v>
      </c>
      <c r="R40" s="1">
        <v>0</v>
      </c>
      <c r="S40" s="1">
        <v>0</v>
      </c>
    </row>
    <row r="41" spans="1:19" x14ac:dyDescent="0.2">
      <c r="A41" s="1" t="s">
        <v>354</v>
      </c>
      <c r="B41" s="1" t="s">
        <v>355</v>
      </c>
      <c r="C41" s="1">
        <v>1</v>
      </c>
      <c r="D41" s="1" t="s">
        <v>1180</v>
      </c>
      <c r="E41" s="1">
        <v>2</v>
      </c>
      <c r="F41" s="1">
        <v>0</v>
      </c>
      <c r="G41" s="1">
        <v>0</v>
      </c>
      <c r="H41" s="2">
        <v>6.97E-5</v>
      </c>
      <c r="I41" s="1">
        <v>0</v>
      </c>
      <c r="J41" s="1">
        <v>0</v>
      </c>
      <c r="K41" s="1">
        <v>0.10153925</v>
      </c>
      <c r="L41" s="1">
        <v>0</v>
      </c>
      <c r="M41" s="1">
        <v>0</v>
      </c>
      <c r="N41" s="1">
        <v>2</v>
      </c>
      <c r="O41" s="1">
        <v>0</v>
      </c>
      <c r="P41" s="1">
        <v>0</v>
      </c>
      <c r="Q41" s="3">
        <v>4.2000000000000003E-2</v>
      </c>
      <c r="R41" s="1">
        <v>0</v>
      </c>
      <c r="S41" s="1">
        <v>0</v>
      </c>
    </row>
    <row r="42" spans="1:19" x14ac:dyDescent="0.2">
      <c r="A42" s="1" t="s">
        <v>356</v>
      </c>
      <c r="B42" s="1" t="s">
        <v>357</v>
      </c>
      <c r="C42" s="1">
        <v>1</v>
      </c>
      <c r="D42" s="1" t="s">
        <v>1180</v>
      </c>
      <c r="E42" s="1">
        <v>18</v>
      </c>
      <c r="F42" s="1">
        <v>0</v>
      </c>
      <c r="G42" s="1">
        <v>0</v>
      </c>
      <c r="H42" s="1">
        <v>1.1325300000000001E-3</v>
      </c>
      <c r="I42" s="1">
        <v>0</v>
      </c>
      <c r="J42" s="1">
        <v>0</v>
      </c>
      <c r="K42" s="1">
        <v>1.1086282999999999</v>
      </c>
      <c r="L42" s="1">
        <v>0</v>
      </c>
      <c r="M42" s="1">
        <v>0</v>
      </c>
      <c r="N42" s="1">
        <v>32</v>
      </c>
      <c r="O42" s="1">
        <v>0</v>
      </c>
      <c r="P42" s="1">
        <v>0</v>
      </c>
      <c r="Q42" s="3">
        <v>0.32400000000000001</v>
      </c>
      <c r="R42" s="1">
        <v>0</v>
      </c>
      <c r="S42" s="1">
        <v>0</v>
      </c>
    </row>
    <row r="43" spans="1:19" x14ac:dyDescent="0.2">
      <c r="A43" s="1" t="s">
        <v>358</v>
      </c>
      <c r="B43" s="1" t="s">
        <v>359</v>
      </c>
      <c r="C43" s="1">
        <v>1</v>
      </c>
      <c r="D43" s="1" t="s">
        <v>1180</v>
      </c>
      <c r="E43" s="1">
        <v>3</v>
      </c>
      <c r="F43" s="1">
        <v>0</v>
      </c>
      <c r="G43" s="1">
        <v>0</v>
      </c>
      <c r="H43" s="2">
        <v>1.8000000000000001E-4</v>
      </c>
      <c r="I43" s="1">
        <v>0</v>
      </c>
      <c r="J43" s="1">
        <v>0</v>
      </c>
      <c r="K43" s="1">
        <v>0.20503592000000001</v>
      </c>
      <c r="L43" s="1">
        <v>0</v>
      </c>
      <c r="M43" s="1">
        <v>0</v>
      </c>
      <c r="N43" s="1">
        <v>3</v>
      </c>
      <c r="O43" s="1">
        <v>0</v>
      </c>
      <c r="P43" s="1">
        <v>0</v>
      </c>
      <c r="Q43" s="3">
        <v>8.1000000000000003E-2</v>
      </c>
      <c r="R43" s="1">
        <v>0</v>
      </c>
      <c r="S43" s="1">
        <v>0</v>
      </c>
    </row>
    <row r="44" spans="1:19" x14ac:dyDescent="0.2">
      <c r="A44" s="1" t="s">
        <v>360</v>
      </c>
      <c r="B44" s="1" t="s">
        <v>25</v>
      </c>
      <c r="C44" s="1">
        <v>1</v>
      </c>
      <c r="D44" s="1" t="s">
        <v>1180</v>
      </c>
      <c r="E44" s="1">
        <v>2</v>
      </c>
      <c r="F44" s="1">
        <v>0</v>
      </c>
      <c r="G44" s="1">
        <v>0</v>
      </c>
      <c r="H44" s="2">
        <v>1.05E-4</v>
      </c>
      <c r="I44" s="1">
        <v>0</v>
      </c>
      <c r="J44" s="1">
        <v>0</v>
      </c>
      <c r="K44" s="1">
        <v>0.29419577000000002</v>
      </c>
      <c r="L44" s="1">
        <v>0</v>
      </c>
      <c r="M44" s="1">
        <v>0</v>
      </c>
      <c r="N44" s="1">
        <v>2</v>
      </c>
      <c r="O44" s="1">
        <v>0</v>
      </c>
      <c r="P44" s="1">
        <v>0</v>
      </c>
      <c r="Q44" s="3">
        <v>0.112</v>
      </c>
      <c r="R44" s="1">
        <v>0</v>
      </c>
      <c r="S44" s="1">
        <v>0</v>
      </c>
    </row>
    <row r="45" spans="1:19" x14ac:dyDescent="0.2">
      <c r="A45" s="1" t="s">
        <v>361</v>
      </c>
      <c r="B45" s="1" t="s">
        <v>362</v>
      </c>
      <c r="C45" s="1">
        <v>1</v>
      </c>
      <c r="D45" s="1" t="s">
        <v>1180</v>
      </c>
      <c r="E45" s="1">
        <v>3</v>
      </c>
      <c r="F45" s="1">
        <v>0</v>
      </c>
      <c r="G45" s="1">
        <v>0</v>
      </c>
      <c r="H45" s="2">
        <v>9.7299999999999993E-5</v>
      </c>
      <c r="I45" s="1">
        <v>0</v>
      </c>
      <c r="J45" s="1">
        <v>0</v>
      </c>
      <c r="K45" s="1">
        <v>0.21059811000000001</v>
      </c>
      <c r="L45" s="1">
        <v>0</v>
      </c>
      <c r="M45" s="1">
        <v>0</v>
      </c>
      <c r="N45" s="1">
        <v>3</v>
      </c>
      <c r="O45" s="1">
        <v>0</v>
      </c>
      <c r="P45" s="1">
        <v>0</v>
      </c>
      <c r="Q45" s="3">
        <v>8.3000000000000004E-2</v>
      </c>
      <c r="R45" s="1">
        <v>0</v>
      </c>
      <c r="S45" s="1">
        <v>0</v>
      </c>
    </row>
    <row r="46" spans="1:19" x14ac:dyDescent="0.2">
      <c r="A46" s="1" t="s">
        <v>363</v>
      </c>
      <c r="B46" s="1" t="s">
        <v>364</v>
      </c>
      <c r="C46" s="1">
        <v>1</v>
      </c>
      <c r="D46" s="1" t="s">
        <v>1180</v>
      </c>
      <c r="E46" s="1">
        <v>23</v>
      </c>
      <c r="F46" s="1">
        <v>0</v>
      </c>
      <c r="G46" s="1">
        <v>0</v>
      </c>
      <c r="H46" s="2">
        <v>6.6299999999999996E-4</v>
      </c>
      <c r="I46" s="1">
        <v>0</v>
      </c>
      <c r="J46" s="1">
        <v>0</v>
      </c>
      <c r="K46" s="1">
        <v>0.54170050000000003</v>
      </c>
      <c r="L46" s="1">
        <v>0</v>
      </c>
      <c r="M46" s="1">
        <v>0</v>
      </c>
      <c r="N46" s="1">
        <v>29</v>
      </c>
      <c r="O46" s="1">
        <v>0</v>
      </c>
      <c r="P46" s="1">
        <v>0</v>
      </c>
      <c r="Q46" s="3">
        <v>0.188</v>
      </c>
      <c r="R46" s="1">
        <v>0</v>
      </c>
      <c r="S46" s="1">
        <v>0</v>
      </c>
    </row>
    <row r="47" spans="1:19" x14ac:dyDescent="0.2">
      <c r="A47" s="1" t="s">
        <v>365</v>
      </c>
      <c r="B47" s="1" t="s">
        <v>366</v>
      </c>
      <c r="C47" s="1">
        <v>1</v>
      </c>
      <c r="D47" s="1" t="s">
        <v>1180</v>
      </c>
      <c r="E47" s="1">
        <v>8</v>
      </c>
      <c r="F47" s="1">
        <v>0</v>
      </c>
      <c r="G47" s="1">
        <v>0</v>
      </c>
      <c r="H47" s="2">
        <v>2.7799999999999998E-4</v>
      </c>
      <c r="I47" s="1">
        <v>0</v>
      </c>
      <c r="J47" s="1">
        <v>0</v>
      </c>
      <c r="K47" s="1">
        <v>0.47231244999999999</v>
      </c>
      <c r="L47" s="1">
        <v>0</v>
      </c>
      <c r="M47" s="1">
        <v>0</v>
      </c>
      <c r="N47" s="1">
        <v>8</v>
      </c>
      <c r="O47" s="1">
        <v>0</v>
      </c>
      <c r="P47" s="1">
        <v>0</v>
      </c>
      <c r="Q47" s="3">
        <v>0.16800000000000001</v>
      </c>
      <c r="R47" s="1">
        <v>0</v>
      </c>
      <c r="S47" s="1">
        <v>0</v>
      </c>
    </row>
    <row r="48" spans="1:19" x14ac:dyDescent="0.2">
      <c r="A48" s="1" t="s">
        <v>367</v>
      </c>
      <c r="B48" s="1" t="s">
        <v>368</v>
      </c>
      <c r="C48" s="1">
        <v>1</v>
      </c>
      <c r="D48" s="1" t="s">
        <v>1180</v>
      </c>
      <c r="E48" s="1">
        <v>7</v>
      </c>
      <c r="F48" s="1">
        <v>0</v>
      </c>
      <c r="G48" s="1">
        <v>0</v>
      </c>
      <c r="H48" s="2">
        <v>5.0900000000000001E-4</v>
      </c>
      <c r="I48" s="1">
        <v>0</v>
      </c>
      <c r="J48" s="1">
        <v>0</v>
      </c>
      <c r="K48" s="1">
        <v>0.65196180000000004</v>
      </c>
      <c r="L48" s="1">
        <v>0</v>
      </c>
      <c r="M48" s="1">
        <v>0</v>
      </c>
      <c r="N48" s="1">
        <v>9</v>
      </c>
      <c r="O48" s="1">
        <v>0</v>
      </c>
      <c r="P48" s="1">
        <v>0</v>
      </c>
      <c r="Q48" s="3">
        <v>0.218</v>
      </c>
      <c r="R48" s="1">
        <v>0</v>
      </c>
      <c r="S48" s="1">
        <v>0</v>
      </c>
    </row>
    <row r="49" spans="1:19" x14ac:dyDescent="0.2">
      <c r="A49" s="1" t="s">
        <v>369</v>
      </c>
      <c r="B49" s="1" t="s">
        <v>370</v>
      </c>
      <c r="C49" s="1">
        <v>1</v>
      </c>
      <c r="D49" s="1" t="s">
        <v>1180</v>
      </c>
      <c r="E49" s="1">
        <v>5</v>
      </c>
      <c r="F49" s="1">
        <v>0</v>
      </c>
      <c r="G49" s="1">
        <v>0</v>
      </c>
      <c r="H49" s="2">
        <v>3.5500000000000001E-4</v>
      </c>
      <c r="I49" s="1">
        <v>0</v>
      </c>
      <c r="J49" s="1">
        <v>0</v>
      </c>
      <c r="K49" s="1">
        <v>0.37404190999999998</v>
      </c>
      <c r="L49" s="1">
        <v>0</v>
      </c>
      <c r="M49" s="1">
        <v>0</v>
      </c>
      <c r="N49" s="1">
        <v>6</v>
      </c>
      <c r="O49" s="1">
        <v>0</v>
      </c>
      <c r="P49" s="1">
        <v>0</v>
      </c>
      <c r="Q49" s="3">
        <v>0.13800000000000001</v>
      </c>
      <c r="R49" s="1">
        <v>0</v>
      </c>
      <c r="S49" s="1">
        <v>0</v>
      </c>
    </row>
    <row r="50" spans="1:19" x14ac:dyDescent="0.2">
      <c r="A50" s="1" t="s">
        <v>371</v>
      </c>
      <c r="B50" s="1" t="s">
        <v>372</v>
      </c>
      <c r="C50" s="1">
        <v>1</v>
      </c>
      <c r="D50" s="1" t="s">
        <v>1180</v>
      </c>
      <c r="E50" s="1">
        <v>2</v>
      </c>
      <c r="F50" s="1">
        <v>0</v>
      </c>
      <c r="G50" s="1">
        <v>0</v>
      </c>
      <c r="H50" s="2">
        <v>7.7399999999999998E-5</v>
      </c>
      <c r="I50" s="1">
        <v>0</v>
      </c>
      <c r="J50" s="1">
        <v>0</v>
      </c>
      <c r="K50" s="1">
        <v>8.3926920000000002E-2</v>
      </c>
      <c r="L50" s="1">
        <v>0</v>
      </c>
      <c r="M50" s="1">
        <v>0</v>
      </c>
      <c r="N50" s="1">
        <v>2</v>
      </c>
      <c r="O50" s="1">
        <v>0</v>
      </c>
      <c r="P50" s="1">
        <v>0</v>
      </c>
      <c r="Q50" s="3">
        <v>3.5000000000000003E-2</v>
      </c>
      <c r="R50" s="1">
        <v>0</v>
      </c>
      <c r="S50" s="1">
        <v>0</v>
      </c>
    </row>
    <row r="51" spans="1:19" x14ac:dyDescent="0.2">
      <c r="A51" s="1" t="s">
        <v>373</v>
      </c>
      <c r="B51" s="1" t="s">
        <v>25</v>
      </c>
      <c r="C51" s="1">
        <v>1</v>
      </c>
      <c r="D51" s="1" t="s">
        <v>1180</v>
      </c>
      <c r="E51" s="1">
        <v>2</v>
      </c>
      <c r="F51" s="1">
        <v>0</v>
      </c>
      <c r="G51" s="1">
        <v>0</v>
      </c>
      <c r="H51" s="2">
        <v>6.3299999999999994E-5</v>
      </c>
      <c r="I51" s="1">
        <v>0</v>
      </c>
      <c r="J51" s="1">
        <v>0</v>
      </c>
      <c r="K51" s="1">
        <v>0.10917485</v>
      </c>
      <c r="L51" s="1">
        <v>0</v>
      </c>
      <c r="M51" s="1">
        <v>0</v>
      </c>
      <c r="N51" s="1">
        <v>2</v>
      </c>
      <c r="O51" s="1">
        <v>0</v>
      </c>
      <c r="P51" s="1">
        <v>0</v>
      </c>
      <c r="Q51" s="3">
        <v>4.4999999999999998E-2</v>
      </c>
      <c r="R51" s="1">
        <v>0</v>
      </c>
      <c r="S51" s="1">
        <v>0</v>
      </c>
    </row>
    <row r="52" spans="1:19" x14ac:dyDescent="0.2">
      <c r="A52" s="1" t="s">
        <v>374</v>
      </c>
      <c r="B52" s="1" t="s">
        <v>375</v>
      </c>
      <c r="C52" s="1">
        <v>1</v>
      </c>
      <c r="D52" s="1" t="s">
        <v>1180</v>
      </c>
      <c r="E52" s="1">
        <v>6</v>
      </c>
      <c r="F52" s="1">
        <v>0</v>
      </c>
      <c r="G52" s="1">
        <v>0</v>
      </c>
      <c r="H52" s="2">
        <v>9.59E-4</v>
      </c>
      <c r="I52" s="1">
        <v>0</v>
      </c>
      <c r="J52" s="1">
        <v>0</v>
      </c>
      <c r="K52" s="1">
        <v>0.44211529999999999</v>
      </c>
      <c r="L52" s="1">
        <v>0</v>
      </c>
      <c r="M52" s="1">
        <v>0</v>
      </c>
      <c r="N52" s="1">
        <v>10</v>
      </c>
      <c r="O52" s="1">
        <v>0</v>
      </c>
      <c r="P52" s="1">
        <v>0</v>
      </c>
      <c r="Q52" s="3">
        <v>0.159</v>
      </c>
      <c r="R52" s="1">
        <v>0</v>
      </c>
      <c r="S52" s="1">
        <v>0</v>
      </c>
    </row>
    <row r="53" spans="1:19" x14ac:dyDescent="0.2">
      <c r="A53" s="1" t="s">
        <v>376</v>
      </c>
      <c r="B53" s="1" t="s">
        <v>377</v>
      </c>
      <c r="C53" s="1">
        <v>1</v>
      </c>
      <c r="D53" s="1" t="s">
        <v>1180</v>
      </c>
      <c r="E53" s="1">
        <v>3</v>
      </c>
      <c r="F53" s="1">
        <v>0</v>
      </c>
      <c r="G53" s="1">
        <v>0</v>
      </c>
      <c r="H53" s="2">
        <v>2.1100000000000001E-4</v>
      </c>
      <c r="I53" s="1">
        <v>0</v>
      </c>
      <c r="J53" s="1">
        <v>0</v>
      </c>
      <c r="K53" s="1">
        <v>7.6465249999999998E-2</v>
      </c>
      <c r="L53" s="1">
        <v>0</v>
      </c>
      <c r="M53" s="1">
        <v>0</v>
      </c>
      <c r="N53" s="1">
        <v>6</v>
      </c>
      <c r="O53" s="1">
        <v>0</v>
      </c>
      <c r="P53" s="1">
        <v>0</v>
      </c>
      <c r="Q53" s="3">
        <v>3.2000000000000001E-2</v>
      </c>
      <c r="R53" s="1">
        <v>0</v>
      </c>
      <c r="S53" s="1">
        <v>0</v>
      </c>
    </row>
    <row r="54" spans="1:19" x14ac:dyDescent="0.2">
      <c r="A54" s="1" t="s">
        <v>378</v>
      </c>
      <c r="B54" s="1" t="s">
        <v>379</v>
      </c>
      <c r="C54" s="1">
        <v>1</v>
      </c>
      <c r="D54" s="1" t="s">
        <v>1180</v>
      </c>
      <c r="E54" s="1">
        <v>5</v>
      </c>
      <c r="F54" s="1">
        <v>0</v>
      </c>
      <c r="G54" s="1">
        <v>0</v>
      </c>
      <c r="H54" s="2">
        <v>2.42E-4</v>
      </c>
      <c r="I54" s="1">
        <v>0</v>
      </c>
      <c r="J54" s="1">
        <v>0</v>
      </c>
      <c r="K54" s="1">
        <v>0.35518944000000002</v>
      </c>
      <c r="L54" s="1">
        <v>0</v>
      </c>
      <c r="M54" s="1">
        <v>0</v>
      </c>
      <c r="N54" s="1">
        <v>5</v>
      </c>
      <c r="O54" s="1">
        <v>0</v>
      </c>
      <c r="P54" s="1">
        <v>0</v>
      </c>
      <c r="Q54" s="3">
        <v>0.13200000000000001</v>
      </c>
      <c r="R54" s="1">
        <v>0</v>
      </c>
      <c r="S54" s="1">
        <v>0</v>
      </c>
    </row>
    <row r="55" spans="1:19" x14ac:dyDescent="0.2">
      <c r="A55" s="1" t="s">
        <v>380</v>
      </c>
      <c r="B55" s="1" t="s">
        <v>381</v>
      </c>
      <c r="C55" s="1">
        <v>1</v>
      </c>
      <c r="D55" s="1" t="s">
        <v>1180</v>
      </c>
      <c r="E55" s="1">
        <v>3</v>
      </c>
      <c r="F55" s="1">
        <v>0</v>
      </c>
      <c r="G55" s="1">
        <v>0</v>
      </c>
      <c r="H55" s="2">
        <v>2.8899999999999998E-4</v>
      </c>
      <c r="I55" s="1">
        <v>0</v>
      </c>
      <c r="J55" s="1">
        <v>0</v>
      </c>
      <c r="K55" s="1">
        <v>0.15345323</v>
      </c>
      <c r="L55" s="1">
        <v>0</v>
      </c>
      <c r="M55" s="1">
        <v>0</v>
      </c>
      <c r="N55" s="1">
        <v>6</v>
      </c>
      <c r="O55" s="1">
        <v>0</v>
      </c>
      <c r="P55" s="1">
        <v>0</v>
      </c>
      <c r="Q55" s="3">
        <v>6.2E-2</v>
      </c>
      <c r="R55" s="1">
        <v>0</v>
      </c>
      <c r="S55" s="1">
        <v>0</v>
      </c>
    </row>
    <row r="56" spans="1:19" x14ac:dyDescent="0.2">
      <c r="A56" s="1" t="s">
        <v>382</v>
      </c>
      <c r="B56" s="1" t="s">
        <v>383</v>
      </c>
      <c r="C56" s="1">
        <v>1</v>
      </c>
      <c r="D56" s="1" t="s">
        <v>1180</v>
      </c>
      <c r="E56" s="1">
        <v>5</v>
      </c>
      <c r="F56" s="1">
        <v>0</v>
      </c>
      <c r="G56" s="1">
        <v>0</v>
      </c>
      <c r="H56" s="2">
        <v>1.3999999999999999E-4</v>
      </c>
      <c r="I56" s="1">
        <v>0</v>
      </c>
      <c r="J56" s="1">
        <v>0</v>
      </c>
      <c r="K56" s="1">
        <v>0.19124198000000001</v>
      </c>
      <c r="L56" s="1">
        <v>0</v>
      </c>
      <c r="M56" s="1">
        <v>0</v>
      </c>
      <c r="N56" s="1">
        <v>5</v>
      </c>
      <c r="O56" s="1">
        <v>0</v>
      </c>
      <c r="P56" s="1">
        <v>0</v>
      </c>
      <c r="Q56" s="3">
        <v>7.5999999999999998E-2</v>
      </c>
      <c r="R56" s="1">
        <v>0</v>
      </c>
      <c r="S56" s="1">
        <v>0</v>
      </c>
    </row>
    <row r="57" spans="1:19" x14ac:dyDescent="0.2">
      <c r="A57" s="1" t="s">
        <v>384</v>
      </c>
      <c r="B57" s="1" t="s">
        <v>385</v>
      </c>
      <c r="C57" s="1">
        <v>1</v>
      </c>
      <c r="D57" s="1" t="s">
        <v>1180</v>
      </c>
      <c r="E57" s="1">
        <v>2</v>
      </c>
      <c r="F57" s="1">
        <v>0</v>
      </c>
      <c r="G57" s="1">
        <v>0</v>
      </c>
      <c r="H57" s="2">
        <v>2.5999999999999998E-4</v>
      </c>
      <c r="I57" s="1">
        <v>0</v>
      </c>
      <c r="J57" s="1">
        <v>0</v>
      </c>
      <c r="K57" s="1">
        <v>0.31219995</v>
      </c>
      <c r="L57" s="1">
        <v>0</v>
      </c>
      <c r="M57" s="1">
        <v>0</v>
      </c>
      <c r="N57" s="1">
        <v>2</v>
      </c>
      <c r="O57" s="1">
        <v>0</v>
      </c>
      <c r="P57" s="1">
        <v>0</v>
      </c>
      <c r="Q57" s="3">
        <v>0.11799999999999999</v>
      </c>
      <c r="R57" s="1">
        <v>0</v>
      </c>
      <c r="S57" s="1">
        <v>0</v>
      </c>
    </row>
    <row r="58" spans="1:19" x14ac:dyDescent="0.2">
      <c r="A58" s="1" t="s">
        <v>386</v>
      </c>
      <c r="B58" s="1" t="s">
        <v>387</v>
      </c>
      <c r="C58" s="1">
        <v>1</v>
      </c>
      <c r="D58" s="1" t="s">
        <v>1180</v>
      </c>
      <c r="E58" s="1">
        <v>3</v>
      </c>
      <c r="F58" s="1">
        <v>0</v>
      </c>
      <c r="G58" s="1">
        <v>0</v>
      </c>
      <c r="H58" s="2">
        <v>2.5000000000000001E-4</v>
      </c>
      <c r="I58" s="1">
        <v>0</v>
      </c>
      <c r="J58" s="1">
        <v>0</v>
      </c>
      <c r="K58" s="1">
        <v>0.26182759999999999</v>
      </c>
      <c r="L58" s="1">
        <v>0</v>
      </c>
      <c r="M58" s="1">
        <v>0</v>
      </c>
      <c r="N58" s="1">
        <v>3</v>
      </c>
      <c r="O58" s="1">
        <v>0</v>
      </c>
      <c r="P58" s="1">
        <v>0</v>
      </c>
      <c r="Q58" s="3">
        <v>0.10100000000000001</v>
      </c>
      <c r="R58" s="1">
        <v>0</v>
      </c>
      <c r="S58" s="1">
        <v>0</v>
      </c>
    </row>
    <row r="59" spans="1:19" x14ac:dyDescent="0.2">
      <c r="A59" s="1" t="s">
        <v>388</v>
      </c>
      <c r="B59" s="1" t="s">
        <v>39</v>
      </c>
      <c r="C59" s="1">
        <v>1</v>
      </c>
      <c r="D59" s="1" t="s">
        <v>1180</v>
      </c>
      <c r="E59" s="1">
        <v>4</v>
      </c>
      <c r="F59" s="1">
        <v>0</v>
      </c>
      <c r="G59" s="1">
        <v>0</v>
      </c>
      <c r="H59" s="2">
        <v>4.4799999999999999E-4</v>
      </c>
      <c r="I59" s="1">
        <v>0</v>
      </c>
      <c r="J59" s="1">
        <v>0</v>
      </c>
      <c r="K59" s="1">
        <v>0.20781385999999999</v>
      </c>
      <c r="L59" s="1">
        <v>0</v>
      </c>
      <c r="M59" s="1">
        <v>0</v>
      </c>
      <c r="N59" s="1">
        <v>7</v>
      </c>
      <c r="O59" s="1">
        <v>0</v>
      </c>
      <c r="P59" s="1">
        <v>0</v>
      </c>
      <c r="Q59" s="3">
        <v>8.2000000000000003E-2</v>
      </c>
      <c r="R59" s="1">
        <v>0</v>
      </c>
      <c r="S59" s="1">
        <v>0</v>
      </c>
    </row>
    <row r="60" spans="1:19" x14ac:dyDescent="0.2">
      <c r="A60" s="1" t="s">
        <v>389</v>
      </c>
      <c r="B60" s="1" t="s">
        <v>390</v>
      </c>
      <c r="C60" s="1">
        <v>1</v>
      </c>
      <c r="D60" s="1" t="s">
        <v>1180</v>
      </c>
      <c r="E60" s="1">
        <v>4</v>
      </c>
      <c r="F60" s="1">
        <v>0</v>
      </c>
      <c r="G60" s="1">
        <v>0</v>
      </c>
      <c r="H60" s="2">
        <v>1.8200000000000001E-4</v>
      </c>
      <c r="I60" s="1">
        <v>0</v>
      </c>
      <c r="J60" s="1">
        <v>0</v>
      </c>
      <c r="K60" s="1">
        <v>0.14551294000000001</v>
      </c>
      <c r="L60" s="1">
        <v>0</v>
      </c>
      <c r="M60" s="1">
        <v>0</v>
      </c>
      <c r="N60" s="1">
        <v>7</v>
      </c>
      <c r="O60" s="1">
        <v>0</v>
      </c>
      <c r="P60" s="1">
        <v>0</v>
      </c>
      <c r="Q60" s="3">
        <v>5.8999999999999997E-2</v>
      </c>
      <c r="R60" s="1">
        <v>0</v>
      </c>
      <c r="S60" s="1">
        <v>0</v>
      </c>
    </row>
    <row r="61" spans="1:19" x14ac:dyDescent="0.2">
      <c r="A61" s="1" t="s">
        <v>391</v>
      </c>
      <c r="B61" s="1" t="s">
        <v>392</v>
      </c>
      <c r="C61" s="1">
        <v>1</v>
      </c>
      <c r="D61" s="1" t="s">
        <v>1180</v>
      </c>
      <c r="E61" s="1">
        <v>5</v>
      </c>
      <c r="F61" s="1">
        <v>0</v>
      </c>
      <c r="G61" s="1">
        <v>0</v>
      </c>
      <c r="H61" s="2">
        <v>6.02E-4</v>
      </c>
      <c r="I61" s="1">
        <v>0</v>
      </c>
      <c r="J61" s="1">
        <v>0</v>
      </c>
      <c r="K61" s="1">
        <v>0.46892630000000002</v>
      </c>
      <c r="L61" s="1">
        <v>0</v>
      </c>
      <c r="M61" s="1">
        <v>0</v>
      </c>
      <c r="N61" s="1">
        <v>9</v>
      </c>
      <c r="O61" s="1">
        <v>0</v>
      </c>
      <c r="P61" s="1">
        <v>0</v>
      </c>
      <c r="Q61" s="3">
        <v>0.16700000000000001</v>
      </c>
      <c r="R61" s="1">
        <v>0</v>
      </c>
      <c r="S61" s="1">
        <v>0</v>
      </c>
    </row>
    <row r="62" spans="1:19" x14ac:dyDescent="0.2">
      <c r="A62" s="1" t="s">
        <v>393</v>
      </c>
      <c r="B62" s="1" t="s">
        <v>41</v>
      </c>
      <c r="C62" s="1">
        <v>1</v>
      </c>
      <c r="D62" s="1" t="s">
        <v>1180</v>
      </c>
      <c r="E62" s="1">
        <v>9</v>
      </c>
      <c r="F62" s="1">
        <v>0</v>
      </c>
      <c r="G62" s="1">
        <v>0</v>
      </c>
      <c r="H62" s="1">
        <v>1.5832999999999999E-3</v>
      </c>
      <c r="I62" s="1">
        <v>0</v>
      </c>
      <c r="J62" s="1">
        <v>0</v>
      </c>
      <c r="K62" s="1">
        <v>0.67880404000000005</v>
      </c>
      <c r="L62" s="1">
        <v>0</v>
      </c>
      <c r="M62" s="1">
        <v>0</v>
      </c>
      <c r="N62" s="1">
        <v>25</v>
      </c>
      <c r="O62" s="1">
        <v>0</v>
      </c>
      <c r="P62" s="1">
        <v>0</v>
      </c>
      <c r="Q62" s="3">
        <v>0.22500000000000001</v>
      </c>
      <c r="R62" s="1">
        <v>0</v>
      </c>
      <c r="S62" s="1">
        <v>0</v>
      </c>
    </row>
    <row r="63" spans="1:19" x14ac:dyDescent="0.2">
      <c r="A63" s="1" t="s">
        <v>394</v>
      </c>
      <c r="B63" s="1" t="s">
        <v>251</v>
      </c>
      <c r="C63" s="1">
        <v>1</v>
      </c>
      <c r="D63" s="1" t="s">
        <v>1180</v>
      </c>
      <c r="E63" s="1">
        <v>14</v>
      </c>
      <c r="F63" s="1">
        <v>0</v>
      </c>
      <c r="G63" s="1">
        <v>0</v>
      </c>
      <c r="H63" s="1">
        <v>1.5774000000000001E-3</v>
      </c>
      <c r="I63" s="1">
        <v>0</v>
      </c>
      <c r="J63" s="1">
        <v>0</v>
      </c>
      <c r="K63" s="1">
        <v>0.40604758000000002</v>
      </c>
      <c r="L63" s="1">
        <v>0</v>
      </c>
      <c r="M63" s="1">
        <v>0</v>
      </c>
      <c r="N63" s="1">
        <v>46</v>
      </c>
      <c r="O63" s="1">
        <v>0</v>
      </c>
      <c r="P63" s="1">
        <v>0</v>
      </c>
      <c r="Q63" s="3">
        <v>0.14799999999999999</v>
      </c>
      <c r="R63" s="1">
        <v>0</v>
      </c>
      <c r="S63" s="1">
        <v>0</v>
      </c>
    </row>
    <row r="64" spans="1:19" x14ac:dyDescent="0.2">
      <c r="A64" s="1" t="s">
        <v>395</v>
      </c>
      <c r="B64" s="1" t="s">
        <v>396</v>
      </c>
      <c r="C64" s="1">
        <v>1</v>
      </c>
      <c r="D64" s="1" t="s">
        <v>1180</v>
      </c>
      <c r="E64" s="1">
        <v>5</v>
      </c>
      <c r="F64" s="1">
        <v>0</v>
      </c>
      <c r="G64" s="1">
        <v>0</v>
      </c>
      <c r="H64" s="2">
        <v>2.8299999999999999E-4</v>
      </c>
      <c r="I64" s="1">
        <v>0</v>
      </c>
      <c r="J64" s="1">
        <v>0</v>
      </c>
      <c r="K64" s="1">
        <v>7.6465249999999998E-2</v>
      </c>
      <c r="L64" s="1">
        <v>0</v>
      </c>
      <c r="M64" s="1">
        <v>0</v>
      </c>
      <c r="N64" s="1">
        <v>8</v>
      </c>
      <c r="O64" s="1">
        <v>0</v>
      </c>
      <c r="P64" s="1">
        <v>0</v>
      </c>
      <c r="Q64" s="3">
        <v>3.2000000000000001E-2</v>
      </c>
      <c r="R64" s="1">
        <v>0</v>
      </c>
      <c r="S64" s="1">
        <v>0</v>
      </c>
    </row>
    <row r="65" spans="1:19" x14ac:dyDescent="0.2">
      <c r="A65" s="1" t="s">
        <v>397</v>
      </c>
      <c r="B65" s="1" t="s">
        <v>398</v>
      </c>
      <c r="C65" s="1">
        <v>1</v>
      </c>
      <c r="D65" s="1" t="s">
        <v>1180</v>
      </c>
      <c r="E65" s="1">
        <v>14</v>
      </c>
      <c r="F65" s="1">
        <v>0</v>
      </c>
      <c r="G65" s="1">
        <v>0</v>
      </c>
      <c r="H65" s="2">
        <v>4.0999999999999999E-4</v>
      </c>
      <c r="I65" s="1">
        <v>0</v>
      </c>
      <c r="J65" s="1">
        <v>0</v>
      </c>
      <c r="K65" s="1">
        <v>0.36458312999999998</v>
      </c>
      <c r="L65" s="1">
        <v>0</v>
      </c>
      <c r="M65" s="1">
        <v>0</v>
      </c>
      <c r="N65" s="1">
        <v>17</v>
      </c>
      <c r="O65" s="1">
        <v>0</v>
      </c>
      <c r="P65" s="1">
        <v>0</v>
      </c>
      <c r="Q65" s="3">
        <v>0.13500000000000001</v>
      </c>
      <c r="R65" s="1">
        <v>0</v>
      </c>
      <c r="S65" s="1">
        <v>0</v>
      </c>
    </row>
    <row r="66" spans="1:19" x14ac:dyDescent="0.2">
      <c r="A66" s="1" t="s">
        <v>399</v>
      </c>
      <c r="B66" s="1" t="s">
        <v>400</v>
      </c>
      <c r="C66" s="1">
        <v>1</v>
      </c>
      <c r="D66" s="1" t="s">
        <v>1180</v>
      </c>
      <c r="E66" s="1">
        <v>3</v>
      </c>
      <c r="F66" s="1">
        <v>0</v>
      </c>
      <c r="G66" s="1">
        <v>0</v>
      </c>
      <c r="H66" s="2">
        <v>4.4499999999999997E-4</v>
      </c>
      <c r="I66" s="1">
        <v>0</v>
      </c>
      <c r="J66" s="1">
        <v>0</v>
      </c>
      <c r="K66" s="1">
        <v>0.37720942000000002</v>
      </c>
      <c r="L66" s="1">
        <v>0</v>
      </c>
      <c r="M66" s="1">
        <v>0</v>
      </c>
      <c r="N66" s="1">
        <v>8</v>
      </c>
      <c r="O66" s="1">
        <v>0</v>
      </c>
      <c r="P66" s="1">
        <v>0</v>
      </c>
      <c r="Q66" s="3">
        <v>0.13900000000000001</v>
      </c>
      <c r="R66" s="1">
        <v>0</v>
      </c>
      <c r="S66" s="1">
        <v>0</v>
      </c>
    </row>
    <row r="67" spans="1:19" x14ac:dyDescent="0.2">
      <c r="A67" s="1" t="s">
        <v>401</v>
      </c>
      <c r="B67" s="1" t="s">
        <v>402</v>
      </c>
      <c r="C67" s="1">
        <v>1</v>
      </c>
      <c r="D67" s="1" t="s">
        <v>1180</v>
      </c>
      <c r="E67" s="1">
        <v>2</v>
      </c>
      <c r="F67" s="1">
        <v>0</v>
      </c>
      <c r="G67" s="1">
        <v>0</v>
      </c>
      <c r="H67" s="2">
        <v>3.4400000000000001E-4</v>
      </c>
      <c r="I67" s="1">
        <v>0</v>
      </c>
      <c r="J67" s="1">
        <v>0</v>
      </c>
      <c r="K67" s="1">
        <v>0.43218790000000001</v>
      </c>
      <c r="L67" s="1">
        <v>0</v>
      </c>
      <c r="M67" s="1">
        <v>0</v>
      </c>
      <c r="N67" s="1">
        <v>2</v>
      </c>
      <c r="O67" s="1">
        <v>0</v>
      </c>
      <c r="P67" s="1">
        <v>0</v>
      </c>
      <c r="Q67" s="3">
        <v>0.156</v>
      </c>
      <c r="R67" s="1">
        <v>0</v>
      </c>
      <c r="S67" s="1">
        <v>0</v>
      </c>
    </row>
    <row r="68" spans="1:19" x14ac:dyDescent="0.2">
      <c r="A68" s="1" t="s">
        <v>403</v>
      </c>
      <c r="B68" s="1" t="s">
        <v>404</v>
      </c>
      <c r="C68" s="1">
        <v>1</v>
      </c>
      <c r="D68" s="1" t="s">
        <v>1180</v>
      </c>
      <c r="E68" s="1">
        <v>2</v>
      </c>
      <c r="F68" s="1">
        <v>0</v>
      </c>
      <c r="G68" s="1">
        <v>0</v>
      </c>
      <c r="H68" s="2">
        <v>9.9500000000000006E-5</v>
      </c>
      <c r="I68" s="1">
        <v>0</v>
      </c>
      <c r="J68" s="1">
        <v>0</v>
      </c>
      <c r="K68" s="1">
        <v>0.21059811000000001</v>
      </c>
      <c r="L68" s="1">
        <v>0</v>
      </c>
      <c r="M68" s="1">
        <v>0</v>
      </c>
      <c r="N68" s="1">
        <v>2</v>
      </c>
      <c r="O68" s="1">
        <v>0</v>
      </c>
      <c r="P68" s="1">
        <v>0</v>
      </c>
      <c r="Q68" s="3">
        <v>8.3000000000000004E-2</v>
      </c>
      <c r="R68" s="1">
        <v>0</v>
      </c>
      <c r="S68" s="1">
        <v>0</v>
      </c>
    </row>
    <row r="69" spans="1:19" x14ac:dyDescent="0.2">
      <c r="A69" s="1" t="s">
        <v>405</v>
      </c>
      <c r="B69" s="1" t="s">
        <v>406</v>
      </c>
      <c r="C69" s="1">
        <v>1</v>
      </c>
      <c r="D69" s="1" t="s">
        <v>1180</v>
      </c>
      <c r="E69" s="1">
        <v>3</v>
      </c>
      <c r="F69" s="1">
        <v>0</v>
      </c>
      <c r="G69" s="1">
        <v>0</v>
      </c>
      <c r="H69" s="2">
        <v>6.6200000000000005E-4</v>
      </c>
      <c r="I69" s="1">
        <v>0</v>
      </c>
      <c r="J69" s="1">
        <v>0</v>
      </c>
      <c r="K69" s="1">
        <v>0.17219532000000001</v>
      </c>
      <c r="L69" s="1">
        <v>0</v>
      </c>
      <c r="M69" s="1">
        <v>0</v>
      </c>
      <c r="N69" s="1">
        <v>8</v>
      </c>
      <c r="O69" s="1">
        <v>0</v>
      </c>
      <c r="P69" s="1">
        <v>0</v>
      </c>
      <c r="Q69" s="3">
        <v>6.9000000000000006E-2</v>
      </c>
      <c r="R69" s="1">
        <v>0</v>
      </c>
      <c r="S69" s="1">
        <v>0</v>
      </c>
    </row>
    <row r="70" spans="1:19" x14ac:dyDescent="0.2">
      <c r="A70" s="1" t="s">
        <v>407</v>
      </c>
      <c r="B70" s="1" t="s">
        <v>39</v>
      </c>
      <c r="C70" s="1">
        <v>1</v>
      </c>
      <c r="D70" s="1" t="s">
        <v>1180</v>
      </c>
      <c r="E70" s="1">
        <v>5</v>
      </c>
      <c r="F70" s="1">
        <v>0</v>
      </c>
      <c r="G70" s="1">
        <v>0</v>
      </c>
      <c r="H70" s="1">
        <v>1.2884999999999999E-3</v>
      </c>
      <c r="I70" s="1">
        <v>0</v>
      </c>
      <c r="J70" s="1">
        <v>0</v>
      </c>
      <c r="K70" s="1">
        <v>1.5003455000000001</v>
      </c>
      <c r="L70" s="1">
        <v>0</v>
      </c>
      <c r="M70" s="1">
        <v>0</v>
      </c>
      <c r="N70" s="1">
        <v>11</v>
      </c>
      <c r="O70" s="1">
        <v>0</v>
      </c>
      <c r="P70" s="1">
        <v>0</v>
      </c>
      <c r="Q70" s="3">
        <v>0.39800000000000002</v>
      </c>
      <c r="R70" s="1">
        <v>0</v>
      </c>
      <c r="S70" s="1">
        <v>0</v>
      </c>
    </row>
    <row r="71" spans="1:19" x14ac:dyDescent="0.2">
      <c r="A71" s="1" t="s">
        <v>408</v>
      </c>
      <c r="B71" s="1" t="s">
        <v>409</v>
      </c>
      <c r="C71" s="1">
        <v>1</v>
      </c>
      <c r="D71" s="1" t="s">
        <v>1180</v>
      </c>
      <c r="E71" s="1">
        <v>22</v>
      </c>
      <c r="F71" s="1">
        <v>0</v>
      </c>
      <c r="G71" s="1">
        <v>0</v>
      </c>
      <c r="H71" s="2">
        <v>8.7200000000000005E-4</v>
      </c>
      <c r="I71" s="1">
        <v>0</v>
      </c>
      <c r="J71" s="1">
        <v>0</v>
      </c>
      <c r="K71" s="1">
        <v>0.99526239999999999</v>
      </c>
      <c r="L71" s="1">
        <v>0</v>
      </c>
      <c r="M71" s="1">
        <v>0</v>
      </c>
      <c r="N71" s="1">
        <v>32</v>
      </c>
      <c r="O71" s="1">
        <v>0</v>
      </c>
      <c r="P71" s="1">
        <v>0</v>
      </c>
      <c r="Q71" s="3">
        <v>0.3</v>
      </c>
      <c r="R71" s="1">
        <v>0</v>
      </c>
      <c r="S71" s="1">
        <v>0</v>
      </c>
    </row>
    <row r="72" spans="1:19" x14ac:dyDescent="0.2">
      <c r="A72" s="1" t="s">
        <v>410</v>
      </c>
      <c r="B72" s="1" t="s">
        <v>411</v>
      </c>
      <c r="C72" s="1">
        <v>1</v>
      </c>
      <c r="D72" s="1" t="s">
        <v>1180</v>
      </c>
      <c r="E72" s="1">
        <v>3</v>
      </c>
      <c r="F72" s="1">
        <v>0</v>
      </c>
      <c r="G72" s="1">
        <v>0</v>
      </c>
      <c r="H72" s="2">
        <v>3.2000000000000003E-4</v>
      </c>
      <c r="I72" s="1">
        <v>0</v>
      </c>
      <c r="J72" s="1">
        <v>0</v>
      </c>
      <c r="K72" s="1">
        <v>0.47570657999999999</v>
      </c>
      <c r="L72" s="1">
        <v>0</v>
      </c>
      <c r="M72" s="1">
        <v>0</v>
      </c>
      <c r="N72" s="1">
        <v>3</v>
      </c>
      <c r="O72" s="1">
        <v>0</v>
      </c>
      <c r="P72" s="1">
        <v>0</v>
      </c>
      <c r="Q72" s="3">
        <v>0.16900000000000001</v>
      </c>
      <c r="R72" s="1">
        <v>0</v>
      </c>
      <c r="S72" s="1">
        <v>0</v>
      </c>
    </row>
    <row r="73" spans="1:19" x14ac:dyDescent="0.2">
      <c r="A73" s="1" t="s">
        <v>412</v>
      </c>
      <c r="B73" s="1" t="s">
        <v>413</v>
      </c>
      <c r="C73" s="1">
        <v>1</v>
      </c>
      <c r="D73" s="1" t="s">
        <v>1180</v>
      </c>
      <c r="E73" s="1">
        <v>4</v>
      </c>
      <c r="F73" s="1">
        <v>0</v>
      </c>
      <c r="G73" s="1">
        <v>0</v>
      </c>
      <c r="H73" s="2">
        <v>1.56E-4</v>
      </c>
      <c r="I73" s="1">
        <v>0</v>
      </c>
      <c r="J73" s="1">
        <v>0</v>
      </c>
      <c r="K73" s="1">
        <v>0.11943793</v>
      </c>
      <c r="L73" s="1">
        <v>0</v>
      </c>
      <c r="M73" s="1">
        <v>0</v>
      </c>
      <c r="N73" s="1">
        <v>5</v>
      </c>
      <c r="O73" s="1">
        <v>0</v>
      </c>
      <c r="P73" s="1">
        <v>0</v>
      </c>
      <c r="Q73" s="3">
        <v>4.9000000000000002E-2</v>
      </c>
      <c r="R73" s="1">
        <v>0</v>
      </c>
      <c r="S73" s="1">
        <v>0</v>
      </c>
    </row>
    <row r="74" spans="1:19" x14ac:dyDescent="0.2">
      <c r="A74" s="1" t="s">
        <v>414</v>
      </c>
      <c r="B74" s="1" t="s">
        <v>415</v>
      </c>
      <c r="C74" s="1">
        <v>1</v>
      </c>
      <c r="D74" s="1" t="s">
        <v>1180</v>
      </c>
      <c r="E74" s="1">
        <v>4</v>
      </c>
      <c r="F74" s="1">
        <v>0</v>
      </c>
      <c r="G74" s="1">
        <v>0</v>
      </c>
      <c r="H74" s="2">
        <v>2.13E-4</v>
      </c>
      <c r="I74" s="1">
        <v>0</v>
      </c>
      <c r="J74" s="1">
        <v>0</v>
      </c>
      <c r="K74" s="1">
        <v>0.57761119999999999</v>
      </c>
      <c r="L74" s="1">
        <v>0</v>
      </c>
      <c r="M74" s="1">
        <v>0</v>
      </c>
      <c r="N74" s="1">
        <v>4</v>
      </c>
      <c r="O74" s="1">
        <v>0</v>
      </c>
      <c r="P74" s="1">
        <v>0</v>
      </c>
      <c r="Q74" s="3">
        <v>0.19800000000000001</v>
      </c>
      <c r="R74" s="1">
        <v>0</v>
      </c>
      <c r="S74" s="1">
        <v>0</v>
      </c>
    </row>
    <row r="75" spans="1:19" x14ac:dyDescent="0.2">
      <c r="A75" s="1" t="s">
        <v>416</v>
      </c>
      <c r="B75" s="1" t="s">
        <v>312</v>
      </c>
      <c r="C75" s="1">
        <v>1</v>
      </c>
      <c r="D75" s="1" t="s">
        <v>1180</v>
      </c>
      <c r="E75" s="1">
        <v>11</v>
      </c>
      <c r="F75" s="1">
        <v>0</v>
      </c>
      <c r="G75" s="1">
        <v>0</v>
      </c>
      <c r="H75" s="1">
        <v>1.9809599999999999E-3</v>
      </c>
      <c r="I75" s="1">
        <v>0</v>
      </c>
      <c r="J75" s="1">
        <v>0</v>
      </c>
      <c r="K75" s="1">
        <v>1.8119008999999999</v>
      </c>
      <c r="L75" s="1">
        <v>0</v>
      </c>
      <c r="M75" s="1">
        <v>0</v>
      </c>
      <c r="N75" s="1">
        <v>22</v>
      </c>
      <c r="O75" s="1">
        <v>0</v>
      </c>
      <c r="P75" s="1">
        <v>0</v>
      </c>
      <c r="Q75" s="3">
        <v>0.44900000000000001</v>
      </c>
      <c r="R75" s="1">
        <v>0</v>
      </c>
      <c r="S75" s="1">
        <v>0</v>
      </c>
    </row>
    <row r="76" spans="1:19" x14ac:dyDescent="0.2">
      <c r="A76" s="1" t="s">
        <v>417</v>
      </c>
      <c r="B76" s="1" t="s">
        <v>418</v>
      </c>
      <c r="C76" s="1">
        <v>1</v>
      </c>
      <c r="D76" s="1" t="s">
        <v>1180</v>
      </c>
      <c r="E76" s="1">
        <v>14</v>
      </c>
      <c r="F76" s="1">
        <v>0</v>
      </c>
      <c r="G76" s="1">
        <v>0</v>
      </c>
      <c r="H76" s="2">
        <v>4.9700000000000005E-4</v>
      </c>
      <c r="I76" s="1">
        <v>0</v>
      </c>
      <c r="J76" s="1">
        <v>0</v>
      </c>
      <c r="K76" s="1">
        <v>0.39315676999999999</v>
      </c>
      <c r="L76" s="1">
        <v>0</v>
      </c>
      <c r="M76" s="1">
        <v>0</v>
      </c>
      <c r="N76" s="1">
        <v>18</v>
      </c>
      <c r="O76" s="1">
        <v>0</v>
      </c>
      <c r="P76" s="1">
        <v>0</v>
      </c>
      <c r="Q76" s="3">
        <v>0.14399999999999999</v>
      </c>
      <c r="R76" s="1">
        <v>0</v>
      </c>
      <c r="S76" s="1">
        <v>0</v>
      </c>
    </row>
    <row r="77" spans="1:19" x14ac:dyDescent="0.2">
      <c r="A77" s="1" t="s">
        <v>419</v>
      </c>
      <c r="B77" s="1" t="s">
        <v>420</v>
      </c>
      <c r="C77" s="1">
        <v>1</v>
      </c>
      <c r="D77" s="1" t="s">
        <v>1180</v>
      </c>
      <c r="E77" s="1">
        <v>21</v>
      </c>
      <c r="F77" s="1">
        <v>0</v>
      </c>
      <c r="G77" s="1">
        <v>0</v>
      </c>
      <c r="H77" s="1">
        <v>1.0525300000000001E-3</v>
      </c>
      <c r="I77" s="1">
        <v>0</v>
      </c>
      <c r="J77" s="1">
        <v>0</v>
      </c>
      <c r="K77" s="1">
        <v>1.0892961000000001</v>
      </c>
      <c r="L77" s="1">
        <v>0</v>
      </c>
      <c r="M77" s="1">
        <v>0</v>
      </c>
      <c r="N77" s="1">
        <v>33</v>
      </c>
      <c r="O77" s="1">
        <v>0</v>
      </c>
      <c r="P77" s="1">
        <v>0</v>
      </c>
      <c r="Q77" s="3">
        <v>0.32</v>
      </c>
      <c r="R77" s="1">
        <v>0</v>
      </c>
      <c r="S77" s="1">
        <v>0</v>
      </c>
    </row>
    <row r="78" spans="1:19" x14ac:dyDescent="0.2">
      <c r="A78" s="1" t="s">
        <v>421</v>
      </c>
      <c r="B78" s="1" t="s">
        <v>422</v>
      </c>
      <c r="C78" s="1">
        <v>1</v>
      </c>
      <c r="D78" s="1" t="s">
        <v>1180</v>
      </c>
      <c r="E78" s="1">
        <v>2</v>
      </c>
      <c r="F78" s="1">
        <v>0</v>
      </c>
      <c r="G78" s="1">
        <v>0</v>
      </c>
      <c r="H78" s="2">
        <v>3.9499999999999998E-5</v>
      </c>
      <c r="I78" s="1">
        <v>0</v>
      </c>
      <c r="J78" s="1">
        <v>0</v>
      </c>
      <c r="K78" s="1">
        <v>0.10407864999999999</v>
      </c>
      <c r="L78" s="1">
        <v>0</v>
      </c>
      <c r="M78" s="1">
        <v>0</v>
      </c>
      <c r="N78" s="1">
        <v>2</v>
      </c>
      <c r="O78" s="1">
        <v>0</v>
      </c>
      <c r="P78" s="1">
        <v>0</v>
      </c>
      <c r="Q78" s="3">
        <v>4.2999999999999997E-2</v>
      </c>
      <c r="R78" s="1">
        <v>0</v>
      </c>
      <c r="S78" s="1">
        <v>0</v>
      </c>
    </row>
    <row r="79" spans="1:19" x14ac:dyDescent="0.2">
      <c r="A79" s="1" t="s">
        <v>423</v>
      </c>
      <c r="B79" s="1" t="s">
        <v>84</v>
      </c>
      <c r="C79" s="1">
        <v>1</v>
      </c>
      <c r="D79" s="1" t="s">
        <v>1180</v>
      </c>
      <c r="E79" s="1">
        <v>2</v>
      </c>
      <c r="F79" s="1">
        <v>0</v>
      </c>
      <c r="G79" s="1">
        <v>0</v>
      </c>
      <c r="H79" s="2">
        <v>1.36E-4</v>
      </c>
      <c r="I79" s="1">
        <v>0</v>
      </c>
      <c r="J79" s="1">
        <v>0</v>
      </c>
      <c r="K79" s="1">
        <v>0.16680967999999999</v>
      </c>
      <c r="L79" s="1">
        <v>0</v>
      </c>
      <c r="M79" s="1">
        <v>0</v>
      </c>
      <c r="N79" s="1">
        <v>2</v>
      </c>
      <c r="O79" s="1">
        <v>0</v>
      </c>
      <c r="P79" s="1">
        <v>0</v>
      </c>
      <c r="Q79" s="3">
        <v>6.7000000000000004E-2</v>
      </c>
      <c r="R79" s="1">
        <v>0</v>
      </c>
      <c r="S79" s="1">
        <v>0</v>
      </c>
    </row>
    <row r="80" spans="1:19" x14ac:dyDescent="0.2">
      <c r="A80" s="1" t="s">
        <v>424</v>
      </c>
      <c r="B80" s="1" t="s">
        <v>425</v>
      </c>
      <c r="C80" s="1">
        <v>1</v>
      </c>
      <c r="D80" s="1" t="s">
        <v>1180</v>
      </c>
      <c r="E80" s="1">
        <v>5</v>
      </c>
      <c r="F80" s="1">
        <v>0</v>
      </c>
      <c r="G80" s="1">
        <v>0</v>
      </c>
      <c r="H80" s="2">
        <v>1.5699999999999999E-4</v>
      </c>
      <c r="I80" s="1">
        <v>0</v>
      </c>
      <c r="J80" s="1">
        <v>0</v>
      </c>
      <c r="K80" s="1">
        <v>0.13501083999999999</v>
      </c>
      <c r="L80" s="1">
        <v>0</v>
      </c>
      <c r="M80" s="1">
        <v>0</v>
      </c>
      <c r="N80" s="1">
        <v>5</v>
      </c>
      <c r="O80" s="1">
        <v>0</v>
      </c>
      <c r="P80" s="1">
        <v>0</v>
      </c>
      <c r="Q80" s="3">
        <v>5.5E-2</v>
      </c>
      <c r="R80" s="1">
        <v>0</v>
      </c>
      <c r="S80" s="1">
        <v>0</v>
      </c>
    </row>
    <row r="81" spans="1:19" x14ac:dyDescent="0.2">
      <c r="A81" s="1" t="s">
        <v>426</v>
      </c>
      <c r="B81" s="1" t="s">
        <v>427</v>
      </c>
      <c r="C81" s="1">
        <v>1</v>
      </c>
      <c r="D81" s="1" t="s">
        <v>1180</v>
      </c>
      <c r="E81" s="1">
        <v>8</v>
      </c>
      <c r="F81" s="1">
        <v>0</v>
      </c>
      <c r="G81" s="1">
        <v>0</v>
      </c>
      <c r="H81" s="2">
        <v>5.8799999999999998E-4</v>
      </c>
      <c r="I81" s="1">
        <v>0</v>
      </c>
      <c r="J81" s="1">
        <v>0</v>
      </c>
      <c r="K81" s="1">
        <v>0.29121923</v>
      </c>
      <c r="L81" s="1">
        <v>0</v>
      </c>
      <c r="M81" s="1">
        <v>0</v>
      </c>
      <c r="N81" s="1">
        <v>12</v>
      </c>
      <c r="O81" s="1">
        <v>0</v>
      </c>
      <c r="P81" s="1">
        <v>0</v>
      </c>
      <c r="Q81" s="3">
        <v>0.111</v>
      </c>
      <c r="R81" s="1">
        <v>0</v>
      </c>
      <c r="S81" s="1">
        <v>0</v>
      </c>
    </row>
    <row r="82" spans="1:19" x14ac:dyDescent="0.2">
      <c r="A82" s="1" t="s">
        <v>428</v>
      </c>
      <c r="B82" s="1" t="s">
        <v>259</v>
      </c>
      <c r="C82" s="1">
        <v>1</v>
      </c>
      <c r="D82" s="1" t="s">
        <v>1180</v>
      </c>
      <c r="E82" s="1">
        <v>3</v>
      </c>
      <c r="F82" s="1">
        <v>0</v>
      </c>
      <c r="G82" s="1">
        <v>0</v>
      </c>
      <c r="H82" s="2">
        <v>2.5300000000000002E-4</v>
      </c>
      <c r="I82" s="1">
        <v>0</v>
      </c>
      <c r="J82" s="1">
        <v>0</v>
      </c>
      <c r="K82" s="1">
        <v>0.22743917</v>
      </c>
      <c r="L82" s="1">
        <v>0</v>
      </c>
      <c r="M82" s="1">
        <v>0</v>
      </c>
      <c r="N82" s="1">
        <v>3</v>
      </c>
      <c r="O82" s="1">
        <v>0</v>
      </c>
      <c r="P82" s="1">
        <v>0</v>
      </c>
      <c r="Q82" s="3">
        <v>8.8999999999999996E-2</v>
      </c>
      <c r="R82" s="1">
        <v>0</v>
      </c>
      <c r="S82" s="1">
        <v>0</v>
      </c>
    </row>
    <row r="83" spans="1:19" x14ac:dyDescent="0.2">
      <c r="A83" s="1" t="s">
        <v>429</v>
      </c>
      <c r="B83" s="1" t="s">
        <v>25</v>
      </c>
      <c r="C83" s="1">
        <v>1</v>
      </c>
      <c r="D83" s="1" t="s">
        <v>1180</v>
      </c>
      <c r="E83" s="1">
        <v>7</v>
      </c>
      <c r="F83" s="1">
        <v>0</v>
      </c>
      <c r="G83" s="1">
        <v>0</v>
      </c>
      <c r="H83" s="2">
        <v>8.1300000000000003E-4</v>
      </c>
      <c r="I83" s="1">
        <v>0</v>
      </c>
      <c r="J83" s="1">
        <v>0</v>
      </c>
      <c r="K83" s="1">
        <v>0.62929606000000005</v>
      </c>
      <c r="L83" s="1">
        <v>0</v>
      </c>
      <c r="M83" s="1">
        <v>0</v>
      </c>
      <c r="N83" s="1">
        <v>11</v>
      </c>
      <c r="O83" s="1">
        <v>0</v>
      </c>
      <c r="P83" s="1">
        <v>0</v>
      </c>
      <c r="Q83" s="3">
        <v>0.21199999999999999</v>
      </c>
      <c r="R83" s="1">
        <v>0</v>
      </c>
      <c r="S83" s="1">
        <v>0</v>
      </c>
    </row>
    <row r="84" spans="1:19" x14ac:dyDescent="0.2">
      <c r="A84" s="1" t="s">
        <v>430</v>
      </c>
      <c r="B84" s="1" t="s">
        <v>259</v>
      </c>
      <c r="C84" s="1">
        <v>1</v>
      </c>
      <c r="D84" s="1" t="s">
        <v>1180</v>
      </c>
      <c r="E84" s="1">
        <v>23</v>
      </c>
      <c r="F84" s="1">
        <v>0</v>
      </c>
      <c r="G84" s="1">
        <v>0</v>
      </c>
      <c r="H84" s="1">
        <v>4.8559600000000003E-3</v>
      </c>
      <c r="I84" s="1">
        <v>0</v>
      </c>
      <c r="J84" s="1">
        <v>0</v>
      </c>
      <c r="K84" s="1">
        <v>1.4603674</v>
      </c>
      <c r="L84" s="1">
        <v>0</v>
      </c>
      <c r="M84" s="1">
        <v>0</v>
      </c>
      <c r="N84" s="1">
        <v>62</v>
      </c>
      <c r="O84" s="1">
        <v>0</v>
      </c>
      <c r="P84" s="1">
        <v>0</v>
      </c>
      <c r="Q84" s="3">
        <v>0.39100000000000001</v>
      </c>
      <c r="R84" s="1">
        <v>0</v>
      </c>
      <c r="S84" s="1">
        <v>0</v>
      </c>
    </row>
    <row r="85" spans="1:19" x14ac:dyDescent="0.2">
      <c r="A85" s="1" t="s">
        <v>431</v>
      </c>
      <c r="B85" s="1" t="s">
        <v>432</v>
      </c>
      <c r="C85" s="1">
        <v>1</v>
      </c>
      <c r="D85" s="1" t="s">
        <v>1180</v>
      </c>
      <c r="E85" s="1">
        <v>14</v>
      </c>
      <c r="F85" s="1">
        <v>0</v>
      </c>
      <c r="G85" s="1">
        <v>0</v>
      </c>
      <c r="H85" s="1">
        <v>1.0872799999999999E-3</v>
      </c>
      <c r="I85" s="1">
        <v>0</v>
      </c>
      <c r="J85" s="1">
        <v>0</v>
      </c>
      <c r="K85" s="1">
        <v>0.74984660000000003</v>
      </c>
      <c r="L85" s="1">
        <v>0</v>
      </c>
      <c r="M85" s="1">
        <v>0</v>
      </c>
      <c r="N85" s="1">
        <v>23</v>
      </c>
      <c r="O85" s="1">
        <v>0</v>
      </c>
      <c r="P85" s="1">
        <v>0</v>
      </c>
      <c r="Q85" s="3">
        <v>0.24299999999999999</v>
      </c>
      <c r="R85" s="1">
        <v>0</v>
      </c>
      <c r="S85" s="1">
        <v>0</v>
      </c>
    </row>
    <row r="86" spans="1:19" x14ac:dyDescent="0.2">
      <c r="A86" s="1" t="s">
        <v>433</v>
      </c>
      <c r="B86" s="1" t="s">
        <v>434</v>
      </c>
      <c r="C86" s="1">
        <v>1</v>
      </c>
      <c r="D86" s="1" t="s">
        <v>1180</v>
      </c>
      <c r="E86" s="1">
        <v>11</v>
      </c>
      <c r="F86" s="1">
        <v>0</v>
      </c>
      <c r="G86" s="1">
        <v>0</v>
      </c>
      <c r="H86" s="2">
        <v>8.4500000000000005E-4</v>
      </c>
      <c r="I86" s="1">
        <v>0</v>
      </c>
      <c r="J86" s="1">
        <v>0</v>
      </c>
      <c r="K86" s="1">
        <v>1.0183663000000001</v>
      </c>
      <c r="L86" s="1">
        <v>0</v>
      </c>
      <c r="M86" s="1">
        <v>0</v>
      </c>
      <c r="N86" s="1">
        <v>18</v>
      </c>
      <c r="O86" s="1">
        <v>0</v>
      </c>
      <c r="P86" s="1">
        <v>0</v>
      </c>
      <c r="Q86" s="3">
        <v>0.30499999999999999</v>
      </c>
      <c r="R86" s="1">
        <v>0</v>
      </c>
      <c r="S86" s="1">
        <v>0</v>
      </c>
    </row>
    <row r="87" spans="1:19" x14ac:dyDescent="0.2">
      <c r="A87" s="1" t="s">
        <v>435</v>
      </c>
      <c r="B87" s="1" t="s">
        <v>436</v>
      </c>
      <c r="C87" s="1">
        <v>1</v>
      </c>
      <c r="D87" s="1" t="s">
        <v>1180</v>
      </c>
      <c r="E87" s="1">
        <v>6</v>
      </c>
      <c r="F87" s="1">
        <v>0</v>
      </c>
      <c r="G87" s="1">
        <v>0</v>
      </c>
      <c r="H87" s="2">
        <v>3.59E-4</v>
      </c>
      <c r="I87" s="1">
        <v>0</v>
      </c>
      <c r="J87" s="1">
        <v>0</v>
      </c>
      <c r="K87" s="1">
        <v>0.34276497</v>
      </c>
      <c r="L87" s="1">
        <v>0</v>
      </c>
      <c r="M87" s="1">
        <v>0</v>
      </c>
      <c r="N87" s="1">
        <v>7</v>
      </c>
      <c r="O87" s="1">
        <v>0</v>
      </c>
      <c r="P87" s="1">
        <v>0</v>
      </c>
      <c r="Q87" s="3">
        <v>0.128</v>
      </c>
      <c r="R87" s="1">
        <v>0</v>
      </c>
      <c r="S87" s="1">
        <v>0</v>
      </c>
    </row>
    <row r="88" spans="1:19" x14ac:dyDescent="0.2">
      <c r="A88" s="1" t="s">
        <v>437</v>
      </c>
      <c r="B88" s="1" t="s">
        <v>438</v>
      </c>
      <c r="C88" s="1">
        <v>1</v>
      </c>
      <c r="D88" s="1" t="s">
        <v>1180</v>
      </c>
      <c r="E88" s="1">
        <v>2</v>
      </c>
      <c r="F88" s="1">
        <v>0</v>
      </c>
      <c r="G88" s="1">
        <v>0</v>
      </c>
      <c r="H88" s="2">
        <v>6.6699999999999995E-5</v>
      </c>
      <c r="I88" s="1">
        <v>0</v>
      </c>
      <c r="J88" s="1">
        <v>0</v>
      </c>
      <c r="K88" s="1">
        <v>9.6478220000000003E-2</v>
      </c>
      <c r="L88" s="1">
        <v>0</v>
      </c>
      <c r="M88" s="1">
        <v>0</v>
      </c>
      <c r="N88" s="1">
        <v>2</v>
      </c>
      <c r="O88" s="1">
        <v>0</v>
      </c>
      <c r="P88" s="1">
        <v>0</v>
      </c>
      <c r="Q88" s="3">
        <v>0.04</v>
      </c>
      <c r="R88" s="1">
        <v>0</v>
      </c>
      <c r="S88" s="1">
        <v>0</v>
      </c>
    </row>
    <row r="89" spans="1:19" x14ac:dyDescent="0.2">
      <c r="A89" s="1" t="s">
        <v>439</v>
      </c>
      <c r="B89" s="1" t="s">
        <v>440</v>
      </c>
      <c r="C89" s="1">
        <v>1</v>
      </c>
      <c r="D89" s="1" t="s">
        <v>1180</v>
      </c>
      <c r="E89" s="1">
        <v>3</v>
      </c>
      <c r="F89" s="1">
        <v>0</v>
      </c>
      <c r="G89" s="1">
        <v>0</v>
      </c>
      <c r="H89" s="2">
        <v>1.55E-4</v>
      </c>
      <c r="I89" s="1">
        <v>0</v>
      </c>
      <c r="J89" s="1">
        <v>0</v>
      </c>
      <c r="K89" s="1">
        <v>5.438685E-2</v>
      </c>
      <c r="L89" s="1">
        <v>0</v>
      </c>
      <c r="M89" s="1">
        <v>0</v>
      </c>
      <c r="N89" s="1">
        <v>6</v>
      </c>
      <c r="O89" s="1">
        <v>0</v>
      </c>
      <c r="P89" s="1">
        <v>0</v>
      </c>
      <c r="Q89" s="3">
        <v>2.3E-2</v>
      </c>
      <c r="R89" s="1">
        <v>0</v>
      </c>
      <c r="S89" s="1">
        <v>0</v>
      </c>
    </row>
    <row r="90" spans="1:19" x14ac:dyDescent="0.2">
      <c r="A90" s="1" t="s">
        <v>441</v>
      </c>
      <c r="B90" s="1" t="s">
        <v>262</v>
      </c>
      <c r="C90" s="1">
        <v>1</v>
      </c>
      <c r="D90" s="1" t="s">
        <v>1180</v>
      </c>
      <c r="E90" s="1">
        <v>2</v>
      </c>
      <c r="F90" s="1">
        <v>0</v>
      </c>
      <c r="G90" s="1">
        <v>0</v>
      </c>
      <c r="H90" s="2">
        <v>2.5999999999999998E-4</v>
      </c>
      <c r="I90" s="1">
        <v>0</v>
      </c>
      <c r="J90" s="1">
        <v>0</v>
      </c>
      <c r="K90" s="1">
        <v>0.60694119999999996</v>
      </c>
      <c r="L90" s="1">
        <v>0</v>
      </c>
      <c r="M90" s="1">
        <v>0</v>
      </c>
      <c r="N90" s="1">
        <v>2</v>
      </c>
      <c r="O90" s="1">
        <v>0</v>
      </c>
      <c r="P90" s="1">
        <v>0</v>
      </c>
      <c r="Q90" s="3">
        <v>0.20599999999999999</v>
      </c>
      <c r="R90" s="1">
        <v>0</v>
      </c>
      <c r="S90" s="1">
        <v>0</v>
      </c>
    </row>
    <row r="91" spans="1:19" x14ac:dyDescent="0.2">
      <c r="A91" s="1" t="s">
        <v>442</v>
      </c>
      <c r="B91" s="1" t="s">
        <v>443</v>
      </c>
      <c r="C91" s="1">
        <v>1</v>
      </c>
      <c r="D91" s="1" t="s">
        <v>1180</v>
      </c>
      <c r="E91" s="1">
        <v>3</v>
      </c>
      <c r="F91" s="1">
        <v>0</v>
      </c>
      <c r="G91" s="1">
        <v>0</v>
      </c>
      <c r="H91" s="2">
        <v>1.16E-4</v>
      </c>
      <c r="I91" s="1">
        <v>0</v>
      </c>
      <c r="J91" s="1">
        <v>0</v>
      </c>
      <c r="K91" s="1">
        <v>0.15877736000000001</v>
      </c>
      <c r="L91" s="1">
        <v>0</v>
      </c>
      <c r="M91" s="1">
        <v>0</v>
      </c>
      <c r="N91" s="1">
        <v>3</v>
      </c>
      <c r="O91" s="1">
        <v>0</v>
      </c>
      <c r="P91" s="1">
        <v>0</v>
      </c>
      <c r="Q91" s="3">
        <v>6.4000000000000001E-2</v>
      </c>
      <c r="R91" s="1">
        <v>0</v>
      </c>
      <c r="S91" s="1">
        <v>0</v>
      </c>
    </row>
    <row r="92" spans="1:19" x14ac:dyDescent="0.2">
      <c r="A92" s="1" t="s">
        <v>444</v>
      </c>
      <c r="B92" s="1" t="s">
        <v>445</v>
      </c>
      <c r="C92" s="1">
        <v>1</v>
      </c>
      <c r="D92" s="1" t="s">
        <v>1180</v>
      </c>
      <c r="E92" s="1">
        <v>4</v>
      </c>
      <c r="F92" s="1">
        <v>0</v>
      </c>
      <c r="G92" s="1">
        <v>0</v>
      </c>
      <c r="H92" s="2">
        <v>1.1900000000000001E-4</v>
      </c>
      <c r="I92" s="1">
        <v>0</v>
      </c>
      <c r="J92" s="1">
        <v>0</v>
      </c>
      <c r="K92" s="1">
        <v>6.4143060000000002E-2</v>
      </c>
      <c r="L92" s="1">
        <v>0</v>
      </c>
      <c r="M92" s="1">
        <v>0</v>
      </c>
      <c r="N92" s="1">
        <v>5</v>
      </c>
      <c r="O92" s="1">
        <v>0</v>
      </c>
      <c r="P92" s="1">
        <v>0</v>
      </c>
      <c r="Q92" s="3">
        <v>2.7E-2</v>
      </c>
      <c r="R92" s="1">
        <v>0</v>
      </c>
      <c r="S92" s="1">
        <v>0</v>
      </c>
    </row>
    <row r="93" spans="1:19" x14ac:dyDescent="0.2">
      <c r="A93" s="1" t="s">
        <v>446</v>
      </c>
      <c r="B93" s="1" t="s">
        <v>447</v>
      </c>
      <c r="C93" s="1">
        <v>1</v>
      </c>
      <c r="D93" s="1" t="s">
        <v>1180</v>
      </c>
      <c r="E93" s="1">
        <v>26</v>
      </c>
      <c r="F93" s="1">
        <v>0</v>
      </c>
      <c r="G93" s="1">
        <v>0</v>
      </c>
      <c r="H93" s="1">
        <v>2.2476900000000001E-3</v>
      </c>
      <c r="I93" s="1">
        <v>0</v>
      </c>
      <c r="J93" s="1">
        <v>0</v>
      </c>
      <c r="K93" s="1">
        <v>1.4717243</v>
      </c>
      <c r="L93" s="1">
        <v>0</v>
      </c>
      <c r="M93" s="1">
        <v>0</v>
      </c>
      <c r="N93" s="1">
        <v>54</v>
      </c>
      <c r="O93" s="1">
        <v>0</v>
      </c>
      <c r="P93" s="1">
        <v>0</v>
      </c>
      <c r="Q93" s="3">
        <v>0.39300000000000002</v>
      </c>
      <c r="R93" s="1">
        <v>0</v>
      </c>
      <c r="S93" s="1">
        <v>0</v>
      </c>
    </row>
    <row r="94" spans="1:19" x14ac:dyDescent="0.2">
      <c r="A94" s="1" t="s">
        <v>448</v>
      </c>
      <c r="B94" s="1" t="s">
        <v>449</v>
      </c>
      <c r="C94" s="1">
        <v>1</v>
      </c>
      <c r="D94" s="1" t="s">
        <v>1180</v>
      </c>
      <c r="E94" s="1">
        <v>28</v>
      </c>
      <c r="F94" s="1">
        <v>0</v>
      </c>
      <c r="G94" s="1">
        <v>0</v>
      </c>
      <c r="H94" s="2">
        <v>1.3999999999999999E-4</v>
      </c>
      <c r="I94" s="1">
        <v>0</v>
      </c>
      <c r="J94" s="1">
        <v>0</v>
      </c>
      <c r="K94" s="1">
        <v>0.14024972999999999</v>
      </c>
      <c r="L94" s="1">
        <v>0</v>
      </c>
      <c r="M94" s="1">
        <v>0</v>
      </c>
      <c r="N94" s="1">
        <v>30</v>
      </c>
      <c r="O94" s="1">
        <v>0</v>
      </c>
      <c r="P94" s="1">
        <v>0</v>
      </c>
      <c r="Q94" s="3">
        <v>5.7000000000000002E-2</v>
      </c>
      <c r="R94" s="1">
        <v>0</v>
      </c>
      <c r="S94" s="1">
        <v>0</v>
      </c>
    </row>
    <row r="95" spans="1:19" x14ac:dyDescent="0.2">
      <c r="A95" s="1" t="s">
        <v>450</v>
      </c>
      <c r="B95" s="1" t="s">
        <v>451</v>
      </c>
      <c r="C95" s="1">
        <v>1</v>
      </c>
      <c r="D95" s="1" t="s">
        <v>1180</v>
      </c>
      <c r="E95" s="1">
        <v>3</v>
      </c>
      <c r="F95" s="1">
        <v>0</v>
      </c>
      <c r="G95" s="1">
        <v>0</v>
      </c>
      <c r="H95" s="2">
        <v>1.7000000000000001E-4</v>
      </c>
      <c r="I95" s="1">
        <v>0</v>
      </c>
      <c r="J95" s="1">
        <v>0</v>
      </c>
      <c r="K95" s="1">
        <v>0.42889391999999998</v>
      </c>
      <c r="L95" s="1">
        <v>0</v>
      </c>
      <c r="M95" s="1">
        <v>0</v>
      </c>
      <c r="N95" s="1">
        <v>3</v>
      </c>
      <c r="O95" s="1">
        <v>0</v>
      </c>
      <c r="P95" s="1">
        <v>0</v>
      </c>
      <c r="Q95" s="3">
        <v>0.155</v>
      </c>
      <c r="R95" s="1">
        <v>0</v>
      </c>
      <c r="S95" s="1">
        <v>0</v>
      </c>
    </row>
    <row r="96" spans="1:19" x14ac:dyDescent="0.2">
      <c r="A96" s="1" t="s">
        <v>452</v>
      </c>
      <c r="B96" s="1" t="s">
        <v>453</v>
      </c>
      <c r="C96" s="1">
        <v>1</v>
      </c>
      <c r="D96" s="1" t="s">
        <v>1180</v>
      </c>
      <c r="E96" s="1">
        <v>3</v>
      </c>
      <c r="F96" s="1">
        <v>0</v>
      </c>
      <c r="G96" s="1">
        <v>0</v>
      </c>
      <c r="H96" s="2">
        <v>2.12E-4</v>
      </c>
      <c r="I96" s="1">
        <v>0</v>
      </c>
      <c r="J96" s="1">
        <v>0</v>
      </c>
      <c r="K96" s="1">
        <v>0.18850218999999999</v>
      </c>
      <c r="L96" s="1">
        <v>0</v>
      </c>
      <c r="M96" s="1">
        <v>0</v>
      </c>
      <c r="N96" s="1">
        <v>3</v>
      </c>
      <c r="O96" s="1">
        <v>0</v>
      </c>
      <c r="P96" s="1">
        <v>0</v>
      </c>
      <c r="Q96" s="3">
        <v>7.4999999999999997E-2</v>
      </c>
      <c r="R96" s="1">
        <v>0</v>
      </c>
      <c r="S96" s="1">
        <v>0</v>
      </c>
    </row>
    <row r="97" spans="1:19" x14ac:dyDescent="0.2">
      <c r="A97" s="1" t="s">
        <v>454</v>
      </c>
      <c r="B97" s="1" t="s">
        <v>455</v>
      </c>
      <c r="C97" s="1">
        <v>1</v>
      </c>
      <c r="D97" s="1" t="s">
        <v>1180</v>
      </c>
      <c r="E97" s="1">
        <v>3</v>
      </c>
      <c r="F97" s="1">
        <v>0</v>
      </c>
      <c r="G97" s="1">
        <v>0</v>
      </c>
      <c r="H97" s="1">
        <v>1.04498E-3</v>
      </c>
      <c r="I97" s="1">
        <v>0</v>
      </c>
      <c r="J97" s="1">
        <v>0</v>
      </c>
      <c r="K97" s="1">
        <v>0.43879855000000001</v>
      </c>
      <c r="L97" s="1">
        <v>0</v>
      </c>
      <c r="M97" s="1">
        <v>0</v>
      </c>
      <c r="N97" s="1">
        <v>6</v>
      </c>
      <c r="O97" s="1">
        <v>0</v>
      </c>
      <c r="P97" s="1">
        <v>0</v>
      </c>
      <c r="Q97" s="3">
        <v>0.158</v>
      </c>
      <c r="R97" s="1">
        <v>0</v>
      </c>
      <c r="S97" s="1">
        <v>0</v>
      </c>
    </row>
    <row r="98" spans="1:19" x14ac:dyDescent="0.2">
      <c r="A98" s="1" t="s">
        <v>456</v>
      </c>
      <c r="B98" s="1" t="s">
        <v>457</v>
      </c>
      <c r="C98" s="1">
        <v>1</v>
      </c>
      <c r="D98" s="1" t="s">
        <v>1180</v>
      </c>
      <c r="E98" s="1">
        <v>3</v>
      </c>
      <c r="F98" s="1">
        <v>0</v>
      </c>
      <c r="G98" s="1">
        <v>0</v>
      </c>
      <c r="H98" s="2">
        <v>5.4799999999999998E-4</v>
      </c>
      <c r="I98" s="1">
        <v>0</v>
      </c>
      <c r="J98" s="1">
        <v>0</v>
      </c>
      <c r="K98" s="1">
        <v>0.1614486</v>
      </c>
      <c r="L98" s="1">
        <v>0</v>
      </c>
      <c r="M98" s="1">
        <v>0</v>
      </c>
      <c r="N98" s="1">
        <v>7</v>
      </c>
      <c r="O98" s="1">
        <v>0</v>
      </c>
      <c r="P98" s="1">
        <v>0</v>
      </c>
      <c r="Q98" s="3">
        <v>6.5000000000000002E-2</v>
      </c>
      <c r="R98" s="1">
        <v>0</v>
      </c>
      <c r="S98" s="1">
        <v>0</v>
      </c>
    </row>
    <row r="99" spans="1:19" x14ac:dyDescent="0.2">
      <c r="A99" s="1" t="s">
        <v>458</v>
      </c>
      <c r="B99" s="1" t="s">
        <v>459</v>
      </c>
      <c r="C99" s="1">
        <v>1</v>
      </c>
      <c r="D99" s="1" t="s">
        <v>1180</v>
      </c>
      <c r="E99" s="1">
        <v>2</v>
      </c>
      <c r="F99" s="1">
        <v>0</v>
      </c>
      <c r="G99" s="1">
        <v>0</v>
      </c>
      <c r="H99" s="2">
        <v>3.6300000000000001E-5</v>
      </c>
      <c r="I99" s="1">
        <v>0</v>
      </c>
      <c r="J99" s="1">
        <v>0</v>
      </c>
      <c r="K99" s="1">
        <v>0.14287830000000001</v>
      </c>
      <c r="L99" s="1">
        <v>0</v>
      </c>
      <c r="M99" s="1">
        <v>0</v>
      </c>
      <c r="N99" s="1">
        <v>2</v>
      </c>
      <c r="O99" s="1">
        <v>0</v>
      </c>
      <c r="P99" s="1">
        <v>0</v>
      </c>
      <c r="Q99" s="3">
        <v>5.8000000000000003E-2</v>
      </c>
      <c r="R99" s="1">
        <v>0</v>
      </c>
      <c r="S99" s="1">
        <v>0</v>
      </c>
    </row>
    <row r="100" spans="1:19" x14ac:dyDescent="0.2">
      <c r="A100" s="1" t="s">
        <v>460</v>
      </c>
      <c r="B100" s="1" t="s">
        <v>461</v>
      </c>
      <c r="C100" s="1">
        <v>1</v>
      </c>
      <c r="D100" s="1" t="s">
        <v>1180</v>
      </c>
      <c r="E100" s="1">
        <v>5</v>
      </c>
      <c r="F100" s="1">
        <v>0</v>
      </c>
      <c r="G100" s="1">
        <v>0</v>
      </c>
      <c r="H100" s="2">
        <v>8.2700000000000004E-5</v>
      </c>
      <c r="I100" s="1">
        <v>0</v>
      </c>
      <c r="J100" s="1">
        <v>0</v>
      </c>
      <c r="K100" s="1">
        <v>9.6478220000000003E-2</v>
      </c>
      <c r="L100" s="1">
        <v>0</v>
      </c>
      <c r="M100" s="1">
        <v>0</v>
      </c>
      <c r="N100" s="1">
        <v>5</v>
      </c>
      <c r="O100" s="1">
        <v>0</v>
      </c>
      <c r="P100" s="1">
        <v>0</v>
      </c>
      <c r="Q100" s="3">
        <v>0.04</v>
      </c>
      <c r="R100" s="1">
        <v>0</v>
      </c>
      <c r="S100" s="1">
        <v>0</v>
      </c>
    </row>
    <row r="101" spans="1:19" x14ac:dyDescent="0.2">
      <c r="A101" s="1" t="s">
        <v>462</v>
      </c>
      <c r="B101" s="1" t="s">
        <v>178</v>
      </c>
      <c r="C101" s="1">
        <v>1</v>
      </c>
      <c r="D101" s="1" t="s">
        <v>1180</v>
      </c>
      <c r="E101" s="1">
        <v>14</v>
      </c>
      <c r="F101" s="1">
        <v>0</v>
      </c>
      <c r="G101" s="1">
        <v>0</v>
      </c>
      <c r="H101" s="1">
        <v>2.1925400000000002E-3</v>
      </c>
      <c r="I101" s="1">
        <v>0</v>
      </c>
      <c r="J101" s="1">
        <v>0</v>
      </c>
      <c r="K101" s="1">
        <v>1.1727014</v>
      </c>
      <c r="L101" s="1">
        <v>0</v>
      </c>
      <c r="M101" s="1">
        <v>0</v>
      </c>
      <c r="N101" s="1">
        <v>27</v>
      </c>
      <c r="O101" s="1">
        <v>0</v>
      </c>
      <c r="P101" s="1">
        <v>0</v>
      </c>
      <c r="Q101" s="3">
        <v>0.33700000000000002</v>
      </c>
      <c r="R101" s="1">
        <v>0</v>
      </c>
      <c r="S101" s="1">
        <v>0</v>
      </c>
    </row>
    <row r="102" spans="1:19" x14ac:dyDescent="0.2">
      <c r="A102" s="1" t="s">
        <v>463</v>
      </c>
      <c r="B102" s="1" t="s">
        <v>39</v>
      </c>
      <c r="C102" s="1">
        <v>1</v>
      </c>
      <c r="D102" s="1" t="s">
        <v>1180</v>
      </c>
      <c r="E102" s="1">
        <v>3</v>
      </c>
      <c r="F102" s="1">
        <v>0</v>
      </c>
      <c r="G102" s="1">
        <v>0</v>
      </c>
      <c r="H102" s="2">
        <v>3.0499999999999999E-4</v>
      </c>
      <c r="I102" s="1">
        <v>0</v>
      </c>
      <c r="J102" s="1">
        <v>0</v>
      </c>
      <c r="K102" s="1">
        <v>0.27057409999999998</v>
      </c>
      <c r="L102" s="1">
        <v>0</v>
      </c>
      <c r="M102" s="1">
        <v>0</v>
      </c>
      <c r="N102" s="1">
        <v>6</v>
      </c>
      <c r="O102" s="1">
        <v>0</v>
      </c>
      <c r="P102" s="1">
        <v>0</v>
      </c>
      <c r="Q102" s="3">
        <v>0.104</v>
      </c>
      <c r="R102" s="1">
        <v>0</v>
      </c>
      <c r="S102" s="1">
        <v>0</v>
      </c>
    </row>
    <row r="103" spans="1:19" x14ac:dyDescent="0.2">
      <c r="A103" s="1" t="s">
        <v>464</v>
      </c>
      <c r="B103" s="1" t="s">
        <v>39</v>
      </c>
      <c r="C103" s="1">
        <v>1</v>
      </c>
      <c r="D103" s="1" t="s">
        <v>1180</v>
      </c>
      <c r="E103" s="1">
        <v>3</v>
      </c>
      <c r="F103" s="1">
        <v>0</v>
      </c>
      <c r="G103" s="1">
        <v>0</v>
      </c>
      <c r="H103" s="2">
        <v>2.5700000000000001E-4</v>
      </c>
      <c r="I103" s="1">
        <v>0</v>
      </c>
      <c r="J103" s="1">
        <v>0</v>
      </c>
      <c r="K103" s="1">
        <v>0.12979590999999999</v>
      </c>
      <c r="L103" s="1">
        <v>0</v>
      </c>
      <c r="M103" s="1">
        <v>0</v>
      </c>
      <c r="N103" s="1">
        <v>4</v>
      </c>
      <c r="O103" s="1">
        <v>0</v>
      </c>
      <c r="P103" s="1">
        <v>0</v>
      </c>
      <c r="Q103" s="3">
        <v>5.2999999999999999E-2</v>
      </c>
      <c r="R103" s="1">
        <v>0</v>
      </c>
      <c r="S103" s="1">
        <v>0</v>
      </c>
    </row>
    <row r="104" spans="1:19" x14ac:dyDescent="0.2">
      <c r="A104" s="1" t="s">
        <v>465</v>
      </c>
      <c r="B104" s="1" t="s">
        <v>466</v>
      </c>
      <c r="C104" s="1">
        <v>1</v>
      </c>
      <c r="D104" s="1" t="s">
        <v>1180</v>
      </c>
      <c r="E104" s="1">
        <v>3</v>
      </c>
      <c r="F104" s="1">
        <v>0</v>
      </c>
      <c r="G104" s="1">
        <v>0</v>
      </c>
      <c r="H104" s="2">
        <v>4.5600000000000003E-4</v>
      </c>
      <c r="I104" s="1">
        <v>0</v>
      </c>
      <c r="J104" s="1">
        <v>0</v>
      </c>
      <c r="K104" s="1">
        <v>0.18304156999999999</v>
      </c>
      <c r="L104" s="1">
        <v>0</v>
      </c>
      <c r="M104" s="1">
        <v>0</v>
      </c>
      <c r="N104" s="1">
        <v>8</v>
      </c>
      <c r="O104" s="1">
        <v>0</v>
      </c>
      <c r="P104" s="1">
        <v>0</v>
      </c>
      <c r="Q104" s="3">
        <v>7.2999999999999995E-2</v>
      </c>
      <c r="R104" s="1">
        <v>0</v>
      </c>
      <c r="S104" s="1">
        <v>0</v>
      </c>
    </row>
    <row r="105" spans="1:19" x14ac:dyDescent="0.2">
      <c r="A105" s="1" t="s">
        <v>467</v>
      </c>
      <c r="B105" s="1" t="s">
        <v>28</v>
      </c>
      <c r="C105" s="1">
        <v>1</v>
      </c>
      <c r="D105" s="1" t="s">
        <v>1180</v>
      </c>
      <c r="E105" s="1">
        <v>2</v>
      </c>
      <c r="F105" s="1">
        <v>0</v>
      </c>
      <c r="G105" s="1">
        <v>0</v>
      </c>
      <c r="H105" s="2">
        <v>6.2899999999999997E-5</v>
      </c>
      <c r="I105" s="1">
        <v>0</v>
      </c>
      <c r="J105" s="1">
        <v>0</v>
      </c>
      <c r="K105" s="1">
        <v>9.1440320000000005E-2</v>
      </c>
      <c r="L105" s="1">
        <v>0</v>
      </c>
      <c r="M105" s="1">
        <v>0</v>
      </c>
      <c r="N105" s="1">
        <v>2</v>
      </c>
      <c r="O105" s="1">
        <v>0</v>
      </c>
      <c r="P105" s="1">
        <v>0</v>
      </c>
      <c r="Q105" s="3">
        <v>3.7999999999999999E-2</v>
      </c>
      <c r="R105" s="1">
        <v>0</v>
      </c>
      <c r="S105" s="1">
        <v>0</v>
      </c>
    </row>
    <row r="106" spans="1:19" x14ac:dyDescent="0.2">
      <c r="A106" s="1" t="s">
        <v>468</v>
      </c>
      <c r="B106" s="1" t="s">
        <v>469</v>
      </c>
      <c r="C106" s="1">
        <v>1</v>
      </c>
      <c r="D106" s="1" t="s">
        <v>1180</v>
      </c>
      <c r="E106" s="1">
        <v>2</v>
      </c>
      <c r="F106" s="1">
        <v>0</v>
      </c>
      <c r="G106" s="1">
        <v>0</v>
      </c>
      <c r="H106" s="2">
        <v>6.4599999999999998E-5</v>
      </c>
      <c r="I106" s="1">
        <v>0</v>
      </c>
      <c r="J106" s="1">
        <v>0</v>
      </c>
      <c r="K106" s="1">
        <v>0.15080035</v>
      </c>
      <c r="L106" s="1">
        <v>0</v>
      </c>
      <c r="M106" s="1">
        <v>0</v>
      </c>
      <c r="N106" s="1">
        <v>2</v>
      </c>
      <c r="O106" s="1">
        <v>0</v>
      </c>
      <c r="P106" s="1">
        <v>0</v>
      </c>
      <c r="Q106" s="3">
        <v>6.0999999999999999E-2</v>
      </c>
      <c r="R106" s="1">
        <v>0</v>
      </c>
      <c r="S106" s="1">
        <v>0</v>
      </c>
    </row>
    <row r="107" spans="1:19" x14ac:dyDescent="0.2">
      <c r="A107" s="1" t="s">
        <v>470</v>
      </c>
      <c r="B107" s="1" t="s">
        <v>471</v>
      </c>
      <c r="C107" s="1">
        <v>1</v>
      </c>
      <c r="D107" s="1" t="s">
        <v>1180</v>
      </c>
      <c r="E107" s="1">
        <v>3</v>
      </c>
      <c r="F107" s="1">
        <v>0</v>
      </c>
      <c r="G107" s="1">
        <v>0</v>
      </c>
      <c r="H107" s="2">
        <v>1.6799999999999999E-4</v>
      </c>
      <c r="I107" s="1">
        <v>0</v>
      </c>
      <c r="J107" s="1">
        <v>0</v>
      </c>
      <c r="K107" s="1">
        <v>0.14551294000000001</v>
      </c>
      <c r="L107" s="1">
        <v>0</v>
      </c>
      <c r="M107" s="1">
        <v>0</v>
      </c>
      <c r="N107" s="1">
        <v>3</v>
      </c>
      <c r="O107" s="1">
        <v>0</v>
      </c>
      <c r="P107" s="1">
        <v>0</v>
      </c>
      <c r="Q107" s="3">
        <v>5.8999999999999997E-2</v>
      </c>
      <c r="R107" s="1">
        <v>0</v>
      </c>
      <c r="S107" s="1">
        <v>0</v>
      </c>
    </row>
    <row r="108" spans="1:19" x14ac:dyDescent="0.2">
      <c r="A108" s="1" t="s">
        <v>472</v>
      </c>
      <c r="B108" s="1" t="s">
        <v>473</v>
      </c>
      <c r="C108" s="1">
        <v>1</v>
      </c>
      <c r="D108" s="1" t="s">
        <v>1180</v>
      </c>
      <c r="E108" s="1">
        <v>4</v>
      </c>
      <c r="F108" s="1">
        <v>0</v>
      </c>
      <c r="G108" s="1">
        <v>0</v>
      </c>
      <c r="H108" s="2">
        <v>7.1500000000000003E-4</v>
      </c>
      <c r="I108" s="1">
        <v>0</v>
      </c>
      <c r="J108" s="1">
        <v>0</v>
      </c>
      <c r="K108" s="1">
        <v>0.61064565000000004</v>
      </c>
      <c r="L108" s="1">
        <v>0</v>
      </c>
      <c r="M108" s="1">
        <v>0</v>
      </c>
      <c r="N108" s="1">
        <v>6</v>
      </c>
      <c r="O108" s="1">
        <v>0</v>
      </c>
      <c r="P108" s="1">
        <v>0</v>
      </c>
      <c r="Q108" s="3">
        <v>0.20699999999999999</v>
      </c>
      <c r="R108" s="1">
        <v>0</v>
      </c>
      <c r="S108" s="1">
        <v>0</v>
      </c>
    </row>
    <row r="109" spans="1:19" x14ac:dyDescent="0.2">
      <c r="A109" s="1" t="s">
        <v>474</v>
      </c>
      <c r="B109" s="1" t="s">
        <v>475</v>
      </c>
      <c r="C109" s="1">
        <v>1</v>
      </c>
      <c r="D109" s="1" t="s">
        <v>1180</v>
      </c>
      <c r="E109" s="1">
        <v>19</v>
      </c>
      <c r="F109" s="1">
        <v>0</v>
      </c>
      <c r="G109" s="1">
        <v>0</v>
      </c>
      <c r="H109" s="1">
        <v>2.8146400000000002E-3</v>
      </c>
      <c r="I109" s="1">
        <v>0</v>
      </c>
      <c r="J109" s="1">
        <v>0</v>
      </c>
      <c r="K109" s="1">
        <v>1.3334581999999999</v>
      </c>
      <c r="L109" s="1">
        <v>0</v>
      </c>
      <c r="M109" s="1">
        <v>0</v>
      </c>
      <c r="N109" s="1">
        <v>37</v>
      </c>
      <c r="O109" s="1">
        <v>0</v>
      </c>
      <c r="P109" s="1">
        <v>0</v>
      </c>
      <c r="Q109" s="3">
        <v>0.36799999999999999</v>
      </c>
      <c r="R109" s="1">
        <v>0</v>
      </c>
      <c r="S109" s="1">
        <v>0</v>
      </c>
    </row>
    <row r="110" spans="1:19" x14ac:dyDescent="0.2">
      <c r="A110" s="1" t="s">
        <v>476</v>
      </c>
      <c r="B110" s="1" t="s">
        <v>28</v>
      </c>
      <c r="C110" s="1">
        <v>1</v>
      </c>
      <c r="D110" s="1" t="s">
        <v>1180</v>
      </c>
      <c r="E110" s="1">
        <v>50</v>
      </c>
      <c r="F110" s="1">
        <v>0</v>
      </c>
      <c r="G110" s="1">
        <v>0</v>
      </c>
      <c r="H110" s="1">
        <v>1.6832399999999999E-3</v>
      </c>
      <c r="I110" s="1">
        <v>0</v>
      </c>
      <c r="J110" s="1">
        <v>0</v>
      </c>
      <c r="K110" s="1">
        <v>1.7478943</v>
      </c>
      <c r="L110" s="1">
        <v>0</v>
      </c>
      <c r="M110" s="1">
        <v>0</v>
      </c>
      <c r="N110" s="1">
        <v>88</v>
      </c>
      <c r="O110" s="1">
        <v>0</v>
      </c>
      <c r="P110" s="1">
        <v>0</v>
      </c>
      <c r="Q110" s="3">
        <v>0.439</v>
      </c>
      <c r="R110" s="1">
        <v>0</v>
      </c>
      <c r="S110" s="1">
        <v>0</v>
      </c>
    </row>
    <row r="111" spans="1:19" x14ac:dyDescent="0.2">
      <c r="A111" s="1" t="s">
        <v>477</v>
      </c>
      <c r="B111" s="1" t="s">
        <v>478</v>
      </c>
      <c r="C111" s="1">
        <v>1</v>
      </c>
      <c r="D111" s="1" t="s">
        <v>1180</v>
      </c>
      <c r="E111" s="1">
        <v>5</v>
      </c>
      <c r="F111" s="1">
        <v>0</v>
      </c>
      <c r="G111" s="1">
        <v>0</v>
      </c>
      <c r="H111" s="2">
        <v>3.6099999999999999E-4</v>
      </c>
      <c r="I111" s="1">
        <v>0</v>
      </c>
      <c r="J111" s="1">
        <v>0</v>
      </c>
      <c r="K111" s="1">
        <v>0.15080035</v>
      </c>
      <c r="L111" s="1">
        <v>0</v>
      </c>
      <c r="M111" s="1">
        <v>0</v>
      </c>
      <c r="N111" s="1">
        <v>9</v>
      </c>
      <c r="O111" s="1">
        <v>0</v>
      </c>
      <c r="P111" s="1">
        <v>0</v>
      </c>
      <c r="Q111" s="3">
        <v>6.0999999999999999E-2</v>
      </c>
      <c r="R111" s="1">
        <v>0</v>
      </c>
      <c r="S111" s="1">
        <v>0</v>
      </c>
    </row>
    <row r="112" spans="1:19" x14ac:dyDescent="0.2">
      <c r="A112" s="1" t="s">
        <v>479</v>
      </c>
      <c r="B112" s="1" t="s">
        <v>480</v>
      </c>
      <c r="C112" s="1">
        <v>1</v>
      </c>
      <c r="D112" s="1" t="s">
        <v>1180</v>
      </c>
      <c r="E112" s="1">
        <v>2</v>
      </c>
      <c r="F112" s="1">
        <v>0</v>
      </c>
      <c r="G112" s="1">
        <v>0</v>
      </c>
      <c r="H112" s="2">
        <v>1.8100000000000001E-4</v>
      </c>
      <c r="I112" s="1">
        <v>0</v>
      </c>
      <c r="J112" s="1">
        <v>0</v>
      </c>
      <c r="K112" s="1">
        <v>0.20781385999999999</v>
      </c>
      <c r="L112" s="1">
        <v>0</v>
      </c>
      <c r="M112" s="1">
        <v>0</v>
      </c>
      <c r="N112" s="1">
        <v>2</v>
      </c>
      <c r="O112" s="1">
        <v>0</v>
      </c>
      <c r="P112" s="1">
        <v>0</v>
      </c>
      <c r="Q112" s="3">
        <v>8.2000000000000003E-2</v>
      </c>
      <c r="R112" s="1">
        <v>0</v>
      </c>
      <c r="S112" s="1">
        <v>0</v>
      </c>
    </row>
    <row r="113" spans="1:19" x14ac:dyDescent="0.2">
      <c r="A113" s="1" t="s">
        <v>481</v>
      </c>
      <c r="B113" s="1" t="s">
        <v>482</v>
      </c>
      <c r="C113" s="1">
        <v>1</v>
      </c>
      <c r="D113" s="1" t="s">
        <v>1180</v>
      </c>
      <c r="E113" s="1">
        <v>13</v>
      </c>
      <c r="F113" s="1">
        <v>0</v>
      </c>
      <c r="G113" s="1">
        <v>0</v>
      </c>
      <c r="H113" s="1">
        <v>1.5511399999999999E-3</v>
      </c>
      <c r="I113" s="1">
        <v>0</v>
      </c>
      <c r="J113" s="1">
        <v>0</v>
      </c>
      <c r="K113" s="1">
        <v>0.86208713000000003</v>
      </c>
      <c r="L113" s="1">
        <v>0</v>
      </c>
      <c r="M113" s="1">
        <v>0</v>
      </c>
      <c r="N113" s="1">
        <v>30</v>
      </c>
      <c r="O113" s="1">
        <v>0</v>
      </c>
      <c r="P113" s="1">
        <v>0</v>
      </c>
      <c r="Q113" s="3">
        <v>0.27</v>
      </c>
      <c r="R113" s="1">
        <v>0</v>
      </c>
      <c r="S113" s="1">
        <v>0</v>
      </c>
    </row>
    <row r="114" spans="1:19" x14ac:dyDescent="0.2">
      <c r="A114" s="1" t="s">
        <v>483</v>
      </c>
      <c r="B114" s="1" t="s">
        <v>484</v>
      </c>
      <c r="C114" s="1">
        <v>1</v>
      </c>
      <c r="D114" s="1" t="s">
        <v>1180</v>
      </c>
      <c r="E114" s="1">
        <v>2</v>
      </c>
      <c r="F114" s="1">
        <v>0</v>
      </c>
      <c r="G114" s="1">
        <v>0</v>
      </c>
      <c r="H114" s="2">
        <v>1.2999999999999999E-4</v>
      </c>
      <c r="I114" s="1">
        <v>0</v>
      </c>
      <c r="J114" s="1">
        <v>0</v>
      </c>
      <c r="K114" s="1">
        <v>0.40281367000000001</v>
      </c>
      <c r="L114" s="1">
        <v>0</v>
      </c>
      <c r="M114" s="1">
        <v>0</v>
      </c>
      <c r="N114" s="1">
        <v>2</v>
      </c>
      <c r="O114" s="1">
        <v>0</v>
      </c>
      <c r="P114" s="1">
        <v>0</v>
      </c>
      <c r="Q114" s="3">
        <v>0.14699999999999999</v>
      </c>
      <c r="R114" s="1">
        <v>0</v>
      </c>
      <c r="S114" s="1">
        <v>0</v>
      </c>
    </row>
    <row r="115" spans="1:19" x14ac:dyDescent="0.2">
      <c r="A115" s="1" t="s">
        <v>485</v>
      </c>
      <c r="B115" s="1" t="s">
        <v>25</v>
      </c>
      <c r="C115" s="1">
        <v>1</v>
      </c>
      <c r="D115" s="1" t="s">
        <v>1180</v>
      </c>
      <c r="E115" s="1">
        <v>3</v>
      </c>
      <c r="F115" s="1">
        <v>0</v>
      </c>
      <c r="G115" s="1">
        <v>0</v>
      </c>
      <c r="H115" s="2">
        <v>4.0400000000000001E-4</v>
      </c>
      <c r="I115" s="1">
        <v>0</v>
      </c>
      <c r="J115" s="1">
        <v>0</v>
      </c>
      <c r="K115" s="1">
        <v>0.27938128000000001</v>
      </c>
      <c r="L115" s="1">
        <v>0</v>
      </c>
      <c r="M115" s="1">
        <v>0</v>
      </c>
      <c r="N115" s="1">
        <v>4</v>
      </c>
      <c r="O115" s="1">
        <v>0</v>
      </c>
      <c r="P115" s="1">
        <v>0</v>
      </c>
      <c r="Q115" s="3">
        <v>0.107</v>
      </c>
      <c r="R115" s="1">
        <v>0</v>
      </c>
      <c r="S115" s="1">
        <v>0</v>
      </c>
    </row>
    <row r="116" spans="1:19" x14ac:dyDescent="0.2">
      <c r="A116" s="1" t="s">
        <v>486</v>
      </c>
      <c r="B116" s="1" t="s">
        <v>372</v>
      </c>
      <c r="C116" s="1">
        <v>1</v>
      </c>
      <c r="D116" s="1" t="s">
        <v>1180</v>
      </c>
      <c r="E116" s="1">
        <v>3</v>
      </c>
      <c r="F116" s="1">
        <v>0</v>
      </c>
      <c r="G116" s="1">
        <v>0</v>
      </c>
      <c r="H116" s="2">
        <v>2.72E-4</v>
      </c>
      <c r="I116" s="1">
        <v>0</v>
      </c>
      <c r="J116" s="1">
        <v>0</v>
      </c>
      <c r="K116" s="1">
        <v>9.9005819999999994E-2</v>
      </c>
      <c r="L116" s="1">
        <v>0</v>
      </c>
      <c r="M116" s="1">
        <v>0</v>
      </c>
      <c r="N116" s="1">
        <v>6</v>
      </c>
      <c r="O116" s="1">
        <v>0</v>
      </c>
      <c r="P116" s="1">
        <v>0</v>
      </c>
      <c r="Q116" s="3">
        <v>4.1000000000000002E-2</v>
      </c>
      <c r="R116" s="1">
        <v>0</v>
      </c>
      <c r="S116" s="1">
        <v>0</v>
      </c>
    </row>
    <row r="117" spans="1:19" x14ac:dyDescent="0.2">
      <c r="A117" s="1" t="s">
        <v>487</v>
      </c>
      <c r="B117" s="1" t="s">
        <v>488</v>
      </c>
      <c r="C117" s="1">
        <v>1</v>
      </c>
      <c r="D117" s="1" t="s">
        <v>1180</v>
      </c>
      <c r="E117" s="1">
        <v>7</v>
      </c>
      <c r="F117" s="1">
        <v>0</v>
      </c>
      <c r="G117" s="1">
        <v>0</v>
      </c>
      <c r="H117" s="2">
        <v>4.5800000000000002E-4</v>
      </c>
      <c r="I117" s="1">
        <v>0</v>
      </c>
      <c r="J117" s="1">
        <v>0</v>
      </c>
      <c r="K117" s="1">
        <v>0.20226443</v>
      </c>
      <c r="L117" s="1">
        <v>0</v>
      </c>
      <c r="M117" s="1">
        <v>0</v>
      </c>
      <c r="N117" s="1">
        <v>13</v>
      </c>
      <c r="O117" s="1">
        <v>0</v>
      </c>
      <c r="P117" s="1">
        <v>0</v>
      </c>
      <c r="Q117" s="3">
        <v>0.08</v>
      </c>
      <c r="R117" s="1">
        <v>0</v>
      </c>
      <c r="S117" s="1">
        <v>0</v>
      </c>
    </row>
    <row r="118" spans="1:19" x14ac:dyDescent="0.2">
      <c r="A118" s="1" t="s">
        <v>489</v>
      </c>
      <c r="B118" s="1" t="s">
        <v>490</v>
      </c>
      <c r="C118" s="1">
        <v>1</v>
      </c>
      <c r="D118" s="1" t="s">
        <v>1180</v>
      </c>
      <c r="E118" s="1">
        <v>9</v>
      </c>
      <c r="F118" s="1">
        <v>0</v>
      </c>
      <c r="G118" s="1">
        <v>0</v>
      </c>
      <c r="H118" s="2">
        <v>2.3800000000000001E-4</v>
      </c>
      <c r="I118" s="1">
        <v>0</v>
      </c>
      <c r="J118" s="1">
        <v>0</v>
      </c>
      <c r="K118" s="1">
        <v>0.15611220000000001</v>
      </c>
      <c r="L118" s="1">
        <v>0</v>
      </c>
      <c r="M118" s="1">
        <v>0</v>
      </c>
      <c r="N118" s="1">
        <v>12</v>
      </c>
      <c r="O118" s="1">
        <v>0</v>
      </c>
      <c r="P118" s="1">
        <v>0</v>
      </c>
      <c r="Q118" s="3">
        <v>6.3E-2</v>
      </c>
      <c r="R118" s="1">
        <v>0</v>
      </c>
      <c r="S118" s="1">
        <v>0</v>
      </c>
    </row>
    <row r="119" spans="1:19" x14ac:dyDescent="0.2">
      <c r="A119" s="1" t="s">
        <v>491</v>
      </c>
      <c r="B119" s="1" t="s">
        <v>492</v>
      </c>
      <c r="C119" s="1">
        <v>1</v>
      </c>
      <c r="D119" s="1" t="s">
        <v>1180</v>
      </c>
      <c r="E119" s="1">
        <v>3</v>
      </c>
      <c r="F119" s="1">
        <v>0</v>
      </c>
      <c r="G119" s="1">
        <v>0</v>
      </c>
      <c r="H119" s="2">
        <v>2.7799999999999998E-4</v>
      </c>
      <c r="I119" s="1">
        <v>0</v>
      </c>
      <c r="J119" s="1">
        <v>0</v>
      </c>
      <c r="K119" s="1">
        <v>0.33659554000000003</v>
      </c>
      <c r="L119" s="1">
        <v>0</v>
      </c>
      <c r="M119" s="1">
        <v>0</v>
      </c>
      <c r="N119" s="1">
        <v>5</v>
      </c>
      <c r="O119" s="1">
        <v>0</v>
      </c>
      <c r="P119" s="1">
        <v>0</v>
      </c>
      <c r="Q119" s="3">
        <v>0.126</v>
      </c>
      <c r="R119" s="1">
        <v>0</v>
      </c>
      <c r="S119" s="1">
        <v>0</v>
      </c>
    </row>
    <row r="120" spans="1:19" x14ac:dyDescent="0.2">
      <c r="A120" s="1" t="s">
        <v>493</v>
      </c>
      <c r="B120" s="1" t="s">
        <v>39</v>
      </c>
      <c r="C120" s="1">
        <v>1</v>
      </c>
      <c r="D120" s="1" t="s">
        <v>1180</v>
      </c>
      <c r="E120" s="1">
        <v>11</v>
      </c>
      <c r="F120" s="1">
        <v>0</v>
      </c>
      <c r="G120" s="1">
        <v>0</v>
      </c>
      <c r="H120" s="1">
        <v>1.2111800000000001E-3</v>
      </c>
      <c r="I120" s="1">
        <v>0</v>
      </c>
      <c r="J120" s="1">
        <v>0</v>
      </c>
      <c r="K120" s="1">
        <v>0.53461694999999998</v>
      </c>
      <c r="L120" s="1">
        <v>0</v>
      </c>
      <c r="M120" s="1">
        <v>0</v>
      </c>
      <c r="N120" s="1">
        <v>28</v>
      </c>
      <c r="O120" s="1">
        <v>0</v>
      </c>
      <c r="P120" s="1">
        <v>0</v>
      </c>
      <c r="Q120" s="3">
        <v>0.186</v>
      </c>
      <c r="R120" s="1">
        <v>0</v>
      </c>
      <c r="S120" s="1">
        <v>0</v>
      </c>
    </row>
    <row r="121" spans="1:19" x14ac:dyDescent="0.2">
      <c r="A121" s="1" t="s">
        <v>494</v>
      </c>
      <c r="B121" s="1" t="s">
        <v>495</v>
      </c>
      <c r="C121" s="1">
        <v>1</v>
      </c>
      <c r="D121" s="1" t="s">
        <v>1180</v>
      </c>
      <c r="E121" s="1">
        <v>3</v>
      </c>
      <c r="F121" s="1">
        <v>0</v>
      </c>
      <c r="G121" s="1">
        <v>0</v>
      </c>
      <c r="H121" s="2">
        <v>6.02E-4</v>
      </c>
      <c r="I121" s="1">
        <v>0</v>
      </c>
      <c r="J121" s="1">
        <v>0</v>
      </c>
      <c r="K121" s="1">
        <v>0.23310483000000001</v>
      </c>
      <c r="L121" s="1">
        <v>0</v>
      </c>
      <c r="M121" s="1">
        <v>0</v>
      </c>
      <c r="N121" s="1">
        <v>6</v>
      </c>
      <c r="O121" s="1">
        <v>0</v>
      </c>
      <c r="P121" s="1">
        <v>0</v>
      </c>
      <c r="Q121" s="3">
        <v>9.0999999999999998E-2</v>
      </c>
      <c r="R121" s="1">
        <v>0</v>
      </c>
      <c r="S121" s="1">
        <v>0</v>
      </c>
    </row>
    <row r="122" spans="1:19" x14ac:dyDescent="0.2">
      <c r="A122" s="1" t="s">
        <v>496</v>
      </c>
      <c r="B122" s="1" t="s">
        <v>497</v>
      </c>
      <c r="C122" s="1">
        <v>1</v>
      </c>
      <c r="D122" s="1" t="s">
        <v>1180</v>
      </c>
      <c r="E122" s="1">
        <v>8</v>
      </c>
      <c r="F122" s="1">
        <v>0</v>
      </c>
      <c r="G122" s="1">
        <v>0</v>
      </c>
      <c r="H122" s="2">
        <v>7.0299999999999996E-4</v>
      </c>
      <c r="I122" s="1">
        <v>0</v>
      </c>
      <c r="J122" s="1">
        <v>0</v>
      </c>
      <c r="K122" s="1">
        <v>0.42889391999999998</v>
      </c>
      <c r="L122" s="1">
        <v>0</v>
      </c>
      <c r="M122" s="1">
        <v>0</v>
      </c>
      <c r="N122" s="1">
        <v>11</v>
      </c>
      <c r="O122" s="1">
        <v>0</v>
      </c>
      <c r="P122" s="1">
        <v>0</v>
      </c>
      <c r="Q122" s="3">
        <v>0.155</v>
      </c>
      <c r="R122" s="1">
        <v>0</v>
      </c>
      <c r="S122" s="1">
        <v>0</v>
      </c>
    </row>
    <row r="123" spans="1:19" x14ac:dyDescent="0.2">
      <c r="A123" s="1" t="s">
        <v>498</v>
      </c>
      <c r="B123" s="1" t="s">
        <v>126</v>
      </c>
      <c r="C123" s="1">
        <v>1</v>
      </c>
      <c r="D123" s="1" t="s">
        <v>1180</v>
      </c>
      <c r="E123" s="1">
        <v>6</v>
      </c>
      <c r="F123" s="1">
        <v>0</v>
      </c>
      <c r="G123" s="1">
        <v>0</v>
      </c>
      <c r="H123" s="1">
        <v>1.90387E-3</v>
      </c>
      <c r="I123" s="1">
        <v>0</v>
      </c>
      <c r="J123" s="1">
        <v>0</v>
      </c>
      <c r="K123" s="1">
        <v>0.99986184</v>
      </c>
      <c r="L123" s="1">
        <v>0</v>
      </c>
      <c r="M123" s="1">
        <v>0</v>
      </c>
      <c r="N123" s="1">
        <v>21</v>
      </c>
      <c r="O123" s="1">
        <v>0</v>
      </c>
      <c r="P123" s="1">
        <v>0</v>
      </c>
      <c r="Q123" s="3">
        <v>0.30099999999999999</v>
      </c>
      <c r="R123" s="1">
        <v>0</v>
      </c>
      <c r="S123" s="1">
        <v>0</v>
      </c>
    </row>
    <row r="124" spans="1:19" x14ac:dyDescent="0.2">
      <c r="A124" s="1" t="s">
        <v>499</v>
      </c>
      <c r="B124" s="1" t="s">
        <v>259</v>
      </c>
      <c r="C124" s="1">
        <v>1</v>
      </c>
      <c r="D124" s="1" t="s">
        <v>1180</v>
      </c>
      <c r="E124" s="1">
        <v>3</v>
      </c>
      <c r="F124" s="1">
        <v>0</v>
      </c>
      <c r="G124" s="1">
        <v>0</v>
      </c>
      <c r="H124" s="1">
        <v>1.8809600000000001E-3</v>
      </c>
      <c r="I124" s="1">
        <v>0</v>
      </c>
      <c r="J124" s="1">
        <v>0</v>
      </c>
      <c r="K124" s="1">
        <v>0.16949939999999999</v>
      </c>
      <c r="L124" s="1">
        <v>0</v>
      </c>
      <c r="M124" s="1">
        <v>0</v>
      </c>
      <c r="N124" s="1">
        <v>27</v>
      </c>
      <c r="O124" s="1">
        <v>0</v>
      </c>
      <c r="P124" s="1">
        <v>0</v>
      </c>
      <c r="Q124" s="3">
        <v>6.8000000000000005E-2</v>
      </c>
      <c r="R124" s="1">
        <v>0</v>
      </c>
      <c r="S124" s="1">
        <v>0</v>
      </c>
    </row>
    <row r="125" spans="1:19" x14ac:dyDescent="0.2">
      <c r="A125" s="1" t="s">
        <v>500</v>
      </c>
      <c r="B125" s="1" t="s">
        <v>259</v>
      </c>
      <c r="C125" s="1">
        <v>1</v>
      </c>
      <c r="D125" s="1" t="s">
        <v>1180</v>
      </c>
      <c r="E125" s="1">
        <v>12</v>
      </c>
      <c r="F125" s="1">
        <v>0</v>
      </c>
      <c r="G125" s="1">
        <v>0</v>
      </c>
      <c r="H125" s="1">
        <v>3.02039E-3</v>
      </c>
      <c r="I125" s="1">
        <v>0</v>
      </c>
      <c r="J125" s="1">
        <v>0</v>
      </c>
      <c r="K125" s="1">
        <v>1.4154608</v>
      </c>
      <c r="L125" s="1">
        <v>0</v>
      </c>
      <c r="M125" s="1">
        <v>0</v>
      </c>
      <c r="N125" s="1">
        <v>34</v>
      </c>
      <c r="O125" s="1">
        <v>0</v>
      </c>
      <c r="P125" s="1">
        <v>0</v>
      </c>
      <c r="Q125" s="3">
        <v>0.38300000000000001</v>
      </c>
      <c r="R125" s="1">
        <v>0</v>
      </c>
      <c r="S125" s="1">
        <v>0</v>
      </c>
    </row>
    <row r="126" spans="1:19" x14ac:dyDescent="0.2">
      <c r="A126" s="1" t="s">
        <v>501</v>
      </c>
      <c r="B126" s="1" t="s">
        <v>502</v>
      </c>
      <c r="C126" s="1">
        <v>1</v>
      </c>
      <c r="D126" s="1" t="s">
        <v>1180</v>
      </c>
      <c r="E126" s="1">
        <v>2</v>
      </c>
      <c r="F126" s="1">
        <v>0</v>
      </c>
      <c r="G126" s="1">
        <v>0</v>
      </c>
      <c r="H126" s="2">
        <v>9.6299999999999996E-5</v>
      </c>
      <c r="I126" s="1">
        <v>0</v>
      </c>
      <c r="J126" s="1">
        <v>0</v>
      </c>
      <c r="K126" s="1">
        <v>0.10662377000000001</v>
      </c>
      <c r="L126" s="1">
        <v>0</v>
      </c>
      <c r="M126" s="1">
        <v>0</v>
      </c>
      <c r="N126" s="1">
        <v>2</v>
      </c>
      <c r="O126" s="1">
        <v>0</v>
      </c>
      <c r="P126" s="1">
        <v>0</v>
      </c>
      <c r="Q126" s="3">
        <v>4.3999999999999997E-2</v>
      </c>
      <c r="R126" s="1">
        <v>0</v>
      </c>
      <c r="S126" s="1">
        <v>0</v>
      </c>
    </row>
    <row r="127" spans="1:19" x14ac:dyDescent="0.2">
      <c r="A127" s="1" t="s">
        <v>503</v>
      </c>
      <c r="B127" s="1" t="s">
        <v>504</v>
      </c>
      <c r="C127" s="1">
        <v>1</v>
      </c>
      <c r="D127" s="1" t="s">
        <v>1180</v>
      </c>
      <c r="E127" s="1">
        <v>5</v>
      </c>
      <c r="F127" s="1">
        <v>0</v>
      </c>
      <c r="G127" s="1">
        <v>0</v>
      </c>
      <c r="H127" s="2">
        <v>2.02E-4</v>
      </c>
      <c r="I127" s="1">
        <v>0</v>
      </c>
      <c r="J127" s="1">
        <v>0</v>
      </c>
      <c r="K127" s="1">
        <v>0.48251808000000002</v>
      </c>
      <c r="L127" s="1">
        <v>0</v>
      </c>
      <c r="M127" s="1">
        <v>0</v>
      </c>
      <c r="N127" s="1">
        <v>5</v>
      </c>
      <c r="O127" s="1">
        <v>0</v>
      </c>
      <c r="P127" s="1">
        <v>0</v>
      </c>
      <c r="Q127" s="3">
        <v>0.17100000000000001</v>
      </c>
      <c r="R127" s="1">
        <v>0</v>
      </c>
      <c r="S127" s="1">
        <v>0</v>
      </c>
    </row>
    <row r="128" spans="1:19" x14ac:dyDescent="0.2">
      <c r="A128" s="1" t="s">
        <v>505</v>
      </c>
      <c r="B128" s="1" t="s">
        <v>506</v>
      </c>
      <c r="C128" s="1">
        <v>1</v>
      </c>
      <c r="D128" s="1" t="s">
        <v>1180</v>
      </c>
      <c r="E128" s="1">
        <v>7</v>
      </c>
      <c r="F128" s="1">
        <v>0</v>
      </c>
      <c r="G128" s="1">
        <v>0</v>
      </c>
      <c r="H128" s="1">
        <v>1.2577599999999999E-3</v>
      </c>
      <c r="I128" s="1">
        <v>0</v>
      </c>
      <c r="J128" s="1">
        <v>0</v>
      </c>
      <c r="K128" s="1">
        <v>0.15611220000000001</v>
      </c>
      <c r="L128" s="1">
        <v>0</v>
      </c>
      <c r="M128" s="1">
        <v>0</v>
      </c>
      <c r="N128" s="1">
        <v>21</v>
      </c>
      <c r="O128" s="1">
        <v>0</v>
      </c>
      <c r="P128" s="1">
        <v>0</v>
      </c>
      <c r="Q128" s="3">
        <v>6.3E-2</v>
      </c>
      <c r="R128" s="1">
        <v>0</v>
      </c>
      <c r="S128" s="1">
        <v>0</v>
      </c>
    </row>
    <row r="129" spans="1:19" x14ac:dyDescent="0.2">
      <c r="A129" s="1" t="s">
        <v>507</v>
      </c>
      <c r="B129" s="1" t="s">
        <v>25</v>
      </c>
      <c r="C129" s="1">
        <v>1</v>
      </c>
      <c r="D129" s="1" t="s">
        <v>1180</v>
      </c>
      <c r="E129" s="1">
        <v>14</v>
      </c>
      <c r="F129" s="1">
        <v>0</v>
      </c>
      <c r="G129" s="1">
        <v>0</v>
      </c>
      <c r="H129" s="1">
        <v>2.4000100000000002E-3</v>
      </c>
      <c r="I129" s="1">
        <v>0</v>
      </c>
      <c r="J129" s="1">
        <v>0</v>
      </c>
      <c r="K129" s="1">
        <v>1.032357</v>
      </c>
      <c r="L129" s="1">
        <v>0</v>
      </c>
      <c r="M129" s="1">
        <v>0</v>
      </c>
      <c r="N129" s="1">
        <v>33</v>
      </c>
      <c r="O129" s="1">
        <v>0</v>
      </c>
      <c r="P129" s="1">
        <v>0</v>
      </c>
      <c r="Q129" s="3">
        <v>0.308</v>
      </c>
      <c r="R129" s="1">
        <v>0</v>
      </c>
      <c r="S129" s="1">
        <v>0</v>
      </c>
    </row>
    <row r="130" spans="1:19" x14ac:dyDescent="0.2">
      <c r="A130" s="1" t="s">
        <v>508</v>
      </c>
      <c r="B130" s="1" t="s">
        <v>509</v>
      </c>
      <c r="C130" s="1">
        <v>1</v>
      </c>
      <c r="D130" s="1" t="s">
        <v>1180</v>
      </c>
      <c r="E130" s="1">
        <v>2</v>
      </c>
      <c r="F130" s="1">
        <v>0</v>
      </c>
      <c r="G130" s="1">
        <v>0</v>
      </c>
      <c r="H130" s="2">
        <v>1.4999999999999999E-4</v>
      </c>
      <c r="I130" s="1">
        <v>0</v>
      </c>
      <c r="J130" s="1">
        <v>0</v>
      </c>
      <c r="K130" s="1">
        <v>0.25025903999999999</v>
      </c>
      <c r="L130" s="1">
        <v>0</v>
      </c>
      <c r="M130" s="1">
        <v>0</v>
      </c>
      <c r="N130" s="1">
        <v>2</v>
      </c>
      <c r="O130" s="1">
        <v>0</v>
      </c>
      <c r="P130" s="1">
        <v>0</v>
      </c>
      <c r="Q130" s="3">
        <v>9.7000000000000003E-2</v>
      </c>
      <c r="R130" s="1">
        <v>0</v>
      </c>
      <c r="S130" s="1">
        <v>0</v>
      </c>
    </row>
    <row r="131" spans="1:19" x14ac:dyDescent="0.2">
      <c r="A131" s="1" t="s">
        <v>510</v>
      </c>
      <c r="B131" s="1" t="s">
        <v>511</v>
      </c>
      <c r="C131" s="1">
        <v>1</v>
      </c>
      <c r="D131" s="1" t="s">
        <v>1180</v>
      </c>
      <c r="E131" s="1">
        <v>5</v>
      </c>
      <c r="F131" s="1">
        <v>0</v>
      </c>
      <c r="G131" s="1">
        <v>0</v>
      </c>
      <c r="H131" s="2">
        <v>3.9500000000000001E-4</v>
      </c>
      <c r="I131" s="1">
        <v>0</v>
      </c>
      <c r="J131" s="1">
        <v>0</v>
      </c>
      <c r="K131" s="1">
        <v>0.40928875999999997</v>
      </c>
      <c r="L131" s="1">
        <v>0</v>
      </c>
      <c r="M131" s="1">
        <v>0</v>
      </c>
      <c r="N131" s="1">
        <v>6</v>
      </c>
      <c r="O131" s="1">
        <v>0</v>
      </c>
      <c r="P131" s="1">
        <v>0</v>
      </c>
      <c r="Q131" s="3">
        <v>0.14899999999999999</v>
      </c>
      <c r="R131" s="1">
        <v>0</v>
      </c>
      <c r="S131" s="1">
        <v>0</v>
      </c>
    </row>
    <row r="132" spans="1:19" x14ac:dyDescent="0.2">
      <c r="A132" s="1" t="s">
        <v>512</v>
      </c>
      <c r="B132" s="1" t="s">
        <v>511</v>
      </c>
      <c r="C132" s="1">
        <v>1</v>
      </c>
      <c r="D132" s="1" t="s">
        <v>1180</v>
      </c>
      <c r="E132" s="1">
        <v>9</v>
      </c>
      <c r="F132" s="1">
        <v>0</v>
      </c>
      <c r="G132" s="1">
        <v>0</v>
      </c>
      <c r="H132" s="1">
        <v>1.38521E-3</v>
      </c>
      <c r="I132" s="1">
        <v>0</v>
      </c>
      <c r="J132" s="1">
        <v>0</v>
      </c>
      <c r="K132" s="1">
        <v>0.57761119999999999</v>
      </c>
      <c r="L132" s="1">
        <v>0</v>
      </c>
      <c r="M132" s="1">
        <v>0</v>
      </c>
      <c r="N132" s="1">
        <v>18</v>
      </c>
      <c r="O132" s="1">
        <v>0</v>
      </c>
      <c r="P132" s="1">
        <v>0</v>
      </c>
      <c r="Q132" s="3">
        <v>0.19800000000000001</v>
      </c>
      <c r="R132" s="1">
        <v>0</v>
      </c>
      <c r="S132" s="1">
        <v>0</v>
      </c>
    </row>
    <row r="133" spans="1:19" x14ac:dyDescent="0.2">
      <c r="A133" s="1" t="s">
        <v>513</v>
      </c>
      <c r="B133" s="1" t="s">
        <v>514</v>
      </c>
      <c r="C133" s="1">
        <v>1</v>
      </c>
      <c r="D133" s="1" t="s">
        <v>1180</v>
      </c>
      <c r="E133" s="1">
        <v>3</v>
      </c>
      <c r="F133" s="1">
        <v>0</v>
      </c>
      <c r="G133" s="1">
        <v>0</v>
      </c>
      <c r="H133" s="2">
        <v>8.8599999999999999E-5</v>
      </c>
      <c r="I133" s="1">
        <v>0</v>
      </c>
      <c r="J133" s="1">
        <v>0</v>
      </c>
      <c r="K133" s="1">
        <v>7.3989390000000002E-2</v>
      </c>
      <c r="L133" s="1">
        <v>0</v>
      </c>
      <c r="M133" s="1">
        <v>0</v>
      </c>
      <c r="N133" s="1">
        <v>3</v>
      </c>
      <c r="O133" s="1">
        <v>0</v>
      </c>
      <c r="P133" s="1">
        <v>0</v>
      </c>
      <c r="Q133" s="3">
        <v>3.1E-2</v>
      </c>
      <c r="R133" s="1">
        <v>0</v>
      </c>
      <c r="S133" s="1">
        <v>0</v>
      </c>
    </row>
    <row r="134" spans="1:19" x14ac:dyDescent="0.2">
      <c r="A134" s="1" t="s">
        <v>515</v>
      </c>
      <c r="B134" s="1" t="s">
        <v>516</v>
      </c>
      <c r="C134" s="1">
        <v>1</v>
      </c>
      <c r="D134" s="1" t="s">
        <v>1180</v>
      </c>
      <c r="E134" s="1">
        <v>4</v>
      </c>
      <c r="F134" s="1">
        <v>0</v>
      </c>
      <c r="G134" s="1">
        <v>0</v>
      </c>
      <c r="H134" s="2">
        <v>5.8100000000000003E-4</v>
      </c>
      <c r="I134" s="1">
        <v>0</v>
      </c>
      <c r="J134" s="1">
        <v>0</v>
      </c>
      <c r="K134" s="1">
        <v>0.62554883999999999</v>
      </c>
      <c r="L134" s="1">
        <v>0</v>
      </c>
      <c r="M134" s="1">
        <v>0</v>
      </c>
      <c r="N134" s="1">
        <v>5</v>
      </c>
      <c r="O134" s="1">
        <v>0</v>
      </c>
      <c r="P134" s="1">
        <v>0</v>
      </c>
      <c r="Q134" s="3">
        <v>0.21099999999999999</v>
      </c>
      <c r="R134" s="1">
        <v>0</v>
      </c>
      <c r="S134" s="1">
        <v>0</v>
      </c>
    </row>
    <row r="135" spans="1:19" x14ac:dyDescent="0.2">
      <c r="A135" s="1" t="s">
        <v>517</v>
      </c>
      <c r="B135" s="1" t="s">
        <v>84</v>
      </c>
      <c r="C135" s="1">
        <v>1</v>
      </c>
      <c r="D135" s="1" t="s">
        <v>1180</v>
      </c>
      <c r="E135" s="1">
        <v>4</v>
      </c>
      <c r="F135" s="1">
        <v>0</v>
      </c>
      <c r="G135" s="1">
        <v>0</v>
      </c>
      <c r="H135" s="1">
        <v>1.04498E-3</v>
      </c>
      <c r="I135" s="1">
        <v>0</v>
      </c>
      <c r="J135" s="1">
        <v>0</v>
      </c>
      <c r="K135" s="1">
        <v>0.94536005999999995</v>
      </c>
      <c r="L135" s="1">
        <v>0</v>
      </c>
      <c r="M135" s="1">
        <v>0</v>
      </c>
      <c r="N135" s="1">
        <v>9</v>
      </c>
      <c r="O135" s="1">
        <v>0</v>
      </c>
      <c r="P135" s="1">
        <v>0</v>
      </c>
      <c r="Q135" s="3">
        <v>0.28899999999999998</v>
      </c>
      <c r="R135" s="1">
        <v>0</v>
      </c>
      <c r="S135" s="1">
        <v>0</v>
      </c>
    </row>
    <row r="136" spans="1:19" x14ac:dyDescent="0.2">
      <c r="A136" s="1" t="s">
        <v>518</v>
      </c>
      <c r="B136" s="1" t="s">
        <v>519</v>
      </c>
      <c r="C136" s="1">
        <v>1</v>
      </c>
      <c r="D136" s="1" t="s">
        <v>1180</v>
      </c>
      <c r="E136" s="1">
        <v>2</v>
      </c>
      <c r="F136" s="1">
        <v>0</v>
      </c>
      <c r="G136" s="1">
        <v>0</v>
      </c>
      <c r="H136" s="2">
        <v>4.0000000000000003E-5</v>
      </c>
      <c r="I136" s="1">
        <v>0</v>
      </c>
      <c r="J136" s="1">
        <v>0</v>
      </c>
      <c r="K136" s="1">
        <v>6.4143060000000002E-2</v>
      </c>
      <c r="L136" s="1">
        <v>0</v>
      </c>
      <c r="M136" s="1">
        <v>0</v>
      </c>
      <c r="N136" s="1">
        <v>2</v>
      </c>
      <c r="O136" s="1">
        <v>0</v>
      </c>
      <c r="P136" s="1">
        <v>0</v>
      </c>
      <c r="Q136" s="3">
        <v>2.7E-2</v>
      </c>
      <c r="R136" s="1">
        <v>0</v>
      </c>
      <c r="S136" s="1">
        <v>0</v>
      </c>
    </row>
    <row r="137" spans="1:19" x14ac:dyDescent="0.2">
      <c r="A137" s="1" t="s">
        <v>520</v>
      </c>
      <c r="B137" s="1" t="s">
        <v>521</v>
      </c>
      <c r="C137" s="1">
        <v>1</v>
      </c>
      <c r="D137" s="1" t="s">
        <v>1180</v>
      </c>
      <c r="E137" s="1">
        <v>9</v>
      </c>
      <c r="F137" s="1">
        <v>0</v>
      </c>
      <c r="G137" s="1">
        <v>0</v>
      </c>
      <c r="H137" s="2">
        <v>2.0000000000000001E-4</v>
      </c>
      <c r="I137" s="1">
        <v>0</v>
      </c>
      <c r="J137" s="1">
        <v>0</v>
      </c>
      <c r="K137" s="1">
        <v>0.31219995</v>
      </c>
      <c r="L137" s="1">
        <v>0</v>
      </c>
      <c r="M137" s="1">
        <v>0</v>
      </c>
      <c r="N137" s="1">
        <v>11</v>
      </c>
      <c r="O137" s="1">
        <v>0</v>
      </c>
      <c r="P137" s="1">
        <v>0</v>
      </c>
      <c r="Q137" s="3">
        <v>0.11799999999999999</v>
      </c>
      <c r="R137" s="1">
        <v>0</v>
      </c>
      <c r="S137" s="1">
        <v>0</v>
      </c>
    </row>
    <row r="138" spans="1:19" x14ac:dyDescent="0.2">
      <c r="A138" s="1" t="s">
        <v>522</v>
      </c>
      <c r="B138" s="1" t="s">
        <v>28</v>
      </c>
      <c r="C138" s="1">
        <v>1</v>
      </c>
      <c r="D138" s="1" t="s">
        <v>1180</v>
      </c>
      <c r="E138" s="1">
        <v>18</v>
      </c>
      <c r="F138" s="1">
        <v>0</v>
      </c>
      <c r="G138" s="1">
        <v>0</v>
      </c>
      <c r="H138" s="1">
        <v>1.4707100000000001E-3</v>
      </c>
      <c r="I138" s="1">
        <v>0</v>
      </c>
      <c r="J138" s="1">
        <v>0</v>
      </c>
      <c r="K138" s="1">
        <v>0.49279440000000002</v>
      </c>
      <c r="L138" s="1">
        <v>0</v>
      </c>
      <c r="M138" s="1">
        <v>0</v>
      </c>
      <c r="N138" s="1">
        <v>37</v>
      </c>
      <c r="O138" s="1">
        <v>0</v>
      </c>
      <c r="P138" s="1">
        <v>0</v>
      </c>
      <c r="Q138" s="3">
        <v>0.17399999999999999</v>
      </c>
      <c r="R138" s="1">
        <v>0</v>
      </c>
      <c r="S138" s="1">
        <v>0</v>
      </c>
    </row>
    <row r="139" spans="1:19" x14ac:dyDescent="0.2">
      <c r="A139" s="1" t="s">
        <v>523</v>
      </c>
      <c r="B139" s="1" t="s">
        <v>524</v>
      </c>
      <c r="C139" s="1">
        <v>1</v>
      </c>
      <c r="D139" s="1" t="s">
        <v>1180</v>
      </c>
      <c r="E139" s="1">
        <v>8</v>
      </c>
      <c r="F139" s="1">
        <v>0</v>
      </c>
      <c r="G139" s="1">
        <v>0</v>
      </c>
      <c r="H139" s="1">
        <v>1.25209E-3</v>
      </c>
      <c r="I139" s="1">
        <v>0</v>
      </c>
      <c r="J139" s="1">
        <v>0</v>
      </c>
      <c r="K139" s="1">
        <v>0.40928875999999997</v>
      </c>
      <c r="L139" s="1">
        <v>0</v>
      </c>
      <c r="M139" s="1">
        <v>0</v>
      </c>
      <c r="N139" s="1">
        <v>14</v>
      </c>
      <c r="O139" s="1">
        <v>0</v>
      </c>
      <c r="P139" s="1">
        <v>0</v>
      </c>
      <c r="Q139" s="3">
        <v>0.14899999999999999</v>
      </c>
      <c r="R139" s="1">
        <v>0</v>
      </c>
      <c r="S139" s="1">
        <v>0</v>
      </c>
    </row>
    <row r="140" spans="1:19" x14ac:dyDescent="0.2">
      <c r="A140" s="1" t="s">
        <v>525</v>
      </c>
      <c r="B140" s="1" t="s">
        <v>526</v>
      </c>
      <c r="C140" s="1">
        <v>1</v>
      </c>
      <c r="D140" s="1" t="s">
        <v>1180</v>
      </c>
      <c r="E140" s="1">
        <v>3</v>
      </c>
      <c r="F140" s="1">
        <v>0</v>
      </c>
      <c r="G140" s="1">
        <v>0</v>
      </c>
      <c r="H140" s="2">
        <v>1.6100000000000001E-4</v>
      </c>
      <c r="I140" s="1">
        <v>0</v>
      </c>
      <c r="J140" s="1">
        <v>0</v>
      </c>
      <c r="K140" s="1">
        <v>0.11943793</v>
      </c>
      <c r="L140" s="1">
        <v>0</v>
      </c>
      <c r="M140" s="1">
        <v>0</v>
      </c>
      <c r="N140" s="1">
        <v>3</v>
      </c>
      <c r="O140" s="1">
        <v>0</v>
      </c>
      <c r="P140" s="1">
        <v>0</v>
      </c>
      <c r="Q140" s="3">
        <v>4.9000000000000002E-2</v>
      </c>
      <c r="R140" s="1">
        <v>0</v>
      </c>
      <c r="S140" s="1">
        <v>0</v>
      </c>
    </row>
    <row r="141" spans="1:19" x14ac:dyDescent="0.2">
      <c r="A141" s="1" t="s">
        <v>527</v>
      </c>
      <c r="B141" s="1" t="s">
        <v>528</v>
      </c>
      <c r="C141" s="1">
        <v>1</v>
      </c>
      <c r="D141" s="1" t="s">
        <v>1180</v>
      </c>
      <c r="E141" s="1">
        <v>3</v>
      </c>
      <c r="F141" s="1">
        <v>0</v>
      </c>
      <c r="G141" s="1">
        <v>0</v>
      </c>
      <c r="H141" s="2">
        <v>7.4400000000000006E-5</v>
      </c>
      <c r="I141" s="1">
        <v>0</v>
      </c>
      <c r="J141" s="1">
        <v>0</v>
      </c>
      <c r="K141" s="1">
        <v>4.4720169999999997E-2</v>
      </c>
      <c r="L141" s="1">
        <v>0</v>
      </c>
      <c r="M141" s="1">
        <v>0</v>
      </c>
      <c r="N141" s="1">
        <v>5</v>
      </c>
      <c r="O141" s="1">
        <v>0</v>
      </c>
      <c r="P141" s="1">
        <v>0</v>
      </c>
      <c r="Q141" s="3">
        <v>1.9E-2</v>
      </c>
      <c r="R141" s="1">
        <v>0</v>
      </c>
      <c r="S141" s="1">
        <v>0</v>
      </c>
    </row>
    <row r="142" spans="1:19" x14ac:dyDescent="0.2">
      <c r="A142" s="1" t="s">
        <v>529</v>
      </c>
      <c r="B142" s="1" t="s">
        <v>530</v>
      </c>
      <c r="C142" s="1">
        <v>1</v>
      </c>
      <c r="D142" s="1" t="s">
        <v>1180</v>
      </c>
      <c r="E142" s="1">
        <v>2</v>
      </c>
      <c r="F142" s="1">
        <v>0</v>
      </c>
      <c r="G142" s="1">
        <v>0</v>
      </c>
      <c r="H142" s="2">
        <v>3.9900000000000001E-5</v>
      </c>
      <c r="I142" s="1">
        <v>0</v>
      </c>
      <c r="J142" s="1">
        <v>0</v>
      </c>
      <c r="K142" s="1">
        <v>4.712856E-2</v>
      </c>
      <c r="L142" s="1">
        <v>0</v>
      </c>
      <c r="M142" s="1">
        <v>0</v>
      </c>
      <c r="N142" s="1">
        <v>4</v>
      </c>
      <c r="O142" s="1">
        <v>0</v>
      </c>
      <c r="P142" s="1">
        <v>0</v>
      </c>
      <c r="Q142" s="3">
        <v>0.02</v>
      </c>
      <c r="R142" s="1">
        <v>0</v>
      </c>
      <c r="S142" s="1">
        <v>0</v>
      </c>
    </row>
    <row r="143" spans="1:19" x14ac:dyDescent="0.2">
      <c r="A143" s="1" t="s">
        <v>531</v>
      </c>
      <c r="B143" s="1" t="s">
        <v>532</v>
      </c>
      <c r="C143" s="1">
        <v>1</v>
      </c>
      <c r="D143" s="1" t="s">
        <v>1180</v>
      </c>
      <c r="E143" s="1">
        <v>78</v>
      </c>
      <c r="F143" s="1">
        <v>0</v>
      </c>
      <c r="G143" s="1">
        <v>0</v>
      </c>
      <c r="H143" s="1">
        <v>1.188794E-2</v>
      </c>
      <c r="I143" s="1">
        <v>0</v>
      </c>
      <c r="J143" s="1">
        <v>0</v>
      </c>
      <c r="K143" s="1">
        <v>1.8575904000000001</v>
      </c>
      <c r="L143" s="1">
        <v>0</v>
      </c>
      <c r="M143" s="1">
        <v>0</v>
      </c>
      <c r="N143" s="1">
        <v>335</v>
      </c>
      <c r="O143" s="1">
        <v>0</v>
      </c>
      <c r="P143" s="1">
        <v>0</v>
      </c>
      <c r="Q143" s="3">
        <v>0.45600000000000002</v>
      </c>
      <c r="R143" s="1">
        <v>0</v>
      </c>
      <c r="S143" s="1">
        <v>0</v>
      </c>
    </row>
    <row r="144" spans="1:19" x14ac:dyDescent="0.2">
      <c r="A144" s="1" t="s">
        <v>533</v>
      </c>
      <c r="B144" s="1" t="s">
        <v>534</v>
      </c>
      <c r="C144" s="1">
        <v>1</v>
      </c>
      <c r="D144" s="1" t="s">
        <v>1180</v>
      </c>
      <c r="E144" s="1">
        <v>3</v>
      </c>
      <c r="F144" s="1">
        <v>0</v>
      </c>
      <c r="G144" s="1">
        <v>0</v>
      </c>
      <c r="H144" s="2">
        <v>3.2499999999999999E-4</v>
      </c>
      <c r="I144" s="1">
        <v>0</v>
      </c>
      <c r="J144" s="1">
        <v>0</v>
      </c>
      <c r="K144" s="1">
        <v>0.32739449999999998</v>
      </c>
      <c r="L144" s="1">
        <v>0</v>
      </c>
      <c r="M144" s="1">
        <v>0</v>
      </c>
      <c r="N144" s="1">
        <v>3</v>
      </c>
      <c r="O144" s="1">
        <v>0</v>
      </c>
      <c r="P144" s="1">
        <v>0</v>
      </c>
      <c r="Q144" s="3">
        <v>0.123</v>
      </c>
      <c r="R144" s="1">
        <v>0</v>
      </c>
      <c r="S144" s="1">
        <v>0</v>
      </c>
    </row>
    <row r="145" spans="1:19" x14ac:dyDescent="0.2">
      <c r="A145" s="1" t="s">
        <v>535</v>
      </c>
      <c r="B145" s="1" t="s">
        <v>536</v>
      </c>
      <c r="C145" s="1">
        <v>1</v>
      </c>
      <c r="D145" s="1" t="s">
        <v>1180</v>
      </c>
      <c r="E145" s="1">
        <v>6</v>
      </c>
      <c r="F145" s="1">
        <v>0</v>
      </c>
      <c r="G145" s="1">
        <v>0</v>
      </c>
      <c r="H145" s="2">
        <v>7.3499999999999998E-4</v>
      </c>
      <c r="I145" s="1">
        <v>0</v>
      </c>
      <c r="J145" s="1">
        <v>0</v>
      </c>
      <c r="K145" s="1">
        <v>0.5205476</v>
      </c>
      <c r="L145" s="1">
        <v>0</v>
      </c>
      <c r="M145" s="1">
        <v>0</v>
      </c>
      <c r="N145" s="1">
        <v>11</v>
      </c>
      <c r="O145" s="1">
        <v>0</v>
      </c>
      <c r="P145" s="1">
        <v>0</v>
      </c>
      <c r="Q145" s="3">
        <v>0.182</v>
      </c>
      <c r="R145" s="1">
        <v>0</v>
      </c>
      <c r="S145" s="1">
        <v>0</v>
      </c>
    </row>
    <row r="146" spans="1:19" x14ac:dyDescent="0.2">
      <c r="A146" s="1" t="s">
        <v>537</v>
      </c>
      <c r="B146" s="1" t="s">
        <v>538</v>
      </c>
      <c r="C146" s="1">
        <v>1</v>
      </c>
      <c r="D146" s="1" t="s">
        <v>1180</v>
      </c>
      <c r="E146" s="1">
        <v>28</v>
      </c>
      <c r="F146" s="1">
        <v>0</v>
      </c>
      <c r="G146" s="1">
        <v>0</v>
      </c>
      <c r="H146" s="1">
        <v>2.0878899999999998E-3</v>
      </c>
      <c r="I146" s="1">
        <v>0</v>
      </c>
      <c r="J146" s="1">
        <v>0</v>
      </c>
      <c r="K146" s="1">
        <v>1.3227367000000001</v>
      </c>
      <c r="L146" s="1">
        <v>0</v>
      </c>
      <c r="M146" s="1">
        <v>0</v>
      </c>
      <c r="N146" s="1">
        <v>53</v>
      </c>
      <c r="O146" s="1">
        <v>0</v>
      </c>
      <c r="P146" s="1">
        <v>0</v>
      </c>
      <c r="Q146" s="3">
        <v>0.36599999999999999</v>
      </c>
      <c r="R146" s="1">
        <v>0</v>
      </c>
      <c r="S146" s="1">
        <v>0</v>
      </c>
    </row>
    <row r="147" spans="1:19" x14ac:dyDescent="0.2">
      <c r="A147" s="1" t="s">
        <v>539</v>
      </c>
      <c r="B147" s="1" t="s">
        <v>540</v>
      </c>
      <c r="C147" s="1">
        <v>1</v>
      </c>
      <c r="D147" s="1" t="s">
        <v>1180</v>
      </c>
      <c r="E147" s="1">
        <v>3</v>
      </c>
      <c r="F147" s="1">
        <v>0</v>
      </c>
      <c r="G147" s="1">
        <v>0</v>
      </c>
      <c r="H147" s="2">
        <v>7.5199999999999996E-4</v>
      </c>
      <c r="I147" s="1">
        <v>0</v>
      </c>
      <c r="J147" s="1">
        <v>0</v>
      </c>
      <c r="K147" s="1">
        <v>0.47910845000000002</v>
      </c>
      <c r="L147" s="1">
        <v>0</v>
      </c>
      <c r="M147" s="1">
        <v>0</v>
      </c>
      <c r="N147" s="1">
        <v>5</v>
      </c>
      <c r="O147" s="1">
        <v>0</v>
      </c>
      <c r="P147" s="1">
        <v>0</v>
      </c>
      <c r="Q147" s="3">
        <v>0.17</v>
      </c>
      <c r="R147" s="1">
        <v>0</v>
      </c>
      <c r="S147" s="1">
        <v>0</v>
      </c>
    </row>
    <row r="148" spans="1:19" x14ac:dyDescent="0.2">
      <c r="A148" s="1" t="s">
        <v>541</v>
      </c>
      <c r="B148" s="1" t="s">
        <v>25</v>
      </c>
      <c r="C148" s="1">
        <v>1</v>
      </c>
      <c r="D148" s="1" t="s">
        <v>1180</v>
      </c>
      <c r="E148" s="1">
        <v>3</v>
      </c>
      <c r="F148" s="1">
        <v>0</v>
      </c>
      <c r="G148" s="1">
        <v>0</v>
      </c>
      <c r="H148" s="2">
        <v>4.0099999999999999E-4</v>
      </c>
      <c r="I148" s="1">
        <v>0</v>
      </c>
      <c r="J148" s="1">
        <v>0</v>
      </c>
      <c r="K148" s="1">
        <v>0.34586035999999998</v>
      </c>
      <c r="L148" s="1">
        <v>0</v>
      </c>
      <c r="M148" s="1">
        <v>0</v>
      </c>
      <c r="N148" s="1">
        <v>4</v>
      </c>
      <c r="O148" s="1">
        <v>0</v>
      </c>
      <c r="P148" s="1">
        <v>0</v>
      </c>
      <c r="Q148" s="3">
        <v>0.129</v>
      </c>
      <c r="R148" s="1">
        <v>0</v>
      </c>
      <c r="S148" s="1">
        <v>0</v>
      </c>
    </row>
    <row r="149" spans="1:19" x14ac:dyDescent="0.2">
      <c r="A149" s="1" t="s">
        <v>542</v>
      </c>
      <c r="B149" s="1" t="s">
        <v>543</v>
      </c>
      <c r="C149" s="1">
        <v>1</v>
      </c>
      <c r="D149" s="1" t="s">
        <v>1180</v>
      </c>
      <c r="E149" s="1">
        <v>8</v>
      </c>
      <c r="F149" s="1">
        <v>0</v>
      </c>
      <c r="G149" s="1">
        <v>0</v>
      </c>
      <c r="H149" s="2">
        <v>2.7900000000000001E-4</v>
      </c>
      <c r="I149" s="1">
        <v>0</v>
      </c>
      <c r="J149" s="1">
        <v>0</v>
      </c>
      <c r="K149" s="1">
        <v>0.21338879999999999</v>
      </c>
      <c r="L149" s="1">
        <v>0</v>
      </c>
      <c r="M149" s="1">
        <v>0</v>
      </c>
      <c r="N149" s="1">
        <v>11</v>
      </c>
      <c r="O149" s="1">
        <v>0</v>
      </c>
      <c r="P149" s="1">
        <v>0</v>
      </c>
      <c r="Q149" s="3">
        <v>8.4000000000000005E-2</v>
      </c>
      <c r="R149" s="1">
        <v>0</v>
      </c>
      <c r="S149" s="1">
        <v>0</v>
      </c>
    </row>
    <row r="150" spans="1:19" x14ac:dyDescent="0.2">
      <c r="A150" s="1" t="s">
        <v>544</v>
      </c>
      <c r="B150" s="1" t="s">
        <v>545</v>
      </c>
      <c r="C150" s="1">
        <v>1</v>
      </c>
      <c r="D150" s="1" t="s">
        <v>1180</v>
      </c>
      <c r="E150" s="1">
        <v>3</v>
      </c>
      <c r="F150" s="1">
        <v>0</v>
      </c>
      <c r="G150" s="1">
        <v>0</v>
      </c>
      <c r="H150" s="2">
        <v>3.3799999999999998E-4</v>
      </c>
      <c r="I150" s="1">
        <v>0</v>
      </c>
      <c r="J150" s="1">
        <v>0</v>
      </c>
      <c r="K150" s="1">
        <v>6.6596150000000007E-2</v>
      </c>
      <c r="L150" s="1">
        <v>0</v>
      </c>
      <c r="M150" s="1">
        <v>0</v>
      </c>
      <c r="N150" s="1">
        <v>9</v>
      </c>
      <c r="O150" s="1">
        <v>0</v>
      </c>
      <c r="P150" s="1">
        <v>0</v>
      </c>
      <c r="Q150" s="3">
        <v>2.8000000000000001E-2</v>
      </c>
      <c r="R150" s="1">
        <v>0</v>
      </c>
      <c r="S150" s="1">
        <v>0</v>
      </c>
    </row>
    <row r="151" spans="1:19" x14ac:dyDescent="0.2">
      <c r="A151" s="1" t="s">
        <v>546</v>
      </c>
      <c r="B151" s="1" t="s">
        <v>547</v>
      </c>
      <c r="C151" s="1">
        <v>1</v>
      </c>
      <c r="D151" s="1" t="s">
        <v>1180</v>
      </c>
      <c r="E151" s="1">
        <v>3</v>
      </c>
      <c r="F151" s="1">
        <v>0</v>
      </c>
      <c r="G151" s="1">
        <v>0</v>
      </c>
      <c r="H151" s="2">
        <v>1.6100000000000001E-4</v>
      </c>
      <c r="I151" s="1">
        <v>0</v>
      </c>
      <c r="J151" s="1">
        <v>0</v>
      </c>
      <c r="K151" s="1">
        <v>0.12979590999999999</v>
      </c>
      <c r="L151" s="1">
        <v>0</v>
      </c>
      <c r="M151" s="1">
        <v>0</v>
      </c>
      <c r="N151" s="1">
        <v>3</v>
      </c>
      <c r="O151" s="1">
        <v>0</v>
      </c>
      <c r="P151" s="1">
        <v>0</v>
      </c>
      <c r="Q151" s="3">
        <v>5.2999999999999999E-2</v>
      </c>
      <c r="R151" s="1">
        <v>0</v>
      </c>
      <c r="S151" s="1">
        <v>0</v>
      </c>
    </row>
    <row r="152" spans="1:19" x14ac:dyDescent="0.2">
      <c r="A152" s="1" t="s">
        <v>548</v>
      </c>
      <c r="B152" s="1" t="s">
        <v>549</v>
      </c>
      <c r="C152" s="1">
        <v>1</v>
      </c>
      <c r="D152" s="1" t="s">
        <v>1180</v>
      </c>
      <c r="E152" s="1">
        <v>4</v>
      </c>
      <c r="F152" s="1">
        <v>0</v>
      </c>
      <c r="G152" s="1">
        <v>0</v>
      </c>
      <c r="H152" s="2">
        <v>5.8500000000000002E-4</v>
      </c>
      <c r="I152" s="1">
        <v>0</v>
      </c>
      <c r="J152" s="1">
        <v>0</v>
      </c>
      <c r="K152" s="1">
        <v>0.68655310000000003</v>
      </c>
      <c r="L152" s="1">
        <v>0</v>
      </c>
      <c r="M152" s="1">
        <v>0</v>
      </c>
      <c r="N152" s="1">
        <v>8</v>
      </c>
      <c r="O152" s="1">
        <v>0</v>
      </c>
      <c r="P152" s="1">
        <v>0</v>
      </c>
      <c r="Q152" s="3">
        <v>0.22700000000000001</v>
      </c>
      <c r="R152" s="1">
        <v>0</v>
      </c>
      <c r="S152" s="1">
        <v>0</v>
      </c>
    </row>
    <row r="153" spans="1:19" x14ac:dyDescent="0.2">
      <c r="A153" s="1" t="s">
        <v>550</v>
      </c>
      <c r="B153" s="1" t="s">
        <v>259</v>
      </c>
      <c r="C153" s="1">
        <v>1</v>
      </c>
      <c r="D153" s="1" t="s">
        <v>1180</v>
      </c>
      <c r="E153" s="1">
        <v>15</v>
      </c>
      <c r="F153" s="1">
        <v>0</v>
      </c>
      <c r="G153" s="1">
        <v>0</v>
      </c>
      <c r="H153" s="1">
        <v>3.0158899999999998E-3</v>
      </c>
      <c r="I153" s="1">
        <v>0</v>
      </c>
      <c r="J153" s="1">
        <v>0</v>
      </c>
      <c r="K153" s="1">
        <v>0.74180685999999996</v>
      </c>
      <c r="L153" s="1">
        <v>0</v>
      </c>
      <c r="M153" s="1">
        <v>0</v>
      </c>
      <c r="N153" s="1">
        <v>36</v>
      </c>
      <c r="O153" s="1">
        <v>0</v>
      </c>
      <c r="P153" s="1">
        <v>0</v>
      </c>
      <c r="Q153" s="3">
        <v>0.24099999999999999</v>
      </c>
      <c r="R153" s="1">
        <v>0</v>
      </c>
      <c r="S153" s="1">
        <v>0</v>
      </c>
    </row>
    <row r="154" spans="1:19" x14ac:dyDescent="0.2">
      <c r="A154" s="1" t="s">
        <v>551</v>
      </c>
      <c r="B154" s="1" t="s">
        <v>552</v>
      </c>
      <c r="C154" s="1">
        <v>1</v>
      </c>
      <c r="D154" s="1" t="s">
        <v>1180</v>
      </c>
      <c r="E154" s="1">
        <v>5</v>
      </c>
      <c r="F154" s="1">
        <v>0</v>
      </c>
      <c r="G154" s="1">
        <v>0</v>
      </c>
      <c r="H154" s="2">
        <v>6.5499999999999998E-4</v>
      </c>
      <c r="I154" s="1">
        <v>0</v>
      </c>
      <c r="J154" s="1">
        <v>0</v>
      </c>
      <c r="K154" s="1">
        <v>0.65196180000000004</v>
      </c>
      <c r="L154" s="1">
        <v>0</v>
      </c>
      <c r="M154" s="1">
        <v>0</v>
      </c>
      <c r="N154" s="1">
        <v>5</v>
      </c>
      <c r="O154" s="1">
        <v>0</v>
      </c>
      <c r="P154" s="1">
        <v>0</v>
      </c>
      <c r="Q154" s="3">
        <v>0.218</v>
      </c>
      <c r="R154" s="1">
        <v>0</v>
      </c>
      <c r="S154" s="1">
        <v>0</v>
      </c>
    </row>
    <row r="155" spans="1:19" x14ac:dyDescent="0.2">
      <c r="A155" s="1" t="s">
        <v>553</v>
      </c>
      <c r="B155" s="1" t="s">
        <v>246</v>
      </c>
      <c r="C155" s="1">
        <v>1</v>
      </c>
      <c r="D155" s="1" t="s">
        <v>1180</v>
      </c>
      <c r="E155" s="1">
        <v>23</v>
      </c>
      <c r="F155" s="1">
        <v>0</v>
      </c>
      <c r="G155" s="1">
        <v>0</v>
      </c>
      <c r="H155" s="2">
        <v>7.3999999999999999E-4</v>
      </c>
      <c r="I155" s="1">
        <v>0</v>
      </c>
      <c r="J155" s="1">
        <v>0</v>
      </c>
      <c r="K155" s="1">
        <v>1.1928048</v>
      </c>
      <c r="L155" s="1">
        <v>0</v>
      </c>
      <c r="M155" s="1">
        <v>0</v>
      </c>
      <c r="N155" s="1">
        <v>32</v>
      </c>
      <c r="O155" s="1">
        <v>0</v>
      </c>
      <c r="P155" s="1">
        <v>0</v>
      </c>
      <c r="Q155" s="3">
        <v>0.34100000000000003</v>
      </c>
      <c r="R155" s="1">
        <v>0</v>
      </c>
      <c r="S155" s="1">
        <v>0</v>
      </c>
    </row>
    <row r="156" spans="1:19" x14ac:dyDescent="0.2">
      <c r="A156" s="1" t="s">
        <v>554</v>
      </c>
      <c r="B156" s="1" t="s">
        <v>555</v>
      </c>
      <c r="C156" s="1">
        <v>1</v>
      </c>
      <c r="D156" s="1" t="s">
        <v>1180</v>
      </c>
      <c r="E156" s="1">
        <v>4</v>
      </c>
      <c r="F156" s="1">
        <v>0</v>
      </c>
      <c r="G156" s="1">
        <v>0</v>
      </c>
      <c r="H156" s="1">
        <v>1.4890999999999999E-3</v>
      </c>
      <c r="I156" s="1">
        <v>0</v>
      </c>
      <c r="J156" s="1">
        <v>0</v>
      </c>
      <c r="K156" s="1">
        <v>0.99526239999999999</v>
      </c>
      <c r="L156" s="1">
        <v>0</v>
      </c>
      <c r="M156" s="1">
        <v>0</v>
      </c>
      <c r="N156" s="1">
        <v>9</v>
      </c>
      <c r="O156" s="1">
        <v>0</v>
      </c>
      <c r="P156" s="1">
        <v>0</v>
      </c>
      <c r="Q156" s="3">
        <v>0.3</v>
      </c>
      <c r="R156" s="1">
        <v>0</v>
      </c>
      <c r="S156" s="1">
        <v>0</v>
      </c>
    </row>
    <row r="157" spans="1:19" x14ac:dyDescent="0.2">
      <c r="A157" s="1" t="s">
        <v>556</v>
      </c>
      <c r="B157" s="1" t="s">
        <v>39</v>
      </c>
      <c r="C157" s="1">
        <v>1</v>
      </c>
      <c r="D157" s="1" t="s">
        <v>1180</v>
      </c>
      <c r="E157" s="1">
        <v>9</v>
      </c>
      <c r="F157" s="1">
        <v>0</v>
      </c>
      <c r="G157" s="1">
        <v>0</v>
      </c>
      <c r="H157" s="1">
        <v>1.52954E-3</v>
      </c>
      <c r="I157" s="1">
        <v>0</v>
      </c>
      <c r="J157" s="1">
        <v>0</v>
      </c>
      <c r="K157" s="1">
        <v>0.73780084000000001</v>
      </c>
      <c r="L157" s="1">
        <v>0</v>
      </c>
      <c r="M157" s="1">
        <v>0</v>
      </c>
      <c r="N157" s="1">
        <v>26</v>
      </c>
      <c r="O157" s="1">
        <v>0</v>
      </c>
      <c r="P157" s="1">
        <v>0</v>
      </c>
      <c r="Q157" s="3">
        <v>0.24</v>
      </c>
      <c r="R157" s="1">
        <v>0</v>
      </c>
      <c r="S157" s="1">
        <v>0</v>
      </c>
    </row>
    <row r="158" spans="1:19" x14ac:dyDescent="0.2">
      <c r="A158" s="1" t="s">
        <v>557</v>
      </c>
      <c r="B158" s="1" t="s">
        <v>558</v>
      </c>
      <c r="C158" s="1">
        <v>1</v>
      </c>
      <c r="D158" s="1" t="s">
        <v>1180</v>
      </c>
      <c r="E158" s="1">
        <v>2</v>
      </c>
      <c r="F158" s="1">
        <v>0</v>
      </c>
      <c r="G158" s="1">
        <v>0</v>
      </c>
      <c r="H158" s="2">
        <v>7.8100000000000001E-5</v>
      </c>
      <c r="I158" s="1">
        <v>0</v>
      </c>
      <c r="J158" s="1">
        <v>0</v>
      </c>
      <c r="K158" s="1">
        <v>0.12201846</v>
      </c>
      <c r="L158" s="1">
        <v>0</v>
      </c>
      <c r="M158" s="1">
        <v>0</v>
      </c>
      <c r="N158" s="1">
        <v>2</v>
      </c>
      <c r="O158" s="1">
        <v>0</v>
      </c>
      <c r="P158" s="1">
        <v>0</v>
      </c>
      <c r="Q158" s="3">
        <v>0.05</v>
      </c>
      <c r="R158" s="1">
        <v>0</v>
      </c>
      <c r="S158" s="1">
        <v>0</v>
      </c>
    </row>
    <row r="159" spans="1:19" x14ac:dyDescent="0.2">
      <c r="A159" s="1" t="s">
        <v>559</v>
      </c>
      <c r="B159" s="1" t="s">
        <v>560</v>
      </c>
      <c r="C159" s="1">
        <v>1</v>
      </c>
      <c r="D159" s="1" t="s">
        <v>1180</v>
      </c>
      <c r="E159" s="1">
        <v>6</v>
      </c>
      <c r="F159" s="1">
        <v>0</v>
      </c>
      <c r="G159" s="1">
        <v>0</v>
      </c>
      <c r="H159" s="1">
        <v>2.4170900000000002E-3</v>
      </c>
      <c r="I159" s="1">
        <v>0</v>
      </c>
      <c r="J159" s="1">
        <v>0</v>
      </c>
      <c r="K159" s="1">
        <v>1.1379621</v>
      </c>
      <c r="L159" s="1">
        <v>0</v>
      </c>
      <c r="M159" s="1">
        <v>0</v>
      </c>
      <c r="N159" s="1">
        <v>21</v>
      </c>
      <c r="O159" s="1">
        <v>0</v>
      </c>
      <c r="P159" s="1">
        <v>0</v>
      </c>
      <c r="Q159" s="3">
        <v>0.33</v>
      </c>
      <c r="R159" s="1">
        <v>0</v>
      </c>
      <c r="S159" s="1">
        <v>0</v>
      </c>
    </row>
    <row r="160" spans="1:19" x14ac:dyDescent="0.2">
      <c r="A160" s="1" t="s">
        <v>561</v>
      </c>
      <c r="B160" s="1" t="s">
        <v>562</v>
      </c>
      <c r="C160" s="1">
        <v>1</v>
      </c>
      <c r="D160" s="1" t="s">
        <v>1180</v>
      </c>
      <c r="E160" s="1">
        <v>15</v>
      </c>
      <c r="F160" s="1">
        <v>0</v>
      </c>
      <c r="G160" s="1">
        <v>0</v>
      </c>
      <c r="H160" s="2">
        <v>6.7500000000000004E-4</v>
      </c>
      <c r="I160" s="1">
        <v>0</v>
      </c>
      <c r="J160" s="1">
        <v>0</v>
      </c>
      <c r="K160" s="1">
        <v>0.48593570000000003</v>
      </c>
      <c r="L160" s="1">
        <v>0</v>
      </c>
      <c r="M160" s="1">
        <v>0</v>
      </c>
      <c r="N160" s="1">
        <v>21</v>
      </c>
      <c r="O160" s="1">
        <v>0</v>
      </c>
      <c r="P160" s="1">
        <v>0</v>
      </c>
      <c r="Q160" s="3">
        <v>0.17199999999999999</v>
      </c>
      <c r="R160" s="1">
        <v>0</v>
      </c>
      <c r="S160" s="1">
        <v>0</v>
      </c>
    </row>
    <row r="161" spans="1:19" x14ac:dyDescent="0.2">
      <c r="A161" s="1" t="s">
        <v>563</v>
      </c>
      <c r="B161" s="1" t="s">
        <v>564</v>
      </c>
      <c r="C161" s="1">
        <v>1</v>
      </c>
      <c r="D161" s="1" t="s">
        <v>1180</v>
      </c>
      <c r="E161" s="1">
        <v>2</v>
      </c>
      <c r="F161" s="1">
        <v>0</v>
      </c>
      <c r="G161" s="1">
        <v>0</v>
      </c>
      <c r="H161" s="2">
        <v>3.0400000000000002E-4</v>
      </c>
      <c r="I161" s="1">
        <v>0</v>
      </c>
      <c r="J161" s="1">
        <v>0</v>
      </c>
      <c r="K161" s="1">
        <v>0.40928875999999997</v>
      </c>
      <c r="L161" s="1">
        <v>0</v>
      </c>
      <c r="M161" s="1">
        <v>0</v>
      </c>
      <c r="N161" s="1">
        <v>2</v>
      </c>
      <c r="O161" s="1">
        <v>0</v>
      </c>
      <c r="P161" s="1">
        <v>0</v>
      </c>
      <c r="Q161" s="3">
        <v>0.14899999999999999</v>
      </c>
      <c r="R161" s="1">
        <v>0</v>
      </c>
      <c r="S161" s="1">
        <v>0</v>
      </c>
    </row>
    <row r="162" spans="1:19" x14ac:dyDescent="0.2">
      <c r="A162" s="1" t="s">
        <v>565</v>
      </c>
      <c r="B162" s="1" t="s">
        <v>566</v>
      </c>
      <c r="C162" s="1">
        <v>1</v>
      </c>
      <c r="D162" s="1" t="s">
        <v>1180</v>
      </c>
      <c r="E162" s="1">
        <v>3</v>
      </c>
      <c r="F162" s="1">
        <v>0</v>
      </c>
      <c r="G162" s="1">
        <v>0</v>
      </c>
      <c r="H162" s="2">
        <v>2.41E-4</v>
      </c>
      <c r="I162" s="1">
        <v>0</v>
      </c>
      <c r="J162" s="1">
        <v>0</v>
      </c>
      <c r="K162" s="1">
        <v>0.23310483000000001</v>
      </c>
      <c r="L162" s="1">
        <v>0</v>
      </c>
      <c r="M162" s="1">
        <v>0</v>
      </c>
      <c r="N162" s="1">
        <v>3</v>
      </c>
      <c r="O162" s="1">
        <v>0</v>
      </c>
      <c r="P162" s="1">
        <v>0</v>
      </c>
      <c r="Q162" s="3">
        <v>9.0999999999999998E-2</v>
      </c>
      <c r="R162" s="1">
        <v>0</v>
      </c>
      <c r="S162" s="1">
        <v>0</v>
      </c>
    </row>
    <row r="163" spans="1:19" x14ac:dyDescent="0.2">
      <c r="A163" s="1" t="s">
        <v>567</v>
      </c>
      <c r="B163" s="1" t="s">
        <v>568</v>
      </c>
      <c r="C163" s="1">
        <v>1</v>
      </c>
      <c r="D163" s="1" t="s">
        <v>1180</v>
      </c>
      <c r="E163" s="1">
        <v>15</v>
      </c>
      <c r="F163" s="1">
        <v>0</v>
      </c>
      <c r="G163" s="1">
        <v>0</v>
      </c>
      <c r="H163" s="1">
        <v>6.2435900000000003E-3</v>
      </c>
      <c r="I163" s="1">
        <v>0</v>
      </c>
      <c r="J163" s="1">
        <v>0</v>
      </c>
      <c r="K163" s="1">
        <v>1.4378108999999999</v>
      </c>
      <c r="L163" s="1">
        <v>0</v>
      </c>
      <c r="M163" s="1">
        <v>0</v>
      </c>
      <c r="N163" s="1">
        <v>50</v>
      </c>
      <c r="O163" s="1">
        <v>0</v>
      </c>
      <c r="P163" s="1">
        <v>0</v>
      </c>
      <c r="Q163" s="3">
        <v>0.38700000000000001</v>
      </c>
      <c r="R163" s="1">
        <v>0</v>
      </c>
      <c r="S163" s="1">
        <v>0</v>
      </c>
    </row>
    <row r="164" spans="1:19" x14ac:dyDescent="0.2">
      <c r="A164" s="1" t="s">
        <v>569</v>
      </c>
      <c r="B164" s="1" t="s">
        <v>570</v>
      </c>
      <c r="C164" s="1">
        <v>1</v>
      </c>
      <c r="D164" s="1" t="s">
        <v>1180</v>
      </c>
      <c r="E164" s="1">
        <v>4</v>
      </c>
      <c r="F164" s="1">
        <v>0</v>
      </c>
      <c r="G164" s="1">
        <v>0</v>
      </c>
      <c r="H164" s="2">
        <v>9.2700000000000004E-5</v>
      </c>
      <c r="I164" s="1">
        <v>0</v>
      </c>
      <c r="J164" s="1">
        <v>0</v>
      </c>
      <c r="K164" s="1">
        <v>6.6596150000000007E-2</v>
      </c>
      <c r="L164" s="1">
        <v>0</v>
      </c>
      <c r="M164" s="1">
        <v>0</v>
      </c>
      <c r="N164" s="1">
        <v>5</v>
      </c>
      <c r="O164" s="1">
        <v>0</v>
      </c>
      <c r="P164" s="1">
        <v>0</v>
      </c>
      <c r="Q164" s="3">
        <v>2.8000000000000001E-2</v>
      </c>
      <c r="R164" s="1">
        <v>0</v>
      </c>
      <c r="S164" s="1">
        <v>0</v>
      </c>
    </row>
    <row r="165" spans="1:19" x14ac:dyDescent="0.2">
      <c r="A165" s="1" t="s">
        <v>571</v>
      </c>
      <c r="B165" s="1" t="s">
        <v>572</v>
      </c>
      <c r="C165" s="1">
        <v>1</v>
      </c>
      <c r="D165" s="1" t="s">
        <v>1180</v>
      </c>
      <c r="E165" s="1">
        <v>5</v>
      </c>
      <c r="F165" s="1">
        <v>0</v>
      </c>
      <c r="G165" s="1">
        <v>0</v>
      </c>
      <c r="H165" s="2">
        <v>6.5199999999999999E-5</v>
      </c>
      <c r="I165" s="1">
        <v>0</v>
      </c>
      <c r="J165" s="1">
        <v>0</v>
      </c>
      <c r="K165" s="1">
        <v>8.1434010000000001E-2</v>
      </c>
      <c r="L165" s="1">
        <v>0</v>
      </c>
      <c r="M165" s="1">
        <v>0</v>
      </c>
      <c r="N165" s="1">
        <v>7</v>
      </c>
      <c r="O165" s="1">
        <v>0</v>
      </c>
      <c r="P165" s="1">
        <v>0</v>
      </c>
      <c r="Q165" s="3">
        <v>3.4000000000000002E-2</v>
      </c>
      <c r="R165" s="1">
        <v>0</v>
      </c>
      <c r="S165" s="1">
        <v>0</v>
      </c>
    </row>
    <row r="166" spans="1:19" x14ac:dyDescent="0.2">
      <c r="A166" s="1" t="s">
        <v>573</v>
      </c>
      <c r="B166" s="1" t="s">
        <v>574</v>
      </c>
      <c r="C166" s="1">
        <v>1</v>
      </c>
      <c r="D166" s="1" t="s">
        <v>1180</v>
      </c>
      <c r="E166" s="1">
        <v>41</v>
      </c>
      <c r="F166" s="1">
        <v>0</v>
      </c>
      <c r="G166" s="1">
        <v>0</v>
      </c>
      <c r="H166" s="2">
        <v>1.2999999999999999E-4</v>
      </c>
      <c r="I166" s="1">
        <v>0</v>
      </c>
      <c r="J166" s="1">
        <v>0</v>
      </c>
      <c r="K166" s="1">
        <v>0.21338879999999999</v>
      </c>
      <c r="L166" s="1">
        <v>0</v>
      </c>
      <c r="M166" s="1">
        <v>0</v>
      </c>
      <c r="N166" s="1">
        <v>45</v>
      </c>
      <c r="O166" s="1">
        <v>0</v>
      </c>
      <c r="P166" s="1">
        <v>0</v>
      </c>
      <c r="Q166" s="3">
        <v>8.4000000000000005E-2</v>
      </c>
      <c r="R166" s="1">
        <v>0</v>
      </c>
      <c r="S166" s="1">
        <v>0</v>
      </c>
    </row>
    <row r="167" spans="1:19" x14ac:dyDescent="0.2">
      <c r="A167" s="1" t="s">
        <v>575</v>
      </c>
      <c r="B167" s="1" t="s">
        <v>39</v>
      </c>
      <c r="C167" s="1">
        <v>1</v>
      </c>
      <c r="D167" s="1" t="s">
        <v>1180</v>
      </c>
      <c r="E167" s="1">
        <v>3</v>
      </c>
      <c r="F167" s="1">
        <v>0</v>
      </c>
      <c r="G167" s="1">
        <v>0</v>
      </c>
      <c r="H167" s="2">
        <v>6.02E-4</v>
      </c>
      <c r="I167" s="1">
        <v>0</v>
      </c>
      <c r="J167" s="1">
        <v>0</v>
      </c>
      <c r="K167" s="1">
        <v>0.36772883000000001</v>
      </c>
      <c r="L167" s="1">
        <v>0</v>
      </c>
      <c r="M167" s="1">
        <v>0</v>
      </c>
      <c r="N167" s="1">
        <v>6</v>
      </c>
      <c r="O167" s="1">
        <v>0</v>
      </c>
      <c r="P167" s="1">
        <v>0</v>
      </c>
      <c r="Q167" s="3">
        <v>0.13600000000000001</v>
      </c>
      <c r="R167" s="1">
        <v>0</v>
      </c>
      <c r="S167" s="1">
        <v>0</v>
      </c>
    </row>
    <row r="168" spans="1:19" x14ac:dyDescent="0.2">
      <c r="A168" s="1" t="s">
        <v>576</v>
      </c>
      <c r="B168" s="1" t="s">
        <v>39</v>
      </c>
      <c r="C168" s="1">
        <v>1</v>
      </c>
      <c r="D168" s="1" t="s">
        <v>1180</v>
      </c>
      <c r="E168" s="1">
        <v>4</v>
      </c>
      <c r="F168" s="1">
        <v>0</v>
      </c>
      <c r="G168" s="1">
        <v>0</v>
      </c>
      <c r="H168" s="2">
        <v>3.6999999999999999E-4</v>
      </c>
      <c r="I168" s="1">
        <v>0</v>
      </c>
      <c r="J168" s="1">
        <v>0</v>
      </c>
      <c r="K168" s="1">
        <v>0.26182759999999999</v>
      </c>
      <c r="L168" s="1">
        <v>0</v>
      </c>
      <c r="M168" s="1">
        <v>0</v>
      </c>
      <c r="N168" s="1">
        <v>5</v>
      </c>
      <c r="O168" s="1">
        <v>0</v>
      </c>
      <c r="P168" s="1">
        <v>0</v>
      </c>
      <c r="Q168" s="3">
        <v>0.10100000000000001</v>
      </c>
      <c r="R168" s="1">
        <v>0</v>
      </c>
      <c r="S168" s="1">
        <v>0</v>
      </c>
    </row>
    <row r="169" spans="1:19" x14ac:dyDescent="0.2">
      <c r="A169" s="1" t="s">
        <v>577</v>
      </c>
      <c r="B169" s="1" t="s">
        <v>28</v>
      </c>
      <c r="C169" s="1">
        <v>1</v>
      </c>
      <c r="D169" s="1" t="s">
        <v>1180</v>
      </c>
      <c r="E169" s="1">
        <v>70</v>
      </c>
      <c r="F169" s="1">
        <v>0</v>
      </c>
      <c r="G169" s="1">
        <v>0</v>
      </c>
      <c r="H169" s="1">
        <v>3.0907399999999998E-3</v>
      </c>
      <c r="I169" s="1">
        <v>0</v>
      </c>
      <c r="J169" s="1">
        <v>0</v>
      </c>
      <c r="K169" s="1">
        <v>1.3823194999999999</v>
      </c>
      <c r="L169" s="1">
        <v>0</v>
      </c>
      <c r="M169" s="1">
        <v>0</v>
      </c>
      <c r="N169" s="1">
        <v>184</v>
      </c>
      <c r="O169" s="1">
        <v>0</v>
      </c>
      <c r="P169" s="1">
        <v>0</v>
      </c>
      <c r="Q169" s="3">
        <v>0.377</v>
      </c>
      <c r="R169" s="1">
        <v>0</v>
      </c>
      <c r="S169" s="1">
        <v>0</v>
      </c>
    </row>
    <row r="170" spans="1:19" x14ac:dyDescent="0.2">
      <c r="A170" s="1" t="s">
        <v>578</v>
      </c>
      <c r="B170" s="1" t="s">
        <v>579</v>
      </c>
      <c r="C170" s="1">
        <v>1</v>
      </c>
      <c r="D170" s="1" t="s">
        <v>1180</v>
      </c>
      <c r="E170" s="1">
        <v>23</v>
      </c>
      <c r="F170" s="1">
        <v>0</v>
      </c>
      <c r="G170" s="1">
        <v>0</v>
      </c>
      <c r="H170" s="1">
        <v>1.9662799999999999E-3</v>
      </c>
      <c r="I170" s="1">
        <v>0</v>
      </c>
      <c r="J170" s="1">
        <v>0</v>
      </c>
      <c r="K170" s="1">
        <v>1.0653801000000001</v>
      </c>
      <c r="L170" s="1">
        <v>0</v>
      </c>
      <c r="M170" s="1">
        <v>0</v>
      </c>
      <c r="N170" s="1">
        <v>41</v>
      </c>
      <c r="O170" s="1">
        <v>0</v>
      </c>
      <c r="P170" s="1">
        <v>0</v>
      </c>
      <c r="Q170" s="3">
        <v>0.315</v>
      </c>
      <c r="R170" s="1">
        <v>0</v>
      </c>
      <c r="S170" s="1">
        <v>0</v>
      </c>
    </row>
    <row r="171" spans="1:19" x14ac:dyDescent="0.2">
      <c r="A171" s="1" t="s">
        <v>580</v>
      </c>
      <c r="B171" s="1" t="s">
        <v>581</v>
      </c>
      <c r="C171" s="1">
        <v>1</v>
      </c>
      <c r="D171" s="1" t="s">
        <v>1180</v>
      </c>
      <c r="E171" s="1">
        <v>68</v>
      </c>
      <c r="F171" s="1">
        <v>0</v>
      </c>
      <c r="G171" s="1">
        <v>0</v>
      </c>
      <c r="H171" s="1">
        <v>4.4810800000000001E-3</v>
      </c>
      <c r="I171" s="1">
        <v>0</v>
      </c>
      <c r="J171" s="1">
        <v>0</v>
      </c>
      <c r="K171" s="1">
        <v>1.741574</v>
      </c>
      <c r="L171" s="1">
        <v>0</v>
      </c>
      <c r="M171" s="1">
        <v>0</v>
      </c>
      <c r="N171" s="1">
        <v>195</v>
      </c>
      <c r="O171" s="1">
        <v>0</v>
      </c>
      <c r="P171" s="1">
        <v>0</v>
      </c>
      <c r="Q171" s="3">
        <v>0.438</v>
      </c>
      <c r="R171" s="1">
        <v>0</v>
      </c>
      <c r="S171" s="1">
        <v>0</v>
      </c>
    </row>
    <row r="172" spans="1:19" x14ac:dyDescent="0.2">
      <c r="A172" s="1" t="s">
        <v>582</v>
      </c>
      <c r="B172" s="1" t="s">
        <v>583</v>
      </c>
      <c r="C172" s="1">
        <v>1</v>
      </c>
      <c r="D172" s="1" t="s">
        <v>1180</v>
      </c>
      <c r="E172" s="1">
        <v>3</v>
      </c>
      <c r="F172" s="1">
        <v>0</v>
      </c>
      <c r="G172" s="1">
        <v>0</v>
      </c>
      <c r="H172" s="2">
        <v>2.4800000000000001E-4</v>
      </c>
      <c r="I172" s="1">
        <v>0</v>
      </c>
      <c r="J172" s="1">
        <v>0</v>
      </c>
      <c r="K172" s="1">
        <v>0.94088579999999999</v>
      </c>
      <c r="L172" s="1">
        <v>0</v>
      </c>
      <c r="M172" s="1">
        <v>0</v>
      </c>
      <c r="N172" s="1">
        <v>3</v>
      </c>
      <c r="O172" s="1">
        <v>0</v>
      </c>
      <c r="P172" s="1">
        <v>0</v>
      </c>
      <c r="Q172" s="3">
        <v>0.28799999999999998</v>
      </c>
      <c r="R172" s="1">
        <v>0</v>
      </c>
      <c r="S172" s="1">
        <v>0</v>
      </c>
    </row>
    <row r="173" spans="1:19" x14ac:dyDescent="0.2">
      <c r="A173" s="1" t="s">
        <v>584</v>
      </c>
      <c r="B173" s="1" t="s">
        <v>585</v>
      </c>
      <c r="C173" s="1">
        <v>1</v>
      </c>
      <c r="D173" s="1" t="s">
        <v>1180</v>
      </c>
      <c r="E173" s="1">
        <v>24</v>
      </c>
      <c r="F173" s="1">
        <v>0</v>
      </c>
      <c r="G173" s="1">
        <v>0</v>
      </c>
      <c r="H173" s="2">
        <v>6.9700000000000003E-4</v>
      </c>
      <c r="I173" s="1">
        <v>0</v>
      </c>
      <c r="J173" s="1">
        <v>0</v>
      </c>
      <c r="K173" s="1">
        <v>0.55238699999999996</v>
      </c>
      <c r="L173" s="1">
        <v>0</v>
      </c>
      <c r="M173" s="1">
        <v>0</v>
      </c>
      <c r="N173" s="1">
        <v>37</v>
      </c>
      <c r="O173" s="1">
        <v>0</v>
      </c>
      <c r="P173" s="1">
        <v>0</v>
      </c>
      <c r="Q173" s="3">
        <v>0.191</v>
      </c>
      <c r="R173" s="1">
        <v>0</v>
      </c>
      <c r="S173" s="1">
        <v>0</v>
      </c>
    </row>
    <row r="174" spans="1:19" x14ac:dyDescent="0.2">
      <c r="A174" s="1" t="s">
        <v>586</v>
      </c>
      <c r="B174" s="1" t="s">
        <v>25</v>
      </c>
      <c r="C174" s="1">
        <v>1</v>
      </c>
      <c r="D174" s="1" t="s">
        <v>1180</v>
      </c>
      <c r="E174" s="1">
        <v>4</v>
      </c>
      <c r="F174" s="1">
        <v>0</v>
      </c>
      <c r="G174" s="1">
        <v>0</v>
      </c>
      <c r="H174" s="2">
        <v>3.5E-4</v>
      </c>
      <c r="I174" s="1">
        <v>0</v>
      </c>
      <c r="J174" s="1">
        <v>0</v>
      </c>
      <c r="K174" s="1">
        <v>0.39636838000000002</v>
      </c>
      <c r="L174" s="1">
        <v>0</v>
      </c>
      <c r="M174" s="1">
        <v>0</v>
      </c>
      <c r="N174" s="1">
        <v>6</v>
      </c>
      <c r="O174" s="1">
        <v>0</v>
      </c>
      <c r="P174" s="1">
        <v>0</v>
      </c>
      <c r="Q174" s="3">
        <v>0.14499999999999999</v>
      </c>
      <c r="R174" s="1">
        <v>0</v>
      </c>
      <c r="S174" s="1">
        <v>0</v>
      </c>
    </row>
    <row r="175" spans="1:19" x14ac:dyDescent="0.2">
      <c r="A175" s="1" t="s">
        <v>587</v>
      </c>
      <c r="B175" s="1" t="s">
        <v>588</v>
      </c>
      <c r="C175" s="1">
        <v>1</v>
      </c>
      <c r="D175" s="1" t="s">
        <v>1180</v>
      </c>
      <c r="E175" s="1">
        <v>2</v>
      </c>
      <c r="F175" s="1">
        <v>0</v>
      </c>
      <c r="G175" s="1">
        <v>0</v>
      </c>
      <c r="H175" s="2">
        <v>1.9599999999999999E-4</v>
      </c>
      <c r="I175" s="1">
        <v>0</v>
      </c>
      <c r="J175" s="1">
        <v>0</v>
      </c>
      <c r="K175" s="1">
        <v>0.40604758000000002</v>
      </c>
      <c r="L175" s="1">
        <v>0</v>
      </c>
      <c r="M175" s="1">
        <v>0</v>
      </c>
      <c r="N175" s="1">
        <v>2</v>
      </c>
      <c r="O175" s="1">
        <v>0</v>
      </c>
      <c r="P175" s="1">
        <v>0</v>
      </c>
      <c r="Q175" s="3">
        <v>0.14799999999999999</v>
      </c>
      <c r="R175" s="1">
        <v>0</v>
      </c>
      <c r="S175" s="1">
        <v>0</v>
      </c>
    </row>
    <row r="176" spans="1:19" x14ac:dyDescent="0.2">
      <c r="A176" s="1" t="s">
        <v>589</v>
      </c>
      <c r="B176" s="1" t="s">
        <v>590</v>
      </c>
      <c r="C176" s="1">
        <v>1</v>
      </c>
      <c r="D176" s="1" t="s">
        <v>1180</v>
      </c>
      <c r="E176" s="1">
        <v>18</v>
      </c>
      <c r="F176" s="1">
        <v>0</v>
      </c>
      <c r="G176" s="1">
        <v>0</v>
      </c>
      <c r="H176" s="1">
        <v>3.15519E-3</v>
      </c>
      <c r="I176" s="1">
        <v>0</v>
      </c>
      <c r="J176" s="1">
        <v>0</v>
      </c>
      <c r="K176" s="1">
        <v>1.5527012</v>
      </c>
      <c r="L176" s="1">
        <v>0</v>
      </c>
      <c r="M176" s="1">
        <v>0</v>
      </c>
      <c r="N176" s="1">
        <v>41</v>
      </c>
      <c r="O176" s="1">
        <v>0</v>
      </c>
      <c r="P176" s="1">
        <v>0</v>
      </c>
      <c r="Q176" s="3">
        <v>0.40699999999999997</v>
      </c>
      <c r="R176" s="1">
        <v>0</v>
      </c>
      <c r="S176" s="1">
        <v>0</v>
      </c>
    </row>
    <row r="177" spans="1:19" x14ac:dyDescent="0.2">
      <c r="A177" s="1" t="s">
        <v>591</v>
      </c>
      <c r="B177" s="1" t="s">
        <v>592</v>
      </c>
      <c r="C177" s="1">
        <v>1</v>
      </c>
      <c r="D177" s="1" t="s">
        <v>1180</v>
      </c>
      <c r="E177" s="1">
        <v>5</v>
      </c>
      <c r="F177" s="1">
        <v>0</v>
      </c>
      <c r="G177" s="1">
        <v>0</v>
      </c>
      <c r="H177" s="2">
        <v>1.7000000000000001E-4</v>
      </c>
      <c r="I177" s="1">
        <v>0</v>
      </c>
      <c r="J177" s="1">
        <v>0</v>
      </c>
      <c r="K177" s="1">
        <v>0.17219532000000001</v>
      </c>
      <c r="L177" s="1">
        <v>0</v>
      </c>
      <c r="M177" s="1">
        <v>0</v>
      </c>
      <c r="N177" s="1">
        <v>6</v>
      </c>
      <c r="O177" s="1">
        <v>0</v>
      </c>
      <c r="P177" s="1">
        <v>0</v>
      </c>
      <c r="Q177" s="3">
        <v>6.9000000000000006E-2</v>
      </c>
      <c r="R177" s="1">
        <v>0</v>
      </c>
      <c r="S177" s="1">
        <v>0</v>
      </c>
    </row>
    <row r="178" spans="1:19" x14ac:dyDescent="0.2">
      <c r="A178" s="1" t="s">
        <v>593</v>
      </c>
      <c r="B178" s="1" t="s">
        <v>594</v>
      </c>
      <c r="C178" s="1">
        <v>1</v>
      </c>
      <c r="D178" s="1" t="s">
        <v>1180</v>
      </c>
      <c r="E178" s="1">
        <v>3</v>
      </c>
      <c r="F178" s="1">
        <v>0</v>
      </c>
      <c r="G178" s="1">
        <v>0</v>
      </c>
      <c r="H178" s="2">
        <v>1.63E-4</v>
      </c>
      <c r="I178" s="1">
        <v>0</v>
      </c>
      <c r="J178" s="1">
        <v>0</v>
      </c>
      <c r="K178" s="1">
        <v>0.14024972999999999</v>
      </c>
      <c r="L178" s="1">
        <v>0</v>
      </c>
      <c r="M178" s="1">
        <v>0</v>
      </c>
      <c r="N178" s="1">
        <v>3</v>
      </c>
      <c r="O178" s="1">
        <v>0</v>
      </c>
      <c r="P178" s="1">
        <v>0</v>
      </c>
      <c r="Q178" s="3">
        <v>5.7000000000000002E-2</v>
      </c>
      <c r="R178" s="1">
        <v>0</v>
      </c>
      <c r="S178" s="1">
        <v>0</v>
      </c>
    </row>
    <row r="179" spans="1:19" x14ac:dyDescent="0.2">
      <c r="A179" s="1" t="s">
        <v>595</v>
      </c>
      <c r="B179" s="1" t="s">
        <v>596</v>
      </c>
      <c r="C179" s="1">
        <v>1</v>
      </c>
      <c r="D179" s="1" t="s">
        <v>1180</v>
      </c>
      <c r="E179" s="1">
        <v>7</v>
      </c>
      <c r="F179" s="1">
        <v>0</v>
      </c>
      <c r="G179" s="1">
        <v>0</v>
      </c>
      <c r="H179" s="1">
        <v>5.5592999999999997E-3</v>
      </c>
      <c r="I179" s="1">
        <v>0</v>
      </c>
      <c r="J179" s="1">
        <v>0</v>
      </c>
      <c r="K179" s="1">
        <v>0.90546070000000001</v>
      </c>
      <c r="L179" s="1">
        <v>0</v>
      </c>
      <c r="M179" s="1">
        <v>0</v>
      </c>
      <c r="N179" s="1">
        <v>21</v>
      </c>
      <c r="O179" s="1">
        <v>0</v>
      </c>
      <c r="P179" s="1">
        <v>0</v>
      </c>
      <c r="Q179" s="3">
        <v>0.28000000000000003</v>
      </c>
      <c r="R179" s="1">
        <v>0</v>
      </c>
      <c r="S179" s="1">
        <v>0</v>
      </c>
    </row>
    <row r="180" spans="1:19" x14ac:dyDescent="0.2">
      <c r="A180" s="1" t="s">
        <v>597</v>
      </c>
      <c r="B180" s="1" t="s">
        <v>598</v>
      </c>
      <c r="C180" s="1">
        <v>1</v>
      </c>
      <c r="D180" s="1" t="s">
        <v>1180</v>
      </c>
      <c r="E180" s="1">
        <v>16</v>
      </c>
      <c r="F180" s="1">
        <v>0</v>
      </c>
      <c r="G180" s="1">
        <v>0</v>
      </c>
      <c r="H180" s="2">
        <v>9.1399999999999999E-4</v>
      </c>
      <c r="I180" s="1">
        <v>0</v>
      </c>
      <c r="J180" s="1">
        <v>0</v>
      </c>
      <c r="K180" s="1">
        <v>0.59955800000000004</v>
      </c>
      <c r="L180" s="1">
        <v>0</v>
      </c>
      <c r="M180" s="1">
        <v>0</v>
      </c>
      <c r="N180" s="1">
        <v>25</v>
      </c>
      <c r="O180" s="1">
        <v>0</v>
      </c>
      <c r="P180" s="1">
        <v>0</v>
      </c>
      <c r="Q180" s="3">
        <v>0.20399999999999999</v>
      </c>
      <c r="R180" s="1">
        <v>0</v>
      </c>
      <c r="S180" s="1">
        <v>0</v>
      </c>
    </row>
    <row r="181" spans="1:19" x14ac:dyDescent="0.2">
      <c r="A181" s="1" t="s">
        <v>599</v>
      </c>
      <c r="B181" s="1" t="s">
        <v>600</v>
      </c>
      <c r="C181" s="1">
        <v>1</v>
      </c>
      <c r="D181" s="1" t="s">
        <v>1180</v>
      </c>
      <c r="E181" s="1">
        <v>4</v>
      </c>
      <c r="F181" s="1">
        <v>0</v>
      </c>
      <c r="G181" s="1">
        <v>0</v>
      </c>
      <c r="H181" s="2">
        <v>1.3899999999999999E-4</v>
      </c>
      <c r="I181" s="1">
        <v>0</v>
      </c>
      <c r="J181" s="1">
        <v>0</v>
      </c>
      <c r="K181" s="1">
        <v>0.19124198000000001</v>
      </c>
      <c r="L181" s="1">
        <v>0</v>
      </c>
      <c r="M181" s="1">
        <v>0</v>
      </c>
      <c r="N181" s="1">
        <v>4</v>
      </c>
      <c r="O181" s="1">
        <v>0</v>
      </c>
      <c r="P181" s="1">
        <v>0</v>
      </c>
      <c r="Q181" s="3">
        <v>7.5999999999999998E-2</v>
      </c>
      <c r="R181" s="1">
        <v>0</v>
      </c>
      <c r="S181" s="1">
        <v>0</v>
      </c>
    </row>
    <row r="182" spans="1:19" x14ac:dyDescent="0.2">
      <c r="A182" s="1" t="s">
        <v>601</v>
      </c>
      <c r="B182" s="1" t="s">
        <v>526</v>
      </c>
      <c r="C182" s="1">
        <v>1</v>
      </c>
      <c r="D182" s="1" t="s">
        <v>1180</v>
      </c>
      <c r="E182" s="1">
        <v>3</v>
      </c>
      <c r="F182" s="1">
        <v>0</v>
      </c>
      <c r="G182" s="1">
        <v>0</v>
      </c>
      <c r="H182" s="2">
        <v>1.4300000000000001E-4</v>
      </c>
      <c r="I182" s="1">
        <v>0</v>
      </c>
      <c r="J182" s="1">
        <v>0</v>
      </c>
      <c r="K182" s="1">
        <v>0.10407864999999999</v>
      </c>
      <c r="L182" s="1">
        <v>0</v>
      </c>
      <c r="M182" s="1">
        <v>0</v>
      </c>
      <c r="N182" s="1">
        <v>3</v>
      </c>
      <c r="O182" s="1">
        <v>0</v>
      </c>
      <c r="P182" s="1">
        <v>0</v>
      </c>
      <c r="Q182" s="3">
        <v>4.2999999999999997E-2</v>
      </c>
      <c r="R182" s="1">
        <v>0</v>
      </c>
      <c r="S182" s="1">
        <v>0</v>
      </c>
    </row>
    <row r="183" spans="1:19" x14ac:dyDescent="0.2">
      <c r="A183" s="1" t="s">
        <v>602</v>
      </c>
      <c r="B183" s="1" t="s">
        <v>603</v>
      </c>
      <c r="C183" s="1">
        <v>1</v>
      </c>
      <c r="D183" s="1" t="s">
        <v>1180</v>
      </c>
      <c r="E183" s="1">
        <v>4</v>
      </c>
      <c r="F183" s="1">
        <v>0</v>
      </c>
      <c r="G183" s="1">
        <v>0</v>
      </c>
      <c r="H183" s="2">
        <v>1.12E-4</v>
      </c>
      <c r="I183" s="1">
        <v>0</v>
      </c>
      <c r="J183" s="1">
        <v>0</v>
      </c>
      <c r="K183" s="1">
        <v>0.15611220000000001</v>
      </c>
      <c r="L183" s="1">
        <v>0</v>
      </c>
      <c r="M183" s="1">
        <v>0</v>
      </c>
      <c r="N183" s="1">
        <v>4</v>
      </c>
      <c r="O183" s="1">
        <v>0</v>
      </c>
      <c r="P183" s="1">
        <v>0</v>
      </c>
      <c r="Q183" s="3">
        <v>6.3E-2</v>
      </c>
      <c r="R183" s="1">
        <v>0</v>
      </c>
      <c r="S183" s="1">
        <v>0</v>
      </c>
    </row>
    <row r="184" spans="1:19" x14ac:dyDescent="0.2">
      <c r="A184" s="1" t="s">
        <v>604</v>
      </c>
      <c r="B184" s="1" t="s">
        <v>605</v>
      </c>
      <c r="C184" s="1">
        <v>1</v>
      </c>
      <c r="D184" s="1" t="s">
        <v>1180</v>
      </c>
      <c r="E184" s="1">
        <v>21</v>
      </c>
      <c r="F184" s="1">
        <v>0</v>
      </c>
      <c r="G184" s="1">
        <v>0</v>
      </c>
      <c r="H184" s="1">
        <v>3.0885000000000001E-3</v>
      </c>
      <c r="I184" s="1">
        <v>0</v>
      </c>
      <c r="J184" s="1">
        <v>0</v>
      </c>
      <c r="K184" s="1">
        <v>1.4154608</v>
      </c>
      <c r="L184" s="1">
        <v>0</v>
      </c>
      <c r="M184" s="1">
        <v>0</v>
      </c>
      <c r="N184" s="1">
        <v>42</v>
      </c>
      <c r="O184" s="1">
        <v>0</v>
      </c>
      <c r="P184" s="1">
        <v>0</v>
      </c>
      <c r="Q184" s="3">
        <v>0.38300000000000001</v>
      </c>
      <c r="R184" s="1">
        <v>0</v>
      </c>
      <c r="S184" s="1">
        <v>0</v>
      </c>
    </row>
    <row r="185" spans="1:19" x14ac:dyDescent="0.2">
      <c r="A185" s="1" t="s">
        <v>606</v>
      </c>
      <c r="B185" s="1" t="s">
        <v>607</v>
      </c>
      <c r="C185" s="1">
        <v>1</v>
      </c>
      <c r="D185" s="1" t="s">
        <v>1180</v>
      </c>
      <c r="E185" s="1">
        <v>3</v>
      </c>
      <c r="F185" s="1">
        <v>0</v>
      </c>
      <c r="G185" s="1">
        <v>0</v>
      </c>
      <c r="H185" s="2">
        <v>8.6600000000000002E-4</v>
      </c>
      <c r="I185" s="1">
        <v>0</v>
      </c>
      <c r="J185" s="1">
        <v>0</v>
      </c>
      <c r="K185" s="1">
        <v>0.35207260000000001</v>
      </c>
      <c r="L185" s="1">
        <v>0</v>
      </c>
      <c r="M185" s="1">
        <v>0</v>
      </c>
      <c r="N185" s="1">
        <v>7</v>
      </c>
      <c r="O185" s="1">
        <v>0</v>
      </c>
      <c r="P185" s="1">
        <v>0</v>
      </c>
      <c r="Q185" s="3">
        <v>0.13100000000000001</v>
      </c>
      <c r="R185" s="1">
        <v>0</v>
      </c>
      <c r="S185" s="1">
        <v>0</v>
      </c>
    </row>
    <row r="186" spans="1:19" x14ac:dyDescent="0.2">
      <c r="A186" s="1" t="s">
        <v>608</v>
      </c>
      <c r="B186" s="1" t="s">
        <v>609</v>
      </c>
      <c r="C186" s="1">
        <v>1</v>
      </c>
      <c r="D186" s="1" t="s">
        <v>1180</v>
      </c>
      <c r="E186" s="1">
        <v>11</v>
      </c>
      <c r="F186" s="1">
        <v>0</v>
      </c>
      <c r="G186" s="1">
        <v>0</v>
      </c>
      <c r="H186" s="2">
        <v>9.3800000000000003E-5</v>
      </c>
      <c r="I186" s="1">
        <v>0</v>
      </c>
      <c r="J186" s="1">
        <v>0</v>
      </c>
      <c r="K186" s="1">
        <v>0.11429453000000001</v>
      </c>
      <c r="L186" s="1">
        <v>0</v>
      </c>
      <c r="M186" s="1">
        <v>0</v>
      </c>
      <c r="N186" s="1">
        <v>16</v>
      </c>
      <c r="O186" s="1">
        <v>0</v>
      </c>
      <c r="P186" s="1">
        <v>0</v>
      </c>
      <c r="Q186" s="3">
        <v>4.7E-2</v>
      </c>
      <c r="R186" s="1">
        <v>0</v>
      </c>
      <c r="S186" s="1">
        <v>0</v>
      </c>
    </row>
    <row r="187" spans="1:19" x14ac:dyDescent="0.2">
      <c r="A187" s="1" t="s">
        <v>610</v>
      </c>
      <c r="B187" s="1" t="s">
        <v>611</v>
      </c>
      <c r="C187" s="1">
        <v>1</v>
      </c>
      <c r="D187" s="1" t="s">
        <v>1180</v>
      </c>
      <c r="E187" s="1">
        <v>5</v>
      </c>
      <c r="F187" s="1">
        <v>0</v>
      </c>
      <c r="G187" s="1">
        <v>0</v>
      </c>
      <c r="H187" s="2">
        <v>3.3399999999999999E-4</v>
      </c>
      <c r="I187" s="1">
        <v>0</v>
      </c>
      <c r="J187" s="1">
        <v>0</v>
      </c>
      <c r="K187" s="1">
        <v>0.85353159999999995</v>
      </c>
      <c r="L187" s="1">
        <v>0</v>
      </c>
      <c r="M187" s="1">
        <v>0</v>
      </c>
      <c r="N187" s="1">
        <v>5</v>
      </c>
      <c r="O187" s="1">
        <v>0</v>
      </c>
      <c r="P187" s="1">
        <v>0</v>
      </c>
      <c r="Q187" s="3">
        <v>0.26800000000000002</v>
      </c>
      <c r="R187" s="1">
        <v>0</v>
      </c>
      <c r="S187" s="1">
        <v>0</v>
      </c>
    </row>
    <row r="188" spans="1:19" x14ac:dyDescent="0.2">
      <c r="A188" s="1" t="s">
        <v>612</v>
      </c>
      <c r="B188" s="1" t="s">
        <v>613</v>
      </c>
      <c r="C188" s="1">
        <v>1</v>
      </c>
      <c r="D188" s="1" t="s">
        <v>1180</v>
      </c>
      <c r="E188" s="1">
        <v>3</v>
      </c>
      <c r="F188" s="1">
        <v>0</v>
      </c>
      <c r="G188" s="1">
        <v>0</v>
      </c>
      <c r="H188" s="2">
        <v>1.15E-4</v>
      </c>
      <c r="I188" s="1">
        <v>0</v>
      </c>
      <c r="J188" s="1">
        <v>0</v>
      </c>
      <c r="K188" s="1">
        <v>0.20503592000000001</v>
      </c>
      <c r="L188" s="1">
        <v>0</v>
      </c>
      <c r="M188" s="1">
        <v>0</v>
      </c>
      <c r="N188" s="1">
        <v>3</v>
      </c>
      <c r="O188" s="1">
        <v>0</v>
      </c>
      <c r="P188" s="1">
        <v>0</v>
      </c>
      <c r="Q188" s="3">
        <v>8.1000000000000003E-2</v>
      </c>
      <c r="R188" s="1">
        <v>0</v>
      </c>
      <c r="S188" s="1">
        <v>0</v>
      </c>
    </row>
    <row r="189" spans="1:19" x14ac:dyDescent="0.2">
      <c r="A189" s="1" t="s">
        <v>614</v>
      </c>
      <c r="B189" s="1" t="s">
        <v>615</v>
      </c>
      <c r="C189" s="1">
        <v>1</v>
      </c>
      <c r="D189" s="1" t="s">
        <v>1180</v>
      </c>
      <c r="E189" s="1">
        <v>2</v>
      </c>
      <c r="F189" s="1">
        <v>0</v>
      </c>
      <c r="G189" s="1">
        <v>0</v>
      </c>
      <c r="H189" s="2">
        <v>3.5799999999999997E-4</v>
      </c>
      <c r="I189" s="1">
        <v>0</v>
      </c>
      <c r="J189" s="1">
        <v>0</v>
      </c>
      <c r="K189" s="1">
        <v>0.40928875999999997</v>
      </c>
      <c r="L189" s="1">
        <v>0</v>
      </c>
      <c r="M189" s="1">
        <v>0</v>
      </c>
      <c r="N189" s="1">
        <v>2</v>
      </c>
      <c r="O189" s="1">
        <v>0</v>
      </c>
      <c r="P189" s="1">
        <v>0</v>
      </c>
      <c r="Q189" s="3">
        <v>0.14899999999999999</v>
      </c>
      <c r="R189" s="1">
        <v>0</v>
      </c>
      <c r="S189" s="1">
        <v>0</v>
      </c>
    </row>
    <row r="190" spans="1:19" x14ac:dyDescent="0.2">
      <c r="A190" s="1" t="s">
        <v>616</v>
      </c>
      <c r="B190" s="1" t="s">
        <v>617</v>
      </c>
      <c r="C190" s="1">
        <v>1</v>
      </c>
      <c r="D190" s="1" t="s">
        <v>1180</v>
      </c>
      <c r="E190" s="1">
        <v>2</v>
      </c>
      <c r="F190" s="1">
        <v>0</v>
      </c>
      <c r="G190" s="1">
        <v>0</v>
      </c>
      <c r="H190" s="2">
        <v>1.2E-4</v>
      </c>
      <c r="I190" s="1">
        <v>0</v>
      </c>
      <c r="J190" s="1">
        <v>0</v>
      </c>
      <c r="K190" s="1">
        <v>0.15877736000000001</v>
      </c>
      <c r="L190" s="1">
        <v>0</v>
      </c>
      <c r="M190" s="1">
        <v>0</v>
      </c>
      <c r="N190" s="1">
        <v>2</v>
      </c>
      <c r="O190" s="1">
        <v>0</v>
      </c>
      <c r="P190" s="1">
        <v>0</v>
      </c>
      <c r="Q190" s="3">
        <v>6.4000000000000001E-2</v>
      </c>
      <c r="R190" s="1">
        <v>0</v>
      </c>
      <c r="S190" s="1">
        <v>0</v>
      </c>
    </row>
    <row r="191" spans="1:19" x14ac:dyDescent="0.2">
      <c r="A191" s="1" t="s">
        <v>618</v>
      </c>
      <c r="B191" s="1" t="s">
        <v>619</v>
      </c>
      <c r="C191" s="1">
        <v>1</v>
      </c>
      <c r="D191" s="1" t="s">
        <v>1180</v>
      </c>
      <c r="E191" s="1">
        <v>13</v>
      </c>
      <c r="F191" s="1">
        <v>0</v>
      </c>
      <c r="G191" s="1">
        <v>0</v>
      </c>
      <c r="H191" s="1">
        <v>1.006873E-2</v>
      </c>
      <c r="I191" s="1">
        <v>0</v>
      </c>
      <c r="J191" s="1">
        <v>0</v>
      </c>
      <c r="K191" s="1">
        <v>1.4717243</v>
      </c>
      <c r="L191" s="1">
        <v>0</v>
      </c>
      <c r="M191" s="1">
        <v>0</v>
      </c>
      <c r="N191" s="1">
        <v>89</v>
      </c>
      <c r="O191" s="1">
        <v>0</v>
      </c>
      <c r="P191" s="1">
        <v>0</v>
      </c>
      <c r="Q191" s="3">
        <v>0.39300000000000002</v>
      </c>
      <c r="R191" s="1">
        <v>0</v>
      </c>
      <c r="S191" s="1">
        <v>0</v>
      </c>
    </row>
    <row r="192" spans="1:19" x14ac:dyDescent="0.2">
      <c r="A192" s="1" t="s">
        <v>620</v>
      </c>
      <c r="B192" s="1" t="s">
        <v>621</v>
      </c>
      <c r="C192" s="1">
        <v>1</v>
      </c>
      <c r="D192" s="1" t="s">
        <v>1180</v>
      </c>
      <c r="E192" s="1">
        <v>19</v>
      </c>
      <c r="F192" s="1">
        <v>0</v>
      </c>
      <c r="G192" s="1">
        <v>0</v>
      </c>
      <c r="H192" s="1">
        <v>3.7248200000000002E-3</v>
      </c>
      <c r="I192" s="1">
        <v>0</v>
      </c>
      <c r="J192" s="1">
        <v>0</v>
      </c>
      <c r="K192" s="1">
        <v>1.7039584999999999</v>
      </c>
      <c r="L192" s="1">
        <v>0</v>
      </c>
      <c r="M192" s="1">
        <v>0</v>
      </c>
      <c r="N192" s="1">
        <v>56</v>
      </c>
      <c r="O192" s="1">
        <v>0</v>
      </c>
      <c r="P192" s="1">
        <v>0</v>
      </c>
      <c r="Q192" s="3">
        <v>0.432</v>
      </c>
      <c r="R192" s="1">
        <v>0</v>
      </c>
      <c r="S192" s="1">
        <v>0</v>
      </c>
    </row>
    <row r="193" spans="1:19" x14ac:dyDescent="0.2">
      <c r="A193" s="1" t="s">
        <v>622</v>
      </c>
      <c r="B193" s="1" t="s">
        <v>623</v>
      </c>
      <c r="C193" s="1">
        <v>1</v>
      </c>
      <c r="D193" s="1" t="s">
        <v>1180</v>
      </c>
      <c r="E193" s="1">
        <v>2</v>
      </c>
      <c r="F193" s="1">
        <v>0</v>
      </c>
      <c r="G193" s="1">
        <v>0</v>
      </c>
      <c r="H193" s="2">
        <v>3.8600000000000003E-5</v>
      </c>
      <c r="I193" s="1">
        <v>0</v>
      </c>
      <c r="J193" s="1">
        <v>0</v>
      </c>
      <c r="K193" s="1">
        <v>5.9253689999999998E-2</v>
      </c>
      <c r="L193" s="1">
        <v>0</v>
      </c>
      <c r="M193" s="1">
        <v>0</v>
      </c>
      <c r="N193" s="1">
        <v>2</v>
      </c>
      <c r="O193" s="1">
        <v>0</v>
      </c>
      <c r="P193" s="1">
        <v>0</v>
      </c>
      <c r="Q193" s="3">
        <v>2.5000000000000001E-2</v>
      </c>
      <c r="R193" s="1">
        <v>0</v>
      </c>
      <c r="S193" s="1">
        <v>0</v>
      </c>
    </row>
    <row r="194" spans="1:19" x14ac:dyDescent="0.2">
      <c r="A194" s="1" t="s">
        <v>624</v>
      </c>
      <c r="B194" s="1" t="s">
        <v>625</v>
      </c>
      <c r="C194" s="1">
        <v>1</v>
      </c>
      <c r="D194" s="1" t="s">
        <v>1180</v>
      </c>
      <c r="E194" s="1">
        <v>7</v>
      </c>
      <c r="F194" s="1">
        <v>0</v>
      </c>
      <c r="G194" s="1">
        <v>0</v>
      </c>
      <c r="H194" s="2">
        <v>2.13E-4</v>
      </c>
      <c r="I194" s="1">
        <v>0</v>
      </c>
      <c r="J194" s="1">
        <v>0</v>
      </c>
      <c r="K194" s="1">
        <v>0.28233063000000003</v>
      </c>
      <c r="L194" s="1">
        <v>0</v>
      </c>
      <c r="M194" s="1">
        <v>0</v>
      </c>
      <c r="N194" s="1">
        <v>9</v>
      </c>
      <c r="O194" s="1">
        <v>0</v>
      </c>
      <c r="P194" s="1">
        <v>0</v>
      </c>
      <c r="Q194" s="3">
        <v>0.108</v>
      </c>
      <c r="R194" s="1">
        <v>0</v>
      </c>
      <c r="S194" s="1">
        <v>0</v>
      </c>
    </row>
    <row r="195" spans="1:19" x14ac:dyDescent="0.2">
      <c r="A195" s="1" t="s">
        <v>626</v>
      </c>
      <c r="B195" s="1" t="s">
        <v>627</v>
      </c>
      <c r="C195" s="1">
        <v>1</v>
      </c>
      <c r="D195" s="1" t="s">
        <v>1180</v>
      </c>
      <c r="E195" s="1">
        <v>3</v>
      </c>
      <c r="F195" s="1">
        <v>0</v>
      </c>
      <c r="G195" s="1">
        <v>0</v>
      </c>
      <c r="H195" s="2">
        <v>3.5100000000000002E-4</v>
      </c>
      <c r="I195" s="1">
        <v>0</v>
      </c>
      <c r="J195" s="1">
        <v>0</v>
      </c>
      <c r="K195" s="1">
        <v>0.15345323</v>
      </c>
      <c r="L195" s="1">
        <v>0</v>
      </c>
      <c r="M195" s="1">
        <v>0</v>
      </c>
      <c r="N195" s="1">
        <v>6</v>
      </c>
      <c r="O195" s="1">
        <v>0</v>
      </c>
      <c r="P195" s="1">
        <v>0</v>
      </c>
      <c r="Q195" s="3">
        <v>6.2E-2</v>
      </c>
      <c r="R195" s="1">
        <v>0</v>
      </c>
      <c r="S195" s="1">
        <v>0</v>
      </c>
    </row>
    <row r="196" spans="1:19" x14ac:dyDescent="0.2">
      <c r="A196" s="1" t="s">
        <v>628</v>
      </c>
      <c r="B196" s="1" t="s">
        <v>629</v>
      </c>
      <c r="C196" s="1">
        <v>1</v>
      </c>
      <c r="D196" s="1" t="s">
        <v>1180</v>
      </c>
      <c r="E196" s="1">
        <v>3</v>
      </c>
      <c r="F196" s="1">
        <v>0</v>
      </c>
      <c r="G196" s="1">
        <v>0</v>
      </c>
      <c r="H196" s="2">
        <v>1.7000000000000001E-4</v>
      </c>
      <c r="I196" s="1">
        <v>0</v>
      </c>
      <c r="J196" s="1">
        <v>0</v>
      </c>
      <c r="K196" s="1">
        <v>0.27938128000000001</v>
      </c>
      <c r="L196" s="1">
        <v>0</v>
      </c>
      <c r="M196" s="1">
        <v>0</v>
      </c>
      <c r="N196" s="1">
        <v>3</v>
      </c>
      <c r="O196" s="1">
        <v>0</v>
      </c>
      <c r="P196" s="1">
        <v>0</v>
      </c>
      <c r="Q196" s="3">
        <v>0.107</v>
      </c>
      <c r="R196" s="1">
        <v>0</v>
      </c>
      <c r="S196" s="1">
        <v>0</v>
      </c>
    </row>
    <row r="197" spans="1:19" x14ac:dyDescent="0.2">
      <c r="A197" s="1" t="s">
        <v>630</v>
      </c>
      <c r="B197" s="1" t="s">
        <v>631</v>
      </c>
      <c r="C197" s="1">
        <v>1</v>
      </c>
      <c r="D197" s="1" t="s">
        <v>1180</v>
      </c>
      <c r="E197" s="1">
        <v>6</v>
      </c>
      <c r="F197" s="1">
        <v>0</v>
      </c>
      <c r="G197" s="1">
        <v>0</v>
      </c>
      <c r="H197" s="2">
        <v>3.0200000000000002E-4</v>
      </c>
      <c r="I197" s="1">
        <v>0</v>
      </c>
      <c r="J197" s="1">
        <v>0</v>
      </c>
      <c r="K197" s="1">
        <v>0.25892544000000001</v>
      </c>
      <c r="L197" s="1">
        <v>0</v>
      </c>
      <c r="M197" s="1">
        <v>0</v>
      </c>
      <c r="N197" s="1">
        <v>8</v>
      </c>
      <c r="O197" s="1">
        <v>0</v>
      </c>
      <c r="P197" s="1">
        <v>0</v>
      </c>
      <c r="Q197" s="3">
        <v>0.1</v>
      </c>
      <c r="R197" s="1">
        <v>0</v>
      </c>
      <c r="S197" s="1">
        <v>0</v>
      </c>
    </row>
    <row r="198" spans="1:19" x14ac:dyDescent="0.2">
      <c r="A198" s="1" t="s">
        <v>632</v>
      </c>
      <c r="B198" s="1" t="s">
        <v>633</v>
      </c>
      <c r="C198" s="1">
        <v>1</v>
      </c>
      <c r="D198" s="1" t="s">
        <v>1180</v>
      </c>
      <c r="E198" s="1">
        <v>3</v>
      </c>
      <c r="F198" s="1">
        <v>0</v>
      </c>
      <c r="G198" s="1">
        <v>0</v>
      </c>
      <c r="H198" s="2">
        <v>7.3800000000000005E-5</v>
      </c>
      <c r="I198" s="1">
        <v>0</v>
      </c>
      <c r="J198" s="1">
        <v>0</v>
      </c>
      <c r="K198" s="1">
        <v>6.6596150000000007E-2</v>
      </c>
      <c r="L198" s="1">
        <v>0</v>
      </c>
      <c r="M198" s="1">
        <v>0</v>
      </c>
      <c r="N198" s="1">
        <v>3</v>
      </c>
      <c r="O198" s="1">
        <v>0</v>
      </c>
      <c r="P198" s="1">
        <v>0</v>
      </c>
      <c r="Q198" s="3">
        <v>2.8000000000000001E-2</v>
      </c>
      <c r="R198" s="1">
        <v>0</v>
      </c>
      <c r="S198" s="1">
        <v>0</v>
      </c>
    </row>
    <row r="199" spans="1:19" x14ac:dyDescent="0.2">
      <c r="A199" s="1" t="s">
        <v>634</v>
      </c>
      <c r="B199" s="1" t="s">
        <v>635</v>
      </c>
      <c r="C199" s="1">
        <v>1</v>
      </c>
      <c r="D199" s="1" t="s">
        <v>1180</v>
      </c>
      <c r="E199" s="1">
        <v>9</v>
      </c>
      <c r="F199" s="1">
        <v>0</v>
      </c>
      <c r="G199" s="1">
        <v>0</v>
      </c>
      <c r="H199" s="2">
        <v>3.4600000000000001E-4</v>
      </c>
      <c r="I199" s="1">
        <v>0</v>
      </c>
      <c r="J199" s="1">
        <v>0</v>
      </c>
      <c r="K199" s="1">
        <v>0.36458312999999998</v>
      </c>
      <c r="L199" s="1">
        <v>0</v>
      </c>
      <c r="M199" s="1">
        <v>0</v>
      </c>
      <c r="N199" s="1">
        <v>11</v>
      </c>
      <c r="O199" s="1">
        <v>0</v>
      </c>
      <c r="P199" s="1">
        <v>0</v>
      </c>
      <c r="Q199" s="3">
        <v>0.13500000000000001</v>
      </c>
      <c r="R199" s="1">
        <v>0</v>
      </c>
      <c r="S199" s="1">
        <v>0</v>
      </c>
    </row>
    <row r="200" spans="1:19" x14ac:dyDescent="0.2">
      <c r="A200" s="1" t="s">
        <v>636</v>
      </c>
      <c r="B200" s="1" t="s">
        <v>637</v>
      </c>
      <c r="C200" s="1">
        <v>1</v>
      </c>
      <c r="D200" s="1" t="s">
        <v>1180</v>
      </c>
      <c r="E200" s="1">
        <v>8</v>
      </c>
      <c r="F200" s="1">
        <v>0</v>
      </c>
      <c r="G200" s="1">
        <v>0</v>
      </c>
      <c r="H200" s="2">
        <v>3.88E-4</v>
      </c>
      <c r="I200" s="1">
        <v>0</v>
      </c>
      <c r="J200" s="1">
        <v>0</v>
      </c>
      <c r="K200" s="1">
        <v>0.17219532000000001</v>
      </c>
      <c r="L200" s="1">
        <v>0</v>
      </c>
      <c r="M200" s="1">
        <v>0</v>
      </c>
      <c r="N200" s="1">
        <v>11</v>
      </c>
      <c r="O200" s="1">
        <v>0</v>
      </c>
      <c r="P200" s="1">
        <v>0</v>
      </c>
      <c r="Q200" s="3">
        <v>6.9000000000000006E-2</v>
      </c>
      <c r="R200" s="1">
        <v>0</v>
      </c>
      <c r="S200" s="1">
        <v>0</v>
      </c>
    </row>
    <row r="201" spans="1:19" x14ac:dyDescent="0.2">
      <c r="A201" s="1" t="s">
        <v>638</v>
      </c>
      <c r="B201" s="1" t="s">
        <v>639</v>
      </c>
      <c r="C201" s="1">
        <v>1</v>
      </c>
      <c r="D201" s="1" t="s">
        <v>1180</v>
      </c>
      <c r="E201" s="1">
        <v>2</v>
      </c>
      <c r="F201" s="1">
        <v>0</v>
      </c>
      <c r="G201" s="1">
        <v>0</v>
      </c>
      <c r="H201" s="2">
        <v>8.9800000000000001E-5</v>
      </c>
      <c r="I201" s="1">
        <v>0</v>
      </c>
      <c r="J201" s="1">
        <v>0</v>
      </c>
      <c r="K201" s="1">
        <v>9.9005819999999994E-2</v>
      </c>
      <c r="L201" s="1">
        <v>0</v>
      </c>
      <c r="M201" s="1">
        <v>0</v>
      </c>
      <c r="N201" s="1">
        <v>3</v>
      </c>
      <c r="O201" s="1">
        <v>0</v>
      </c>
      <c r="P201" s="1">
        <v>0</v>
      </c>
      <c r="Q201" s="3">
        <v>4.1000000000000002E-2</v>
      </c>
      <c r="R201" s="1">
        <v>0</v>
      </c>
      <c r="S201" s="1">
        <v>0</v>
      </c>
    </row>
    <row r="202" spans="1:19" x14ac:dyDescent="0.2">
      <c r="A202" s="1" t="s">
        <v>640</v>
      </c>
      <c r="B202" s="1" t="s">
        <v>39</v>
      </c>
      <c r="C202" s="1">
        <v>1</v>
      </c>
      <c r="D202" s="1" t="s">
        <v>1180</v>
      </c>
      <c r="E202" s="1">
        <v>3</v>
      </c>
      <c r="F202" s="1">
        <v>0</v>
      </c>
      <c r="G202" s="1">
        <v>0</v>
      </c>
      <c r="H202" s="2">
        <v>5.1400000000000003E-4</v>
      </c>
      <c r="I202" s="1">
        <v>0</v>
      </c>
      <c r="J202" s="1">
        <v>0</v>
      </c>
      <c r="K202" s="1">
        <v>0.52756610000000004</v>
      </c>
      <c r="L202" s="1">
        <v>0</v>
      </c>
      <c r="M202" s="1">
        <v>0</v>
      </c>
      <c r="N202" s="1">
        <v>4</v>
      </c>
      <c r="O202" s="1">
        <v>0</v>
      </c>
      <c r="P202" s="1">
        <v>0</v>
      </c>
      <c r="Q202" s="3">
        <v>0.184</v>
      </c>
      <c r="R202" s="1">
        <v>0</v>
      </c>
      <c r="S202" s="1">
        <v>0</v>
      </c>
    </row>
    <row r="203" spans="1:19" x14ac:dyDescent="0.2">
      <c r="A203" s="1" t="s">
        <v>641</v>
      </c>
      <c r="B203" s="1" t="s">
        <v>126</v>
      </c>
      <c r="C203" s="1">
        <v>1</v>
      </c>
      <c r="D203" s="1" t="s">
        <v>1180</v>
      </c>
      <c r="E203" s="1">
        <v>16</v>
      </c>
      <c r="F203" s="1">
        <v>0</v>
      </c>
      <c r="G203" s="1">
        <v>0</v>
      </c>
      <c r="H203" s="1">
        <v>3.6888400000000001E-3</v>
      </c>
      <c r="I203" s="1">
        <v>0</v>
      </c>
      <c r="J203" s="1">
        <v>0</v>
      </c>
      <c r="K203" s="1">
        <v>1.2961484999999999</v>
      </c>
      <c r="L203" s="1">
        <v>0</v>
      </c>
      <c r="M203" s="1">
        <v>0</v>
      </c>
      <c r="N203" s="1">
        <v>51</v>
      </c>
      <c r="O203" s="1">
        <v>0</v>
      </c>
      <c r="P203" s="1">
        <v>0</v>
      </c>
      <c r="Q203" s="3">
        <v>0.36099999999999999</v>
      </c>
      <c r="R203" s="1">
        <v>0</v>
      </c>
      <c r="S203" s="1">
        <v>0</v>
      </c>
    </row>
    <row r="204" spans="1:19" x14ac:dyDescent="0.2">
      <c r="A204" s="1" t="s">
        <v>642</v>
      </c>
      <c r="B204" s="1" t="s">
        <v>643</v>
      </c>
      <c r="C204" s="1">
        <v>1</v>
      </c>
      <c r="D204" s="1" t="s">
        <v>1180</v>
      </c>
      <c r="E204" s="1">
        <v>2</v>
      </c>
      <c r="F204" s="1">
        <v>0</v>
      </c>
      <c r="G204" s="1">
        <v>0</v>
      </c>
      <c r="H204" s="2">
        <v>3.9799999999999998E-5</v>
      </c>
      <c r="I204" s="1">
        <v>0</v>
      </c>
      <c r="J204" s="1">
        <v>0</v>
      </c>
      <c r="K204" s="1">
        <v>3.9920209999999998E-2</v>
      </c>
      <c r="L204" s="1">
        <v>0</v>
      </c>
      <c r="M204" s="1">
        <v>0</v>
      </c>
      <c r="N204" s="1">
        <v>2</v>
      </c>
      <c r="O204" s="1">
        <v>0</v>
      </c>
      <c r="P204" s="1">
        <v>0</v>
      </c>
      <c r="Q204" s="3">
        <v>1.7000000000000001E-2</v>
      </c>
      <c r="R204" s="1">
        <v>0</v>
      </c>
      <c r="S204" s="1">
        <v>0</v>
      </c>
    </row>
    <row r="205" spans="1:19" x14ac:dyDescent="0.2">
      <c r="A205" s="1" t="s">
        <v>644</v>
      </c>
      <c r="B205" s="1" t="s">
        <v>511</v>
      </c>
      <c r="C205" s="1">
        <v>1</v>
      </c>
      <c r="D205" s="1" t="s">
        <v>1180</v>
      </c>
      <c r="E205" s="1">
        <v>15</v>
      </c>
      <c r="F205" s="1">
        <v>0</v>
      </c>
      <c r="G205" s="1">
        <v>0</v>
      </c>
      <c r="H205" s="1">
        <v>2.2400100000000002E-3</v>
      </c>
      <c r="I205" s="1">
        <v>0</v>
      </c>
      <c r="J205" s="1">
        <v>0</v>
      </c>
      <c r="K205" s="1">
        <v>1.1037783999999999</v>
      </c>
      <c r="L205" s="1">
        <v>0</v>
      </c>
      <c r="M205" s="1">
        <v>0</v>
      </c>
      <c r="N205" s="1">
        <v>33</v>
      </c>
      <c r="O205" s="1">
        <v>0</v>
      </c>
      <c r="P205" s="1">
        <v>0</v>
      </c>
      <c r="Q205" s="3">
        <v>0.32300000000000001</v>
      </c>
      <c r="R205" s="1">
        <v>0</v>
      </c>
      <c r="S205" s="1">
        <v>0</v>
      </c>
    </row>
    <row r="206" spans="1:19" x14ac:dyDescent="0.2">
      <c r="A206" s="1" t="s">
        <v>645</v>
      </c>
      <c r="B206" s="1" t="s">
        <v>39</v>
      </c>
      <c r="C206" s="1">
        <v>1</v>
      </c>
      <c r="D206" s="1" t="s">
        <v>1180</v>
      </c>
      <c r="E206" s="1">
        <v>6</v>
      </c>
      <c r="F206" s="1">
        <v>0</v>
      </c>
      <c r="G206" s="1">
        <v>0</v>
      </c>
      <c r="H206" s="2">
        <v>2.9E-4</v>
      </c>
      <c r="I206" s="1">
        <v>0</v>
      </c>
      <c r="J206" s="1">
        <v>0</v>
      </c>
      <c r="K206" s="1">
        <v>0.41253757000000002</v>
      </c>
      <c r="L206" s="1">
        <v>0</v>
      </c>
      <c r="M206" s="1">
        <v>0</v>
      </c>
      <c r="N206" s="1">
        <v>7</v>
      </c>
      <c r="O206" s="1">
        <v>0</v>
      </c>
      <c r="P206" s="1">
        <v>0</v>
      </c>
      <c r="Q206" s="3">
        <v>0.15</v>
      </c>
      <c r="R206" s="1">
        <v>0</v>
      </c>
      <c r="S206" s="1">
        <v>0</v>
      </c>
    </row>
    <row r="207" spans="1:19" x14ac:dyDescent="0.2">
      <c r="A207" s="1" t="s">
        <v>646</v>
      </c>
      <c r="B207" s="1" t="s">
        <v>647</v>
      </c>
      <c r="C207" s="1">
        <v>1</v>
      </c>
      <c r="D207" s="1" t="s">
        <v>1180</v>
      </c>
      <c r="E207" s="1">
        <v>5</v>
      </c>
      <c r="F207" s="1">
        <v>0</v>
      </c>
      <c r="G207" s="1">
        <v>0</v>
      </c>
      <c r="H207" s="2">
        <v>1.9599999999999999E-4</v>
      </c>
      <c r="I207" s="1">
        <v>0</v>
      </c>
      <c r="J207" s="1">
        <v>0</v>
      </c>
      <c r="K207" s="1">
        <v>0.29419577000000002</v>
      </c>
      <c r="L207" s="1">
        <v>0</v>
      </c>
      <c r="M207" s="1">
        <v>0</v>
      </c>
      <c r="N207" s="1">
        <v>5</v>
      </c>
      <c r="O207" s="1">
        <v>0</v>
      </c>
      <c r="P207" s="1">
        <v>0</v>
      </c>
      <c r="Q207" s="3">
        <v>0.112</v>
      </c>
      <c r="R207" s="1">
        <v>0</v>
      </c>
      <c r="S207" s="1">
        <v>0</v>
      </c>
    </row>
    <row r="208" spans="1:19" x14ac:dyDescent="0.2">
      <c r="A208" s="1" t="s">
        <v>648</v>
      </c>
      <c r="B208" s="1" t="s">
        <v>649</v>
      </c>
      <c r="C208" s="1">
        <v>1</v>
      </c>
      <c r="D208" s="1" t="s">
        <v>1180</v>
      </c>
      <c r="E208" s="1">
        <v>2</v>
      </c>
      <c r="F208" s="1">
        <v>0</v>
      </c>
      <c r="G208" s="1">
        <v>0</v>
      </c>
      <c r="H208" s="2">
        <v>3.1199999999999999E-5</v>
      </c>
      <c r="I208" s="1">
        <v>0</v>
      </c>
      <c r="J208" s="1">
        <v>0</v>
      </c>
      <c r="K208" s="1">
        <v>3.2761459999999999E-2</v>
      </c>
      <c r="L208" s="1">
        <v>0</v>
      </c>
      <c r="M208" s="1">
        <v>0</v>
      </c>
      <c r="N208" s="1">
        <v>2</v>
      </c>
      <c r="O208" s="1">
        <v>0</v>
      </c>
      <c r="P208" s="1">
        <v>0</v>
      </c>
      <c r="Q208" s="3">
        <v>1.4E-2</v>
      </c>
      <c r="R208" s="1">
        <v>0</v>
      </c>
      <c r="S208" s="1">
        <v>0</v>
      </c>
    </row>
    <row r="209" spans="1:19" x14ac:dyDescent="0.2">
      <c r="A209" s="1" t="s">
        <v>650</v>
      </c>
      <c r="B209" s="1" t="s">
        <v>651</v>
      </c>
      <c r="C209" s="1">
        <v>1</v>
      </c>
      <c r="D209" s="1" t="s">
        <v>1180</v>
      </c>
      <c r="E209" s="1">
        <v>9</v>
      </c>
      <c r="F209" s="1">
        <v>0</v>
      </c>
      <c r="G209" s="1">
        <v>0</v>
      </c>
      <c r="H209" s="2">
        <v>2.1599999999999999E-4</v>
      </c>
      <c r="I209" s="1">
        <v>0</v>
      </c>
      <c r="J209" s="1">
        <v>0</v>
      </c>
      <c r="K209" s="1">
        <v>0.18576872</v>
      </c>
      <c r="L209" s="1">
        <v>0</v>
      </c>
      <c r="M209" s="1">
        <v>0</v>
      </c>
      <c r="N209" s="1">
        <v>11</v>
      </c>
      <c r="O209" s="1">
        <v>0</v>
      </c>
      <c r="P209" s="1">
        <v>0</v>
      </c>
      <c r="Q209" s="3">
        <v>7.3999999999999996E-2</v>
      </c>
      <c r="R209" s="1">
        <v>0</v>
      </c>
      <c r="S209" s="1">
        <v>0</v>
      </c>
    </row>
    <row r="210" spans="1:19" x14ac:dyDescent="0.2">
      <c r="A210" s="1" t="s">
        <v>652</v>
      </c>
      <c r="B210" s="1" t="s">
        <v>25</v>
      </c>
      <c r="C210" s="1">
        <v>1</v>
      </c>
      <c r="D210" s="1" t="s">
        <v>1180</v>
      </c>
      <c r="E210" s="1">
        <v>3</v>
      </c>
      <c r="F210" s="1">
        <v>0</v>
      </c>
      <c r="G210" s="1">
        <v>0</v>
      </c>
      <c r="H210" s="2">
        <v>1.26E-4</v>
      </c>
      <c r="I210" s="1">
        <v>0</v>
      </c>
      <c r="J210" s="1">
        <v>0</v>
      </c>
      <c r="K210" s="1">
        <v>5.6817529999999998E-2</v>
      </c>
      <c r="L210" s="1">
        <v>0</v>
      </c>
      <c r="M210" s="1">
        <v>0</v>
      </c>
      <c r="N210" s="1">
        <v>6</v>
      </c>
      <c r="O210" s="1">
        <v>0</v>
      </c>
      <c r="P210" s="1">
        <v>0</v>
      </c>
      <c r="Q210" s="3">
        <v>2.4E-2</v>
      </c>
      <c r="R210" s="1">
        <v>0</v>
      </c>
      <c r="S210" s="1">
        <v>0</v>
      </c>
    </row>
    <row r="211" spans="1:19" x14ac:dyDescent="0.2">
      <c r="A211" s="1" t="s">
        <v>653</v>
      </c>
      <c r="B211" s="1" t="s">
        <v>654</v>
      </c>
      <c r="C211" s="1">
        <v>1</v>
      </c>
      <c r="D211" s="1" t="s">
        <v>1180</v>
      </c>
      <c r="E211" s="1">
        <v>3</v>
      </c>
      <c r="F211" s="1">
        <v>0</v>
      </c>
      <c r="G211" s="1">
        <v>0</v>
      </c>
      <c r="H211" s="1">
        <v>1.1853499999999999E-3</v>
      </c>
      <c r="I211" s="1">
        <v>0</v>
      </c>
      <c r="J211" s="1">
        <v>0</v>
      </c>
      <c r="K211" s="1">
        <v>0.92309176999999998</v>
      </c>
      <c r="L211" s="1">
        <v>0</v>
      </c>
      <c r="M211" s="1">
        <v>0</v>
      </c>
      <c r="N211" s="1">
        <v>6</v>
      </c>
      <c r="O211" s="1">
        <v>0</v>
      </c>
      <c r="P211" s="1">
        <v>0</v>
      </c>
      <c r="Q211" s="3">
        <v>0.28399999999999997</v>
      </c>
      <c r="R211" s="1">
        <v>0</v>
      </c>
      <c r="S211" s="1">
        <v>0</v>
      </c>
    </row>
    <row r="212" spans="1:19" x14ac:dyDescent="0.2">
      <c r="A212" s="1" t="s">
        <v>655</v>
      </c>
      <c r="B212" s="1" t="s">
        <v>28</v>
      </c>
      <c r="C212" s="1">
        <v>1</v>
      </c>
      <c r="D212" s="1" t="s">
        <v>1180</v>
      </c>
      <c r="E212" s="1">
        <v>3</v>
      </c>
      <c r="F212" s="1">
        <v>0</v>
      </c>
      <c r="G212" s="1">
        <v>0</v>
      </c>
      <c r="H212" s="2">
        <v>4.84E-4</v>
      </c>
      <c r="I212" s="1">
        <v>0</v>
      </c>
      <c r="J212" s="1">
        <v>0</v>
      </c>
      <c r="K212" s="1">
        <v>0.11429453000000001</v>
      </c>
      <c r="L212" s="1">
        <v>0</v>
      </c>
      <c r="M212" s="1">
        <v>0</v>
      </c>
      <c r="N212" s="1">
        <v>11</v>
      </c>
      <c r="O212" s="1">
        <v>0</v>
      </c>
      <c r="P212" s="1">
        <v>0</v>
      </c>
      <c r="Q212" s="3">
        <v>4.7E-2</v>
      </c>
      <c r="R212" s="1">
        <v>0</v>
      </c>
      <c r="S212" s="1">
        <v>0</v>
      </c>
    </row>
    <row r="213" spans="1:19" x14ac:dyDescent="0.2">
      <c r="A213" s="1" t="s">
        <v>656</v>
      </c>
      <c r="B213" s="1" t="s">
        <v>657</v>
      </c>
      <c r="C213" s="1">
        <v>1</v>
      </c>
      <c r="D213" s="1" t="s">
        <v>1180</v>
      </c>
      <c r="E213" s="1">
        <v>13</v>
      </c>
      <c r="F213" s="1">
        <v>0</v>
      </c>
      <c r="G213" s="1">
        <v>0</v>
      </c>
      <c r="H213" s="1">
        <v>2.6112700000000002E-3</v>
      </c>
      <c r="I213" s="1">
        <v>0</v>
      </c>
      <c r="J213" s="1">
        <v>0</v>
      </c>
      <c r="K213" s="1">
        <v>1.4831331000000001</v>
      </c>
      <c r="L213" s="1">
        <v>0</v>
      </c>
      <c r="M213" s="1">
        <v>0</v>
      </c>
      <c r="N213" s="1">
        <v>29</v>
      </c>
      <c r="O213" s="1">
        <v>0</v>
      </c>
      <c r="P213" s="1">
        <v>0</v>
      </c>
      <c r="Q213" s="3">
        <v>0.39500000000000002</v>
      </c>
      <c r="R213" s="1">
        <v>0</v>
      </c>
      <c r="S213" s="1">
        <v>0</v>
      </c>
    </row>
    <row r="214" spans="1:19" x14ac:dyDescent="0.2">
      <c r="A214" s="1" t="s">
        <v>658</v>
      </c>
      <c r="B214" s="1" t="s">
        <v>659</v>
      </c>
      <c r="C214" s="1">
        <v>1</v>
      </c>
      <c r="D214" s="1" t="s">
        <v>1180</v>
      </c>
      <c r="E214" s="1">
        <v>3</v>
      </c>
      <c r="F214" s="1">
        <v>0</v>
      </c>
      <c r="G214" s="1">
        <v>0</v>
      </c>
      <c r="H214" s="2">
        <v>6.5199999999999999E-5</v>
      </c>
      <c r="I214" s="1">
        <v>0</v>
      </c>
      <c r="J214" s="1">
        <v>0</v>
      </c>
      <c r="K214" s="1">
        <v>0.11943793</v>
      </c>
      <c r="L214" s="1">
        <v>0</v>
      </c>
      <c r="M214" s="1">
        <v>0</v>
      </c>
      <c r="N214" s="1">
        <v>3</v>
      </c>
      <c r="O214" s="1">
        <v>0</v>
      </c>
      <c r="P214" s="1">
        <v>0</v>
      </c>
      <c r="Q214" s="3">
        <v>4.9000000000000002E-2</v>
      </c>
      <c r="R214" s="1">
        <v>0</v>
      </c>
      <c r="S214" s="1">
        <v>0</v>
      </c>
    </row>
    <row r="215" spans="1:19" x14ac:dyDescent="0.2">
      <c r="A215" s="1" t="s">
        <v>660</v>
      </c>
      <c r="B215" s="1" t="s">
        <v>661</v>
      </c>
      <c r="C215" s="1">
        <v>1</v>
      </c>
      <c r="D215" s="1" t="s">
        <v>1180</v>
      </c>
      <c r="E215" s="1">
        <v>3</v>
      </c>
      <c r="F215" s="1">
        <v>0</v>
      </c>
      <c r="G215" s="1">
        <v>0</v>
      </c>
      <c r="H215" s="2">
        <v>8.9400000000000005E-4</v>
      </c>
      <c r="I215" s="1">
        <v>0</v>
      </c>
      <c r="J215" s="1">
        <v>0</v>
      </c>
      <c r="K215" s="1">
        <v>0.49968479999999998</v>
      </c>
      <c r="L215" s="1">
        <v>0</v>
      </c>
      <c r="M215" s="1">
        <v>0</v>
      </c>
      <c r="N215" s="1">
        <v>5</v>
      </c>
      <c r="O215" s="1">
        <v>0</v>
      </c>
      <c r="P215" s="1">
        <v>0</v>
      </c>
      <c r="Q215" s="3">
        <v>0.17599999999999999</v>
      </c>
      <c r="R215" s="1">
        <v>0</v>
      </c>
      <c r="S215" s="1">
        <v>0</v>
      </c>
    </row>
    <row r="216" spans="1:19" x14ac:dyDescent="0.2">
      <c r="A216" s="1" t="s">
        <v>662</v>
      </c>
      <c r="B216" s="1" t="s">
        <v>39</v>
      </c>
      <c r="C216" s="1">
        <v>1</v>
      </c>
      <c r="D216" s="1" t="s">
        <v>1180</v>
      </c>
      <c r="E216" s="1">
        <v>5</v>
      </c>
      <c r="F216" s="1">
        <v>0</v>
      </c>
      <c r="G216" s="1">
        <v>0</v>
      </c>
      <c r="H216" s="2">
        <v>3.8900000000000002E-4</v>
      </c>
      <c r="I216" s="1">
        <v>0</v>
      </c>
      <c r="J216" s="1">
        <v>0</v>
      </c>
      <c r="K216" s="1">
        <v>0.1324004</v>
      </c>
      <c r="L216" s="1">
        <v>0</v>
      </c>
      <c r="M216" s="1">
        <v>0</v>
      </c>
      <c r="N216" s="1">
        <v>6</v>
      </c>
      <c r="O216" s="1">
        <v>0</v>
      </c>
      <c r="P216" s="1">
        <v>0</v>
      </c>
      <c r="Q216" s="3">
        <v>5.3999999999999999E-2</v>
      </c>
      <c r="R216" s="1">
        <v>0</v>
      </c>
      <c r="S216" s="1">
        <v>0</v>
      </c>
    </row>
    <row r="217" spans="1:19" x14ac:dyDescent="0.2">
      <c r="A217" s="1" t="s">
        <v>663</v>
      </c>
      <c r="B217" s="1" t="s">
        <v>84</v>
      </c>
      <c r="C217" s="1">
        <v>1</v>
      </c>
      <c r="D217" s="1" t="s">
        <v>1180</v>
      </c>
      <c r="E217" s="1">
        <v>3</v>
      </c>
      <c r="F217" s="1">
        <v>0</v>
      </c>
      <c r="G217" s="1">
        <v>0</v>
      </c>
      <c r="H217" s="2">
        <v>1.8200000000000001E-4</v>
      </c>
      <c r="I217" s="1">
        <v>0</v>
      </c>
      <c r="J217" s="1">
        <v>0</v>
      </c>
      <c r="K217" s="1">
        <v>0.15877736000000001</v>
      </c>
      <c r="L217" s="1">
        <v>0</v>
      </c>
      <c r="M217" s="1">
        <v>0</v>
      </c>
      <c r="N217" s="1">
        <v>3</v>
      </c>
      <c r="O217" s="1">
        <v>0</v>
      </c>
      <c r="P217" s="1">
        <v>0</v>
      </c>
      <c r="Q217" s="3">
        <v>6.4000000000000001E-2</v>
      </c>
      <c r="R217" s="1">
        <v>0</v>
      </c>
      <c r="S217" s="1">
        <v>0</v>
      </c>
    </row>
    <row r="218" spans="1:19" x14ac:dyDescent="0.2">
      <c r="A218" s="1" t="s">
        <v>664</v>
      </c>
      <c r="B218" s="1" t="s">
        <v>665</v>
      </c>
      <c r="C218" s="1">
        <v>1</v>
      </c>
      <c r="D218" s="1" t="s">
        <v>1180</v>
      </c>
      <c r="E218" s="1">
        <v>3</v>
      </c>
      <c r="F218" s="1">
        <v>0</v>
      </c>
      <c r="G218" s="1">
        <v>0</v>
      </c>
      <c r="H218" s="2">
        <v>1.44E-4</v>
      </c>
      <c r="I218" s="1">
        <v>0</v>
      </c>
      <c r="J218" s="1">
        <v>0</v>
      </c>
      <c r="K218" s="1">
        <v>0.38356637999999998</v>
      </c>
      <c r="L218" s="1">
        <v>0</v>
      </c>
      <c r="M218" s="1">
        <v>0</v>
      </c>
      <c r="N218" s="1">
        <v>3</v>
      </c>
      <c r="O218" s="1">
        <v>0</v>
      </c>
      <c r="P218" s="1">
        <v>0</v>
      </c>
      <c r="Q218" s="3">
        <v>0.14099999999999999</v>
      </c>
      <c r="R218" s="1">
        <v>0</v>
      </c>
      <c r="S218" s="1">
        <v>0</v>
      </c>
    </row>
    <row r="219" spans="1:19" x14ac:dyDescent="0.2">
      <c r="A219" s="1" t="s">
        <v>666</v>
      </c>
      <c r="B219" s="1" t="s">
        <v>667</v>
      </c>
      <c r="C219" s="1">
        <v>1</v>
      </c>
      <c r="D219" s="1" t="s">
        <v>1180</v>
      </c>
      <c r="E219" s="1">
        <v>3</v>
      </c>
      <c r="F219" s="1">
        <v>0</v>
      </c>
      <c r="G219" s="1">
        <v>0</v>
      </c>
      <c r="H219" s="2">
        <v>2.22E-4</v>
      </c>
      <c r="I219" s="1">
        <v>0</v>
      </c>
      <c r="J219" s="1">
        <v>0</v>
      </c>
      <c r="K219" s="1">
        <v>0.17760598999999999</v>
      </c>
      <c r="L219" s="1">
        <v>0</v>
      </c>
      <c r="M219" s="1">
        <v>0</v>
      </c>
      <c r="N219" s="1">
        <v>4</v>
      </c>
      <c r="O219" s="1">
        <v>0</v>
      </c>
      <c r="P219" s="1">
        <v>0</v>
      </c>
      <c r="Q219" s="3">
        <v>7.0999999999999994E-2</v>
      </c>
      <c r="R219" s="1">
        <v>0</v>
      </c>
      <c r="S219" s="1">
        <v>0</v>
      </c>
    </row>
    <row r="220" spans="1:19" x14ac:dyDescent="0.2">
      <c r="A220" s="1" t="s">
        <v>668</v>
      </c>
      <c r="B220" s="1" t="s">
        <v>669</v>
      </c>
      <c r="C220" s="1">
        <v>1</v>
      </c>
      <c r="D220" s="1" t="s">
        <v>1180</v>
      </c>
      <c r="E220" s="1">
        <v>2</v>
      </c>
      <c r="F220" s="1">
        <v>0</v>
      </c>
      <c r="G220" s="1">
        <v>0</v>
      </c>
      <c r="H220" s="2">
        <v>1.0900000000000001E-4</v>
      </c>
      <c r="I220" s="1">
        <v>0</v>
      </c>
      <c r="J220" s="1">
        <v>0</v>
      </c>
      <c r="K220" s="1">
        <v>0.19949937000000001</v>
      </c>
      <c r="L220" s="1">
        <v>0</v>
      </c>
      <c r="M220" s="1">
        <v>0</v>
      </c>
      <c r="N220" s="1">
        <v>2</v>
      </c>
      <c r="O220" s="1">
        <v>0</v>
      </c>
      <c r="P220" s="1">
        <v>0</v>
      </c>
      <c r="Q220" s="3">
        <v>7.9000000000000001E-2</v>
      </c>
      <c r="R220" s="1">
        <v>0</v>
      </c>
      <c r="S220" s="1">
        <v>0</v>
      </c>
    </row>
    <row r="221" spans="1:19" x14ac:dyDescent="0.2">
      <c r="A221" s="1" t="s">
        <v>670</v>
      </c>
      <c r="B221" s="1" t="s">
        <v>671</v>
      </c>
      <c r="C221" s="1">
        <v>1</v>
      </c>
      <c r="D221" s="1" t="s">
        <v>1180</v>
      </c>
      <c r="E221" s="1">
        <v>3</v>
      </c>
      <c r="F221" s="1">
        <v>0</v>
      </c>
      <c r="G221" s="1">
        <v>0</v>
      </c>
      <c r="H221" s="2">
        <v>2.32E-4</v>
      </c>
      <c r="I221" s="1">
        <v>0</v>
      </c>
      <c r="J221" s="1">
        <v>0</v>
      </c>
      <c r="K221" s="1">
        <v>0.16412604</v>
      </c>
      <c r="L221" s="1">
        <v>0</v>
      </c>
      <c r="M221" s="1">
        <v>0</v>
      </c>
      <c r="N221" s="1">
        <v>4</v>
      </c>
      <c r="O221" s="1">
        <v>0</v>
      </c>
      <c r="P221" s="1">
        <v>0</v>
      </c>
      <c r="Q221" s="3">
        <v>6.6000000000000003E-2</v>
      </c>
      <c r="R221" s="1">
        <v>0</v>
      </c>
      <c r="S221" s="1">
        <v>0</v>
      </c>
    </row>
    <row r="222" spans="1:19" x14ac:dyDescent="0.2">
      <c r="A222" s="1" t="s">
        <v>672</v>
      </c>
      <c r="B222" s="1" t="s">
        <v>39</v>
      </c>
      <c r="C222" s="1">
        <v>1</v>
      </c>
      <c r="D222" s="1" t="s">
        <v>1180</v>
      </c>
      <c r="E222" s="1">
        <v>5</v>
      </c>
      <c r="F222" s="1">
        <v>0</v>
      </c>
      <c r="G222" s="1">
        <v>0</v>
      </c>
      <c r="H222" s="2">
        <v>3.9599999999999998E-4</v>
      </c>
      <c r="I222" s="1">
        <v>0</v>
      </c>
      <c r="J222" s="1">
        <v>0</v>
      </c>
      <c r="K222" s="1">
        <v>0.51356124999999997</v>
      </c>
      <c r="L222" s="1">
        <v>0</v>
      </c>
      <c r="M222" s="1">
        <v>0</v>
      </c>
      <c r="N222" s="1">
        <v>5</v>
      </c>
      <c r="O222" s="1">
        <v>0</v>
      </c>
      <c r="P222" s="1">
        <v>0</v>
      </c>
      <c r="Q222" s="3">
        <v>0.18</v>
      </c>
      <c r="R222" s="1">
        <v>0</v>
      </c>
      <c r="S222" s="1">
        <v>0</v>
      </c>
    </row>
    <row r="223" spans="1:19" x14ac:dyDescent="0.2">
      <c r="A223" s="1" t="s">
        <v>673</v>
      </c>
      <c r="B223" s="1" t="s">
        <v>674</v>
      </c>
      <c r="C223" s="1">
        <v>1</v>
      </c>
      <c r="D223" s="1" t="s">
        <v>1180</v>
      </c>
      <c r="E223" s="1">
        <v>2</v>
      </c>
      <c r="F223" s="1">
        <v>0</v>
      </c>
      <c r="G223" s="1">
        <v>0</v>
      </c>
      <c r="H223" s="2">
        <v>6.5400000000000004E-5</v>
      </c>
      <c r="I223" s="1">
        <v>0</v>
      </c>
      <c r="J223" s="1">
        <v>0</v>
      </c>
      <c r="K223" s="1">
        <v>0.1324004</v>
      </c>
      <c r="L223" s="1">
        <v>0</v>
      </c>
      <c r="M223" s="1">
        <v>0</v>
      </c>
      <c r="N223" s="1">
        <v>2</v>
      </c>
      <c r="O223" s="1">
        <v>0</v>
      </c>
      <c r="P223" s="1">
        <v>0</v>
      </c>
      <c r="Q223" s="3">
        <v>5.3999999999999999E-2</v>
      </c>
      <c r="R223" s="1">
        <v>0</v>
      </c>
      <c r="S223" s="1">
        <v>0</v>
      </c>
    </row>
    <row r="224" spans="1:19" x14ac:dyDescent="0.2">
      <c r="A224" s="1" t="s">
        <v>675</v>
      </c>
      <c r="B224" s="1" t="s">
        <v>676</v>
      </c>
      <c r="C224" s="1">
        <v>1</v>
      </c>
      <c r="D224" s="1" t="s">
        <v>1180</v>
      </c>
      <c r="E224" s="1">
        <v>2</v>
      </c>
      <c r="F224" s="1">
        <v>0</v>
      </c>
      <c r="G224" s="1">
        <v>0</v>
      </c>
      <c r="H224" s="2">
        <v>5.8600000000000001E-5</v>
      </c>
      <c r="I224" s="1">
        <v>0</v>
      </c>
      <c r="J224" s="1">
        <v>0</v>
      </c>
      <c r="K224" s="1">
        <v>5.6817529999999998E-2</v>
      </c>
      <c r="L224" s="1">
        <v>0</v>
      </c>
      <c r="M224" s="1">
        <v>0</v>
      </c>
      <c r="N224" s="1">
        <v>2</v>
      </c>
      <c r="O224" s="1">
        <v>0</v>
      </c>
      <c r="P224" s="1">
        <v>0</v>
      </c>
      <c r="Q224" s="3">
        <v>2.4E-2</v>
      </c>
      <c r="R224" s="1">
        <v>0</v>
      </c>
      <c r="S224" s="1">
        <v>0</v>
      </c>
    </row>
    <row r="225" spans="1:19" x14ac:dyDescent="0.2">
      <c r="A225" s="1" t="s">
        <v>677</v>
      </c>
      <c r="B225" s="1" t="s">
        <v>39</v>
      </c>
      <c r="C225" s="1">
        <v>1</v>
      </c>
      <c r="D225" s="1" t="s">
        <v>1180</v>
      </c>
      <c r="E225" s="1">
        <v>3</v>
      </c>
      <c r="F225" s="1">
        <v>0</v>
      </c>
      <c r="G225" s="1">
        <v>0</v>
      </c>
      <c r="H225" s="2">
        <v>2.7099999999999997E-4</v>
      </c>
      <c r="I225" s="1">
        <v>0</v>
      </c>
      <c r="J225" s="1">
        <v>0</v>
      </c>
      <c r="K225" s="1">
        <v>0.11943793</v>
      </c>
      <c r="L225" s="1">
        <v>0</v>
      </c>
      <c r="M225" s="1">
        <v>0</v>
      </c>
      <c r="N225" s="1">
        <v>5</v>
      </c>
      <c r="O225" s="1">
        <v>0</v>
      </c>
      <c r="P225" s="1">
        <v>0</v>
      </c>
      <c r="Q225" s="3">
        <v>4.9000000000000002E-2</v>
      </c>
      <c r="R225" s="1">
        <v>0</v>
      </c>
      <c r="S225" s="1">
        <v>0</v>
      </c>
    </row>
    <row r="226" spans="1:19" x14ac:dyDescent="0.2">
      <c r="A226" s="1" t="s">
        <v>678</v>
      </c>
      <c r="B226" s="1" t="s">
        <v>679</v>
      </c>
      <c r="C226" s="1">
        <v>1</v>
      </c>
      <c r="D226" s="1" t="s">
        <v>1180</v>
      </c>
      <c r="E226" s="1">
        <v>2</v>
      </c>
      <c r="F226" s="1">
        <v>0</v>
      </c>
      <c r="G226" s="1">
        <v>0</v>
      </c>
      <c r="H226" s="2">
        <v>9.3499999999999996E-5</v>
      </c>
      <c r="I226" s="1">
        <v>0</v>
      </c>
      <c r="J226" s="1">
        <v>0</v>
      </c>
      <c r="K226" s="1">
        <v>0.10153925</v>
      </c>
      <c r="L226" s="1">
        <v>0</v>
      </c>
      <c r="M226" s="1">
        <v>0</v>
      </c>
      <c r="N226" s="1">
        <v>2</v>
      </c>
      <c r="O226" s="1">
        <v>0</v>
      </c>
      <c r="P226" s="1">
        <v>0</v>
      </c>
      <c r="Q226" s="3">
        <v>4.2000000000000003E-2</v>
      </c>
      <c r="R226" s="1">
        <v>0</v>
      </c>
      <c r="S226" s="1">
        <v>0</v>
      </c>
    </row>
    <row r="227" spans="1:19" x14ac:dyDescent="0.2">
      <c r="A227" s="1" t="s">
        <v>680</v>
      </c>
      <c r="B227" s="1" t="s">
        <v>681</v>
      </c>
      <c r="C227" s="1">
        <v>1</v>
      </c>
      <c r="D227" s="1" t="s">
        <v>1180</v>
      </c>
      <c r="E227" s="1">
        <v>3</v>
      </c>
      <c r="F227" s="1">
        <v>0</v>
      </c>
      <c r="G227" s="1">
        <v>0</v>
      </c>
      <c r="H227" s="2">
        <v>3.5799999999999997E-4</v>
      </c>
      <c r="I227" s="1">
        <v>0</v>
      </c>
      <c r="J227" s="1">
        <v>0</v>
      </c>
      <c r="K227" s="1">
        <v>0.18032061999999999</v>
      </c>
      <c r="L227" s="1">
        <v>0</v>
      </c>
      <c r="M227" s="1">
        <v>0</v>
      </c>
      <c r="N227" s="1">
        <v>3</v>
      </c>
      <c r="O227" s="1">
        <v>0</v>
      </c>
      <c r="P227" s="1">
        <v>0</v>
      </c>
      <c r="Q227" s="3">
        <v>7.1999999999999995E-2</v>
      </c>
      <c r="R227" s="1">
        <v>0</v>
      </c>
      <c r="S227" s="1">
        <v>0</v>
      </c>
    </row>
    <row r="228" spans="1:19" x14ac:dyDescent="0.2">
      <c r="A228" s="1" t="s">
        <v>682</v>
      </c>
      <c r="B228" s="1" t="s">
        <v>683</v>
      </c>
      <c r="C228" s="1">
        <v>1</v>
      </c>
      <c r="D228" s="1" t="s">
        <v>1180</v>
      </c>
      <c r="E228" s="1">
        <v>2</v>
      </c>
      <c r="F228" s="1">
        <v>0</v>
      </c>
      <c r="G228" s="1">
        <v>0</v>
      </c>
      <c r="H228" s="2">
        <v>2.0000000000000001E-4</v>
      </c>
      <c r="I228" s="1">
        <v>0</v>
      </c>
      <c r="J228" s="1">
        <v>0</v>
      </c>
      <c r="K228" s="1">
        <v>0.17489755000000001</v>
      </c>
      <c r="L228" s="1">
        <v>0</v>
      </c>
      <c r="M228" s="1">
        <v>0</v>
      </c>
      <c r="N228" s="1">
        <v>3</v>
      </c>
      <c r="O228" s="1">
        <v>0</v>
      </c>
      <c r="P228" s="1">
        <v>0</v>
      </c>
      <c r="Q228" s="3">
        <v>7.0000000000000007E-2</v>
      </c>
      <c r="R228" s="1">
        <v>0</v>
      </c>
      <c r="S228" s="1">
        <v>0</v>
      </c>
    </row>
    <row r="229" spans="1:19" x14ac:dyDescent="0.2">
      <c r="A229" s="1" t="s">
        <v>684</v>
      </c>
      <c r="B229" s="1" t="s">
        <v>685</v>
      </c>
      <c r="C229" s="1">
        <v>1</v>
      </c>
      <c r="D229" s="1" t="s">
        <v>1180</v>
      </c>
      <c r="E229" s="1">
        <v>9</v>
      </c>
      <c r="F229" s="1">
        <v>0</v>
      </c>
      <c r="G229" s="1">
        <v>0</v>
      </c>
      <c r="H229" s="2">
        <v>9.5699999999999995E-4</v>
      </c>
      <c r="I229" s="1">
        <v>0</v>
      </c>
      <c r="J229" s="1">
        <v>0</v>
      </c>
      <c r="K229" s="1">
        <v>0.55955242999999999</v>
      </c>
      <c r="L229" s="1">
        <v>0</v>
      </c>
      <c r="M229" s="1">
        <v>0</v>
      </c>
      <c r="N229" s="1">
        <v>18</v>
      </c>
      <c r="O229" s="1">
        <v>0</v>
      </c>
      <c r="P229" s="1">
        <v>0</v>
      </c>
      <c r="Q229" s="3">
        <v>0.193</v>
      </c>
      <c r="R229" s="1">
        <v>0</v>
      </c>
      <c r="S229" s="1">
        <v>0</v>
      </c>
    </row>
    <row r="230" spans="1:19" x14ac:dyDescent="0.2">
      <c r="A230" s="1" t="s">
        <v>686</v>
      </c>
      <c r="B230" s="1" t="s">
        <v>687</v>
      </c>
      <c r="C230" s="1">
        <v>1</v>
      </c>
      <c r="D230" s="1" t="s">
        <v>1180</v>
      </c>
      <c r="E230" s="1">
        <v>4</v>
      </c>
      <c r="F230" s="1">
        <v>0</v>
      </c>
      <c r="G230" s="1">
        <v>0</v>
      </c>
      <c r="H230" s="2">
        <v>2.14E-4</v>
      </c>
      <c r="I230" s="1">
        <v>0</v>
      </c>
      <c r="J230" s="1">
        <v>0</v>
      </c>
      <c r="K230" s="1">
        <v>0.1614486</v>
      </c>
      <c r="L230" s="1">
        <v>0</v>
      </c>
      <c r="M230" s="1">
        <v>0</v>
      </c>
      <c r="N230" s="1">
        <v>8</v>
      </c>
      <c r="O230" s="1">
        <v>0</v>
      </c>
      <c r="P230" s="1">
        <v>0</v>
      </c>
      <c r="Q230" s="3">
        <v>6.5000000000000002E-2</v>
      </c>
      <c r="R230" s="1">
        <v>0</v>
      </c>
      <c r="S230" s="1">
        <v>0</v>
      </c>
    </row>
    <row r="231" spans="1:19" x14ac:dyDescent="0.2">
      <c r="A231" s="1" t="s">
        <v>688</v>
      </c>
      <c r="B231" s="1" t="s">
        <v>689</v>
      </c>
      <c r="C231" s="1">
        <v>1</v>
      </c>
      <c r="D231" s="1" t="s">
        <v>1180</v>
      </c>
      <c r="E231" s="1">
        <v>2</v>
      </c>
      <c r="F231" s="1">
        <v>0</v>
      </c>
      <c r="G231" s="1">
        <v>0</v>
      </c>
      <c r="H231" s="2">
        <v>7.7399999999999998E-5</v>
      </c>
      <c r="I231" s="1">
        <v>0</v>
      </c>
      <c r="J231" s="1">
        <v>0</v>
      </c>
      <c r="K231" s="1">
        <v>0.11429453000000001</v>
      </c>
      <c r="L231" s="1">
        <v>0</v>
      </c>
      <c r="M231" s="1">
        <v>0</v>
      </c>
      <c r="N231" s="1">
        <v>2</v>
      </c>
      <c r="O231" s="1">
        <v>0</v>
      </c>
      <c r="P231" s="1">
        <v>0</v>
      </c>
      <c r="Q231" s="3">
        <v>4.7E-2</v>
      </c>
      <c r="R231" s="1">
        <v>0</v>
      </c>
      <c r="S231" s="1">
        <v>0</v>
      </c>
    </row>
    <row r="232" spans="1:19" x14ac:dyDescent="0.2">
      <c r="A232" s="1" t="s">
        <v>690</v>
      </c>
      <c r="B232" s="1" t="s">
        <v>28</v>
      </c>
      <c r="C232" s="1">
        <v>1</v>
      </c>
      <c r="D232" s="1" t="s">
        <v>1180</v>
      </c>
      <c r="E232" s="1">
        <v>6</v>
      </c>
      <c r="F232" s="1">
        <v>0</v>
      </c>
      <c r="G232" s="1">
        <v>0</v>
      </c>
      <c r="H232" s="2">
        <v>3.86E-4</v>
      </c>
      <c r="I232" s="1">
        <v>0</v>
      </c>
      <c r="J232" s="1">
        <v>0</v>
      </c>
      <c r="K232" s="1">
        <v>0.37720942000000002</v>
      </c>
      <c r="L232" s="1">
        <v>0</v>
      </c>
      <c r="M232" s="1">
        <v>0</v>
      </c>
      <c r="N232" s="1">
        <v>8</v>
      </c>
      <c r="O232" s="1">
        <v>0</v>
      </c>
      <c r="P232" s="1">
        <v>0</v>
      </c>
      <c r="Q232" s="3">
        <v>0.13900000000000001</v>
      </c>
      <c r="R232" s="1">
        <v>0</v>
      </c>
      <c r="S232" s="1">
        <v>0</v>
      </c>
    </row>
    <row r="233" spans="1:19" x14ac:dyDescent="0.2">
      <c r="A233" s="1" t="s">
        <v>691</v>
      </c>
      <c r="B233" s="1" t="s">
        <v>692</v>
      </c>
      <c r="C233" s="1">
        <v>1</v>
      </c>
      <c r="D233" s="1" t="s">
        <v>1180</v>
      </c>
      <c r="E233" s="1">
        <v>7</v>
      </c>
      <c r="F233" s="1">
        <v>0</v>
      </c>
      <c r="G233" s="1">
        <v>0</v>
      </c>
      <c r="H233" s="2">
        <v>5.8600000000000004E-4</v>
      </c>
      <c r="I233" s="1">
        <v>0</v>
      </c>
      <c r="J233" s="1">
        <v>0</v>
      </c>
      <c r="K233" s="1">
        <v>0.7179084</v>
      </c>
      <c r="L233" s="1">
        <v>0</v>
      </c>
      <c r="M233" s="1">
        <v>0</v>
      </c>
      <c r="N233" s="1">
        <v>10</v>
      </c>
      <c r="O233" s="1">
        <v>0</v>
      </c>
      <c r="P233" s="1">
        <v>0</v>
      </c>
      <c r="Q233" s="3">
        <v>0.23499999999999999</v>
      </c>
      <c r="R233" s="1">
        <v>0</v>
      </c>
      <c r="S233" s="1">
        <v>0</v>
      </c>
    </row>
    <row r="234" spans="1:19" x14ac:dyDescent="0.2">
      <c r="A234" s="1" t="s">
        <v>693</v>
      </c>
      <c r="B234" s="1" t="s">
        <v>692</v>
      </c>
      <c r="C234" s="1">
        <v>1</v>
      </c>
      <c r="D234" s="1" t="s">
        <v>1180</v>
      </c>
      <c r="E234" s="1">
        <v>9</v>
      </c>
      <c r="F234" s="1">
        <v>0</v>
      </c>
      <c r="G234" s="1">
        <v>0</v>
      </c>
      <c r="H234" s="2">
        <v>6.0899999999999995E-4</v>
      </c>
      <c r="I234" s="1">
        <v>0</v>
      </c>
      <c r="J234" s="1">
        <v>0</v>
      </c>
      <c r="K234" s="1">
        <v>1.1428905</v>
      </c>
      <c r="L234" s="1">
        <v>0</v>
      </c>
      <c r="M234" s="1">
        <v>0</v>
      </c>
      <c r="N234" s="1">
        <v>11</v>
      </c>
      <c r="O234" s="1">
        <v>0</v>
      </c>
      <c r="P234" s="1">
        <v>0</v>
      </c>
      <c r="Q234" s="3">
        <v>0.33100000000000002</v>
      </c>
      <c r="R234" s="1">
        <v>0</v>
      </c>
      <c r="S234" s="1">
        <v>0</v>
      </c>
    </row>
    <row r="235" spans="1:19" x14ac:dyDescent="0.2">
      <c r="A235" s="1" t="s">
        <v>694</v>
      </c>
      <c r="B235" s="1" t="s">
        <v>695</v>
      </c>
      <c r="C235" s="1">
        <v>1</v>
      </c>
      <c r="D235" s="1" t="s">
        <v>1180</v>
      </c>
      <c r="E235" s="1">
        <v>3</v>
      </c>
      <c r="F235" s="1">
        <v>0</v>
      </c>
      <c r="G235" s="1">
        <v>0</v>
      </c>
      <c r="H235" s="1">
        <v>1.6545500000000001E-3</v>
      </c>
      <c r="I235" s="1">
        <v>0</v>
      </c>
      <c r="J235" s="1">
        <v>0</v>
      </c>
      <c r="K235" s="1">
        <v>0.66724720000000004</v>
      </c>
      <c r="L235" s="1">
        <v>0</v>
      </c>
      <c r="M235" s="1">
        <v>0</v>
      </c>
      <c r="N235" s="1">
        <v>9</v>
      </c>
      <c r="O235" s="1">
        <v>0</v>
      </c>
      <c r="P235" s="1">
        <v>0</v>
      </c>
      <c r="Q235" s="3">
        <v>0.222</v>
      </c>
      <c r="R235" s="1">
        <v>0</v>
      </c>
      <c r="S235" s="1">
        <v>0</v>
      </c>
    </row>
    <row r="236" spans="1:19" x14ac:dyDescent="0.2">
      <c r="A236" s="1" t="s">
        <v>696</v>
      </c>
      <c r="B236" s="1" t="s">
        <v>697</v>
      </c>
      <c r="C236" s="1">
        <v>1</v>
      </c>
      <c r="D236" s="1" t="s">
        <v>1180</v>
      </c>
      <c r="E236" s="1">
        <v>5</v>
      </c>
      <c r="F236" s="1">
        <v>0</v>
      </c>
      <c r="G236" s="1">
        <v>0</v>
      </c>
      <c r="H236" s="2">
        <v>6.2700000000000006E-5</v>
      </c>
      <c r="I236" s="1">
        <v>0</v>
      </c>
      <c r="J236" s="1">
        <v>0</v>
      </c>
      <c r="K236" s="1">
        <v>0.11173176999999999</v>
      </c>
      <c r="L236" s="1">
        <v>0</v>
      </c>
      <c r="M236" s="1">
        <v>0</v>
      </c>
      <c r="N236" s="1">
        <v>5</v>
      </c>
      <c r="O236" s="1">
        <v>0</v>
      </c>
      <c r="P236" s="1">
        <v>0</v>
      </c>
      <c r="Q236" s="3">
        <v>4.5999999999999999E-2</v>
      </c>
      <c r="R236" s="1">
        <v>0</v>
      </c>
      <c r="S236" s="1">
        <v>0</v>
      </c>
    </row>
    <row r="237" spans="1:19" x14ac:dyDescent="0.2">
      <c r="A237" s="1" t="s">
        <v>698</v>
      </c>
      <c r="B237" s="1" t="s">
        <v>699</v>
      </c>
      <c r="C237" s="1">
        <v>1</v>
      </c>
      <c r="D237" s="1" t="s">
        <v>1180</v>
      </c>
      <c r="E237" s="1">
        <v>4</v>
      </c>
      <c r="F237" s="1">
        <v>0</v>
      </c>
      <c r="G237" s="1">
        <v>0</v>
      </c>
      <c r="H237" s="2">
        <v>1.85E-4</v>
      </c>
      <c r="I237" s="1">
        <v>0</v>
      </c>
      <c r="J237" s="1">
        <v>0</v>
      </c>
      <c r="K237" s="1">
        <v>0.15611220000000001</v>
      </c>
      <c r="L237" s="1">
        <v>0</v>
      </c>
      <c r="M237" s="1">
        <v>0</v>
      </c>
      <c r="N237" s="1">
        <v>6</v>
      </c>
      <c r="O237" s="1">
        <v>0</v>
      </c>
      <c r="P237" s="1">
        <v>0</v>
      </c>
      <c r="Q237" s="3">
        <v>6.3E-2</v>
      </c>
      <c r="R237" s="1">
        <v>0</v>
      </c>
      <c r="S237" s="1">
        <v>0</v>
      </c>
    </row>
    <row r="238" spans="1:19" x14ac:dyDescent="0.2">
      <c r="A238" s="1" t="s">
        <v>700</v>
      </c>
      <c r="B238" s="1" t="s">
        <v>701</v>
      </c>
      <c r="C238" s="1">
        <v>1</v>
      </c>
      <c r="D238" s="1" t="s">
        <v>1180</v>
      </c>
      <c r="E238" s="1">
        <v>5</v>
      </c>
      <c r="F238" s="1">
        <v>0</v>
      </c>
      <c r="G238" s="1">
        <v>0</v>
      </c>
      <c r="H238" s="2">
        <v>8.9699999999999998E-5</v>
      </c>
      <c r="I238" s="1">
        <v>0</v>
      </c>
      <c r="J238" s="1">
        <v>0</v>
      </c>
      <c r="K238" s="1">
        <v>0.19398808000000001</v>
      </c>
      <c r="L238" s="1">
        <v>0</v>
      </c>
      <c r="M238" s="1">
        <v>0</v>
      </c>
      <c r="N238" s="1">
        <v>5</v>
      </c>
      <c r="O238" s="1">
        <v>0</v>
      </c>
      <c r="P238" s="1">
        <v>0</v>
      </c>
      <c r="Q238" s="3">
        <v>7.6999999999999999E-2</v>
      </c>
      <c r="R238" s="1">
        <v>0</v>
      </c>
      <c r="S238" s="1">
        <v>0</v>
      </c>
    </row>
    <row r="239" spans="1:19" x14ac:dyDescent="0.2">
      <c r="A239" s="1" t="s">
        <v>702</v>
      </c>
      <c r="B239" s="1" t="s">
        <v>703</v>
      </c>
      <c r="C239" s="1">
        <v>1</v>
      </c>
      <c r="D239" s="1" t="s">
        <v>1180</v>
      </c>
      <c r="E239" s="1">
        <v>2</v>
      </c>
      <c r="F239" s="1">
        <v>0</v>
      </c>
      <c r="G239" s="1">
        <v>0</v>
      </c>
      <c r="H239" s="2">
        <v>1.15E-4</v>
      </c>
      <c r="I239" s="1">
        <v>0</v>
      </c>
      <c r="J239" s="1">
        <v>0</v>
      </c>
      <c r="K239" s="1">
        <v>0.12719749999999999</v>
      </c>
      <c r="L239" s="1">
        <v>0</v>
      </c>
      <c r="M239" s="1">
        <v>0</v>
      </c>
      <c r="N239" s="1">
        <v>2</v>
      </c>
      <c r="O239" s="1">
        <v>0</v>
      </c>
      <c r="P239" s="1">
        <v>0</v>
      </c>
      <c r="Q239" s="3">
        <v>5.1999999999999998E-2</v>
      </c>
      <c r="R239" s="1">
        <v>0</v>
      </c>
      <c r="S239" s="1">
        <v>0</v>
      </c>
    </row>
    <row r="240" spans="1:19" x14ac:dyDescent="0.2">
      <c r="A240" s="1" t="s">
        <v>704</v>
      </c>
      <c r="B240" s="1" t="s">
        <v>611</v>
      </c>
      <c r="C240" s="1">
        <v>1</v>
      </c>
      <c r="D240" s="1" t="s">
        <v>1180</v>
      </c>
      <c r="E240" s="1">
        <v>6</v>
      </c>
      <c r="F240" s="1">
        <v>0</v>
      </c>
      <c r="G240" s="1">
        <v>0</v>
      </c>
      <c r="H240" s="2">
        <v>5.4799999999999998E-4</v>
      </c>
      <c r="I240" s="1">
        <v>0</v>
      </c>
      <c r="J240" s="1">
        <v>0</v>
      </c>
      <c r="K240" s="1">
        <v>1.004472</v>
      </c>
      <c r="L240" s="1">
        <v>0</v>
      </c>
      <c r="M240" s="1">
        <v>0</v>
      </c>
      <c r="N240" s="1">
        <v>7</v>
      </c>
      <c r="O240" s="1">
        <v>0</v>
      </c>
      <c r="P240" s="1">
        <v>0</v>
      </c>
      <c r="Q240" s="3">
        <v>0.30199999999999999</v>
      </c>
      <c r="R240" s="1">
        <v>0</v>
      </c>
      <c r="S240" s="1">
        <v>0</v>
      </c>
    </row>
    <row r="241" spans="1:19" x14ac:dyDescent="0.2">
      <c r="A241" s="1" t="s">
        <v>705</v>
      </c>
      <c r="B241" s="1" t="s">
        <v>245</v>
      </c>
      <c r="C241" s="1">
        <v>1</v>
      </c>
      <c r="D241" s="1" t="s">
        <v>1180</v>
      </c>
      <c r="E241" s="1">
        <v>5</v>
      </c>
      <c r="F241" s="1">
        <v>0</v>
      </c>
      <c r="G241" s="1">
        <v>0</v>
      </c>
      <c r="H241" s="2">
        <v>4.3800000000000002E-4</v>
      </c>
      <c r="I241" s="1">
        <v>0</v>
      </c>
      <c r="J241" s="1">
        <v>0</v>
      </c>
      <c r="K241" s="1">
        <v>0.27643883000000002</v>
      </c>
      <c r="L241" s="1">
        <v>0</v>
      </c>
      <c r="M241" s="1">
        <v>0</v>
      </c>
      <c r="N241" s="1">
        <v>10</v>
      </c>
      <c r="O241" s="1">
        <v>0</v>
      </c>
      <c r="P241" s="1">
        <v>0</v>
      </c>
      <c r="Q241" s="3">
        <v>0.106</v>
      </c>
      <c r="R241" s="1">
        <v>0</v>
      </c>
      <c r="S241" s="1">
        <v>0</v>
      </c>
    </row>
    <row r="242" spans="1:19" x14ac:dyDescent="0.2">
      <c r="A242" s="1" t="s">
        <v>706</v>
      </c>
      <c r="B242" s="1" t="s">
        <v>245</v>
      </c>
      <c r="C242" s="1">
        <v>1</v>
      </c>
      <c r="D242" s="1" t="s">
        <v>1180</v>
      </c>
      <c r="E242" s="1">
        <v>3</v>
      </c>
      <c r="F242" s="1">
        <v>0</v>
      </c>
      <c r="G242" s="1">
        <v>0</v>
      </c>
      <c r="H242" s="1">
        <v>1.2913600000000001E-3</v>
      </c>
      <c r="I242" s="1">
        <v>0</v>
      </c>
      <c r="J242" s="1">
        <v>0</v>
      </c>
      <c r="K242" s="1">
        <v>0.39958726999999999</v>
      </c>
      <c r="L242" s="1">
        <v>0</v>
      </c>
      <c r="M242" s="1">
        <v>0</v>
      </c>
      <c r="N242" s="1">
        <v>8</v>
      </c>
      <c r="O242" s="1">
        <v>0</v>
      </c>
      <c r="P242" s="1">
        <v>0</v>
      </c>
      <c r="Q242" s="3">
        <v>0.14599999999999999</v>
      </c>
      <c r="R242" s="1">
        <v>0</v>
      </c>
      <c r="S242" s="1">
        <v>0</v>
      </c>
    </row>
    <row r="243" spans="1:19" x14ac:dyDescent="0.2">
      <c r="A243" s="1" t="s">
        <v>707</v>
      </c>
      <c r="B243" s="1" t="s">
        <v>708</v>
      </c>
      <c r="C243" s="1">
        <v>1</v>
      </c>
      <c r="D243" s="1" t="s">
        <v>1180</v>
      </c>
      <c r="E243" s="1">
        <v>4</v>
      </c>
      <c r="F243" s="1">
        <v>0</v>
      </c>
      <c r="G243" s="1">
        <v>0</v>
      </c>
      <c r="H243" s="2">
        <v>4.86E-4</v>
      </c>
      <c r="I243" s="1">
        <v>0</v>
      </c>
      <c r="J243" s="1">
        <v>0</v>
      </c>
      <c r="K243" s="1">
        <v>0.88364909999999997</v>
      </c>
      <c r="L243" s="1">
        <v>0</v>
      </c>
      <c r="M243" s="1">
        <v>0</v>
      </c>
      <c r="N243" s="1">
        <v>4</v>
      </c>
      <c r="O243" s="1">
        <v>0</v>
      </c>
      <c r="P243" s="1">
        <v>0</v>
      </c>
      <c r="Q243" s="3">
        <v>0.27500000000000002</v>
      </c>
      <c r="R243" s="1">
        <v>0</v>
      </c>
      <c r="S243" s="1">
        <v>0</v>
      </c>
    </row>
    <row r="244" spans="1:19" x14ac:dyDescent="0.2">
      <c r="A244" s="1" t="s">
        <v>709</v>
      </c>
      <c r="B244" s="1" t="s">
        <v>710</v>
      </c>
      <c r="C244" s="1">
        <v>1</v>
      </c>
      <c r="D244" s="1" t="s">
        <v>1180</v>
      </c>
      <c r="E244" s="1">
        <v>5</v>
      </c>
      <c r="F244" s="1">
        <v>0</v>
      </c>
      <c r="G244" s="1">
        <v>0</v>
      </c>
      <c r="H244" s="2">
        <v>3.9199999999999999E-4</v>
      </c>
      <c r="I244" s="1">
        <v>0</v>
      </c>
      <c r="J244" s="1">
        <v>0</v>
      </c>
      <c r="K244" s="1">
        <v>1.3280913999999999</v>
      </c>
      <c r="L244" s="1">
        <v>0</v>
      </c>
      <c r="M244" s="1">
        <v>0</v>
      </c>
      <c r="N244" s="1">
        <v>5</v>
      </c>
      <c r="O244" s="1">
        <v>0</v>
      </c>
      <c r="P244" s="1">
        <v>0</v>
      </c>
      <c r="Q244" s="3">
        <v>0.36699999999999999</v>
      </c>
      <c r="R244" s="1">
        <v>0</v>
      </c>
      <c r="S244" s="1">
        <v>0</v>
      </c>
    </row>
    <row r="245" spans="1:19" x14ac:dyDescent="0.2">
      <c r="A245" s="1" t="s">
        <v>711</v>
      </c>
      <c r="B245" s="1" t="s">
        <v>712</v>
      </c>
      <c r="C245" s="1">
        <v>1</v>
      </c>
      <c r="D245" s="1" t="s">
        <v>1180</v>
      </c>
      <c r="E245" s="1">
        <v>3</v>
      </c>
      <c r="F245" s="1">
        <v>0</v>
      </c>
      <c r="G245" s="1">
        <v>0</v>
      </c>
      <c r="H245" s="2">
        <v>2.8800000000000001E-4</v>
      </c>
      <c r="I245" s="1">
        <v>0</v>
      </c>
      <c r="J245" s="1">
        <v>0</v>
      </c>
      <c r="K245" s="1">
        <v>0.30617094</v>
      </c>
      <c r="L245" s="1">
        <v>0</v>
      </c>
      <c r="M245" s="1">
        <v>0</v>
      </c>
      <c r="N245" s="1">
        <v>3</v>
      </c>
      <c r="O245" s="1">
        <v>0</v>
      </c>
      <c r="P245" s="1">
        <v>0</v>
      </c>
      <c r="Q245" s="3">
        <v>0.11600000000000001</v>
      </c>
      <c r="R245" s="1">
        <v>0</v>
      </c>
      <c r="S245" s="1">
        <v>0</v>
      </c>
    </row>
    <row r="246" spans="1:19" x14ac:dyDescent="0.2">
      <c r="A246" s="1" t="s">
        <v>713</v>
      </c>
      <c r="B246" s="1" t="s">
        <v>84</v>
      </c>
      <c r="C246" s="1">
        <v>1</v>
      </c>
      <c r="D246" s="1" t="s">
        <v>1180</v>
      </c>
      <c r="E246" s="1">
        <v>12</v>
      </c>
      <c r="F246" s="1">
        <v>0</v>
      </c>
      <c r="G246" s="1">
        <v>0</v>
      </c>
      <c r="H246" s="1">
        <v>5.2421500000000001E-3</v>
      </c>
      <c r="I246" s="1">
        <v>0</v>
      </c>
      <c r="J246" s="1">
        <v>0</v>
      </c>
      <c r="K246" s="1">
        <v>1.8510184000000001</v>
      </c>
      <c r="L246" s="1">
        <v>0</v>
      </c>
      <c r="M246" s="1">
        <v>0</v>
      </c>
      <c r="N246" s="1">
        <v>40</v>
      </c>
      <c r="O246" s="1">
        <v>0</v>
      </c>
      <c r="P246" s="1">
        <v>0</v>
      </c>
      <c r="Q246" s="3">
        <v>0.45500000000000002</v>
      </c>
      <c r="R246" s="1">
        <v>0</v>
      </c>
      <c r="S246" s="1">
        <v>0</v>
      </c>
    </row>
    <row r="247" spans="1:19" x14ac:dyDescent="0.2">
      <c r="A247" s="1" t="s">
        <v>714</v>
      </c>
      <c r="B247" s="1" t="s">
        <v>39</v>
      </c>
      <c r="C247" s="1">
        <v>1</v>
      </c>
      <c r="D247" s="1" t="s">
        <v>1180</v>
      </c>
      <c r="E247" s="1">
        <v>6</v>
      </c>
      <c r="F247" s="1">
        <v>0</v>
      </c>
      <c r="G247" s="1">
        <v>0</v>
      </c>
      <c r="H247" s="1">
        <v>1.8909199999999999E-3</v>
      </c>
      <c r="I247" s="1">
        <v>0</v>
      </c>
      <c r="J247" s="1">
        <v>0</v>
      </c>
      <c r="K247" s="1">
        <v>0.47231244999999999</v>
      </c>
      <c r="L247" s="1">
        <v>0</v>
      </c>
      <c r="M247" s="1">
        <v>0</v>
      </c>
      <c r="N247" s="1">
        <v>17</v>
      </c>
      <c r="O247" s="1">
        <v>0</v>
      </c>
      <c r="P247" s="1">
        <v>0</v>
      </c>
      <c r="Q247" s="3">
        <v>0.16800000000000001</v>
      </c>
      <c r="R247" s="1">
        <v>0</v>
      </c>
      <c r="S247" s="1">
        <v>0</v>
      </c>
    </row>
    <row r="248" spans="1:19" x14ac:dyDescent="0.2">
      <c r="A248" s="1" t="s">
        <v>715</v>
      </c>
      <c r="B248" s="1" t="s">
        <v>716</v>
      </c>
      <c r="C248" s="1">
        <v>1</v>
      </c>
      <c r="D248" s="1" t="s">
        <v>1180</v>
      </c>
      <c r="E248" s="1">
        <v>2</v>
      </c>
      <c r="F248" s="1">
        <v>0</v>
      </c>
      <c r="G248" s="1">
        <v>0</v>
      </c>
      <c r="H248" s="2">
        <v>2.1699999999999999E-4</v>
      </c>
      <c r="I248" s="1">
        <v>0</v>
      </c>
      <c r="J248" s="1">
        <v>0</v>
      </c>
      <c r="K248" s="1">
        <v>0.23026884</v>
      </c>
      <c r="L248" s="1">
        <v>0</v>
      </c>
      <c r="M248" s="1">
        <v>0</v>
      </c>
      <c r="N248" s="1">
        <v>2</v>
      </c>
      <c r="O248" s="1">
        <v>0</v>
      </c>
      <c r="P248" s="1">
        <v>0</v>
      </c>
      <c r="Q248" s="3">
        <v>0.09</v>
      </c>
      <c r="R248" s="1">
        <v>0</v>
      </c>
      <c r="S248" s="1">
        <v>0</v>
      </c>
    </row>
    <row r="249" spans="1:19" x14ac:dyDescent="0.2">
      <c r="A249" s="1" t="s">
        <v>717</v>
      </c>
      <c r="B249" s="1" t="s">
        <v>718</v>
      </c>
      <c r="C249" s="1">
        <v>1</v>
      </c>
      <c r="D249" s="1" t="s">
        <v>1180</v>
      </c>
      <c r="E249" s="1">
        <v>3</v>
      </c>
      <c r="F249" s="1">
        <v>0</v>
      </c>
      <c r="G249" s="1">
        <v>0</v>
      </c>
      <c r="H249" s="2">
        <v>1.21E-4</v>
      </c>
      <c r="I249" s="1">
        <v>0</v>
      </c>
      <c r="J249" s="1">
        <v>0</v>
      </c>
      <c r="K249" s="1">
        <v>4.9542429999999998E-2</v>
      </c>
      <c r="L249" s="1">
        <v>0</v>
      </c>
      <c r="M249" s="1">
        <v>0</v>
      </c>
      <c r="N249" s="1">
        <v>6</v>
      </c>
      <c r="O249" s="1">
        <v>0</v>
      </c>
      <c r="P249" s="1">
        <v>0</v>
      </c>
      <c r="Q249" s="3">
        <v>2.1000000000000001E-2</v>
      </c>
      <c r="R249" s="1">
        <v>0</v>
      </c>
      <c r="S249" s="1">
        <v>0</v>
      </c>
    </row>
    <row r="250" spans="1:19" x14ac:dyDescent="0.2">
      <c r="A250" s="1" t="s">
        <v>719</v>
      </c>
      <c r="B250" s="1" t="s">
        <v>720</v>
      </c>
      <c r="C250" s="1">
        <v>1</v>
      </c>
      <c r="D250" s="1" t="s">
        <v>1180</v>
      </c>
      <c r="E250" s="1">
        <v>2</v>
      </c>
      <c r="F250" s="1">
        <v>0</v>
      </c>
      <c r="G250" s="1">
        <v>0</v>
      </c>
      <c r="H250" s="2">
        <v>1.07E-4</v>
      </c>
      <c r="I250" s="1">
        <v>0</v>
      </c>
      <c r="J250" s="1">
        <v>0</v>
      </c>
      <c r="K250" s="1">
        <v>0.36144470000000001</v>
      </c>
      <c r="L250" s="1">
        <v>0</v>
      </c>
      <c r="M250" s="1">
        <v>0</v>
      </c>
      <c r="N250" s="1">
        <v>2</v>
      </c>
      <c r="O250" s="1">
        <v>0</v>
      </c>
      <c r="P250" s="1">
        <v>0</v>
      </c>
      <c r="Q250" s="3">
        <v>0.13400000000000001</v>
      </c>
      <c r="R250" s="1">
        <v>0</v>
      </c>
      <c r="S250" s="1">
        <v>0</v>
      </c>
    </row>
    <row r="251" spans="1:19" x14ac:dyDescent="0.2">
      <c r="A251" s="1" t="s">
        <v>721</v>
      </c>
      <c r="B251" s="1" t="s">
        <v>722</v>
      </c>
      <c r="C251" s="1">
        <v>1</v>
      </c>
      <c r="D251" s="1" t="s">
        <v>1180</v>
      </c>
      <c r="E251" s="1">
        <v>2</v>
      </c>
      <c r="F251" s="1">
        <v>0</v>
      </c>
      <c r="G251" s="1">
        <v>0</v>
      </c>
      <c r="H251" s="2">
        <v>2.6200000000000003E-4</v>
      </c>
      <c r="I251" s="1">
        <v>0</v>
      </c>
      <c r="J251" s="1">
        <v>0</v>
      </c>
      <c r="K251" s="1">
        <v>0.34586035999999998</v>
      </c>
      <c r="L251" s="1">
        <v>0</v>
      </c>
      <c r="M251" s="1">
        <v>0</v>
      </c>
      <c r="N251" s="1">
        <v>2</v>
      </c>
      <c r="O251" s="1">
        <v>0</v>
      </c>
      <c r="P251" s="1">
        <v>0</v>
      </c>
      <c r="Q251" s="3">
        <v>0.129</v>
      </c>
      <c r="R251" s="1">
        <v>0</v>
      </c>
      <c r="S251" s="1">
        <v>0</v>
      </c>
    </row>
    <row r="252" spans="1:19" x14ac:dyDescent="0.2">
      <c r="A252" s="1" t="s">
        <v>723</v>
      </c>
      <c r="B252" s="1" t="s">
        <v>611</v>
      </c>
      <c r="C252" s="1">
        <v>1</v>
      </c>
      <c r="D252" s="1" t="s">
        <v>1180</v>
      </c>
      <c r="E252" s="1">
        <v>11</v>
      </c>
      <c r="F252" s="1">
        <v>0</v>
      </c>
      <c r="G252" s="1">
        <v>0</v>
      </c>
      <c r="H252" s="1">
        <v>1.5643E-3</v>
      </c>
      <c r="I252" s="1">
        <v>0</v>
      </c>
      <c r="J252" s="1">
        <v>0</v>
      </c>
      <c r="K252" s="1">
        <v>0.77827939999999995</v>
      </c>
      <c r="L252" s="1">
        <v>0</v>
      </c>
      <c r="M252" s="1">
        <v>0</v>
      </c>
      <c r="N252" s="1">
        <v>26</v>
      </c>
      <c r="O252" s="1">
        <v>0</v>
      </c>
      <c r="P252" s="1">
        <v>0</v>
      </c>
      <c r="Q252" s="3">
        <v>0.25</v>
      </c>
      <c r="R252" s="1">
        <v>0</v>
      </c>
      <c r="S252" s="1">
        <v>0</v>
      </c>
    </row>
    <row r="253" spans="1:19" x14ac:dyDescent="0.2">
      <c r="A253" s="1" t="s">
        <v>724</v>
      </c>
      <c r="B253" s="1" t="s">
        <v>39</v>
      </c>
      <c r="C253" s="1">
        <v>1</v>
      </c>
      <c r="D253" s="1" t="s">
        <v>1180</v>
      </c>
      <c r="E253" s="1">
        <v>2</v>
      </c>
      <c r="F253" s="1">
        <v>0</v>
      </c>
      <c r="G253" s="1">
        <v>0</v>
      </c>
      <c r="H253" s="2">
        <v>4.0499999999999998E-4</v>
      </c>
      <c r="I253" s="1">
        <v>0</v>
      </c>
      <c r="J253" s="1">
        <v>0</v>
      </c>
      <c r="K253" s="1">
        <v>0.17489755000000001</v>
      </c>
      <c r="L253" s="1">
        <v>0</v>
      </c>
      <c r="M253" s="1">
        <v>0</v>
      </c>
      <c r="N253" s="1">
        <v>7</v>
      </c>
      <c r="O253" s="1">
        <v>0</v>
      </c>
      <c r="P253" s="1">
        <v>0</v>
      </c>
      <c r="Q253" s="3">
        <v>7.0000000000000007E-2</v>
      </c>
      <c r="R253" s="1">
        <v>0</v>
      </c>
      <c r="S253" s="1">
        <v>0</v>
      </c>
    </row>
    <row r="254" spans="1:19" x14ac:dyDescent="0.2">
      <c r="A254" s="1" t="s">
        <v>725</v>
      </c>
      <c r="B254" s="1" t="s">
        <v>726</v>
      </c>
      <c r="C254" s="1">
        <v>1</v>
      </c>
      <c r="D254" s="1" t="s">
        <v>1180</v>
      </c>
      <c r="E254" s="1">
        <v>6</v>
      </c>
      <c r="F254" s="1">
        <v>0</v>
      </c>
      <c r="G254" s="1">
        <v>0</v>
      </c>
      <c r="H254" s="2">
        <v>3.3300000000000002E-4</v>
      </c>
      <c r="I254" s="1">
        <v>0</v>
      </c>
      <c r="J254" s="1">
        <v>0</v>
      </c>
      <c r="K254" s="1">
        <v>0.25314115999999998</v>
      </c>
      <c r="L254" s="1">
        <v>0</v>
      </c>
      <c r="M254" s="1">
        <v>0</v>
      </c>
      <c r="N254" s="1">
        <v>9</v>
      </c>
      <c r="O254" s="1">
        <v>0</v>
      </c>
      <c r="P254" s="1">
        <v>0</v>
      </c>
      <c r="Q254" s="3">
        <v>9.8000000000000004E-2</v>
      </c>
      <c r="R254" s="1">
        <v>0</v>
      </c>
      <c r="S254" s="1">
        <v>0</v>
      </c>
    </row>
    <row r="255" spans="1:19" x14ac:dyDescent="0.2">
      <c r="A255" s="1" t="s">
        <v>727</v>
      </c>
      <c r="B255" s="1" t="s">
        <v>728</v>
      </c>
      <c r="C255" s="1">
        <v>1</v>
      </c>
      <c r="D255" s="1" t="s">
        <v>1180</v>
      </c>
      <c r="E255" s="1">
        <v>29</v>
      </c>
      <c r="F255" s="1">
        <v>0</v>
      </c>
      <c r="G255" s="1">
        <v>0</v>
      </c>
      <c r="H255" s="1">
        <v>3.7907100000000001E-3</v>
      </c>
      <c r="I255" s="1">
        <v>0</v>
      </c>
      <c r="J255" s="1">
        <v>0</v>
      </c>
      <c r="K255" s="1">
        <v>2.775722</v>
      </c>
      <c r="L255" s="1">
        <v>0</v>
      </c>
      <c r="M255" s="1">
        <v>0</v>
      </c>
      <c r="N255" s="1">
        <v>61</v>
      </c>
      <c r="O255" s="1">
        <v>0</v>
      </c>
      <c r="P255" s="1">
        <v>0</v>
      </c>
      <c r="Q255" s="3">
        <v>0.57699999999999996</v>
      </c>
      <c r="R255" s="1">
        <v>0</v>
      </c>
      <c r="S255" s="1">
        <v>0</v>
      </c>
    </row>
    <row r="256" spans="1:19" x14ac:dyDescent="0.2">
      <c r="A256" s="1" t="s">
        <v>729</v>
      </c>
      <c r="B256" s="1" t="s">
        <v>730</v>
      </c>
      <c r="C256" s="1">
        <v>1</v>
      </c>
      <c r="D256" s="1" t="s">
        <v>1180</v>
      </c>
      <c r="E256" s="1">
        <v>3</v>
      </c>
      <c r="F256" s="1">
        <v>0</v>
      </c>
      <c r="G256" s="1">
        <v>0</v>
      </c>
      <c r="H256" s="2">
        <v>4.8999999999999998E-4</v>
      </c>
      <c r="I256" s="1">
        <v>0</v>
      </c>
      <c r="J256" s="1">
        <v>0</v>
      </c>
      <c r="K256" s="1">
        <v>0.29121923</v>
      </c>
      <c r="L256" s="1">
        <v>0</v>
      </c>
      <c r="M256" s="1">
        <v>0</v>
      </c>
      <c r="N256" s="1">
        <v>3</v>
      </c>
      <c r="O256" s="1">
        <v>0</v>
      </c>
      <c r="P256" s="1">
        <v>0</v>
      </c>
      <c r="Q256" s="3">
        <v>0.111</v>
      </c>
      <c r="R256" s="1">
        <v>0</v>
      </c>
      <c r="S256" s="1">
        <v>0</v>
      </c>
    </row>
    <row r="257" spans="1:19" x14ac:dyDescent="0.2">
      <c r="A257" s="1" t="s">
        <v>731</v>
      </c>
      <c r="B257" s="1" t="s">
        <v>732</v>
      </c>
      <c r="C257" s="1">
        <v>1</v>
      </c>
      <c r="D257" s="1" t="s">
        <v>1180</v>
      </c>
      <c r="E257" s="1">
        <v>2</v>
      </c>
      <c r="F257" s="1">
        <v>0</v>
      </c>
      <c r="G257" s="1">
        <v>0</v>
      </c>
      <c r="H257" s="2">
        <v>5.0399999999999999E-5</v>
      </c>
      <c r="I257" s="1">
        <v>0</v>
      </c>
      <c r="J257" s="1">
        <v>0</v>
      </c>
      <c r="K257" s="1">
        <v>6.6596150000000007E-2</v>
      </c>
      <c r="L257" s="1">
        <v>0</v>
      </c>
      <c r="M257" s="1">
        <v>0</v>
      </c>
      <c r="N257" s="1">
        <v>3</v>
      </c>
      <c r="O257" s="1">
        <v>0</v>
      </c>
      <c r="P257" s="1">
        <v>0</v>
      </c>
      <c r="Q257" s="3">
        <v>2.8000000000000001E-2</v>
      </c>
      <c r="R257" s="1">
        <v>0</v>
      </c>
      <c r="S257" s="1">
        <v>0</v>
      </c>
    </row>
    <row r="258" spans="1:19" x14ac:dyDescent="0.2">
      <c r="A258" s="1" t="s">
        <v>733</v>
      </c>
      <c r="B258" s="1" t="s">
        <v>25</v>
      </c>
      <c r="C258" s="1">
        <v>1</v>
      </c>
      <c r="D258" s="1" t="s">
        <v>1180</v>
      </c>
      <c r="E258" s="1">
        <v>3</v>
      </c>
      <c r="F258" s="1">
        <v>0</v>
      </c>
      <c r="G258" s="1">
        <v>0</v>
      </c>
      <c r="H258" s="2">
        <v>1.4100000000000001E-4</v>
      </c>
      <c r="I258" s="1">
        <v>0</v>
      </c>
      <c r="J258" s="1">
        <v>0</v>
      </c>
      <c r="K258" s="1">
        <v>0.20781385999999999</v>
      </c>
      <c r="L258" s="1">
        <v>0</v>
      </c>
      <c r="M258" s="1">
        <v>0</v>
      </c>
      <c r="N258" s="1">
        <v>3</v>
      </c>
      <c r="O258" s="1">
        <v>0</v>
      </c>
      <c r="P258" s="1">
        <v>0</v>
      </c>
      <c r="Q258" s="3">
        <v>8.2000000000000003E-2</v>
      </c>
      <c r="R258" s="1">
        <v>0</v>
      </c>
      <c r="S258" s="1">
        <v>0</v>
      </c>
    </row>
    <row r="259" spans="1:19" x14ac:dyDescent="0.2">
      <c r="A259" s="1" t="s">
        <v>734</v>
      </c>
      <c r="B259" s="1" t="s">
        <v>735</v>
      </c>
      <c r="C259" s="1">
        <v>1</v>
      </c>
      <c r="D259" s="1" t="s">
        <v>1180</v>
      </c>
      <c r="E259" s="1">
        <v>3</v>
      </c>
      <c r="F259" s="1">
        <v>0</v>
      </c>
      <c r="G259" s="1">
        <v>0</v>
      </c>
      <c r="H259" s="2">
        <v>9.0200000000000002E-4</v>
      </c>
      <c r="I259" s="1">
        <v>0</v>
      </c>
      <c r="J259" s="1">
        <v>0</v>
      </c>
      <c r="K259" s="1">
        <v>3.5603695000000002</v>
      </c>
      <c r="L259" s="1">
        <v>0</v>
      </c>
      <c r="M259" s="1">
        <v>0</v>
      </c>
      <c r="N259" s="1">
        <v>3</v>
      </c>
      <c r="O259" s="1">
        <v>0</v>
      </c>
      <c r="P259" s="1">
        <v>0</v>
      </c>
      <c r="Q259" s="3">
        <v>0.65900000000000003</v>
      </c>
      <c r="R259" s="1">
        <v>0</v>
      </c>
      <c r="S259" s="1">
        <v>0</v>
      </c>
    </row>
    <row r="260" spans="1:19" x14ac:dyDescent="0.2">
      <c r="A260" s="1" t="s">
        <v>736</v>
      </c>
      <c r="B260" s="1" t="s">
        <v>737</v>
      </c>
      <c r="C260" s="1">
        <v>1</v>
      </c>
      <c r="D260" s="1" t="s">
        <v>1180</v>
      </c>
      <c r="E260" s="1">
        <v>3</v>
      </c>
      <c r="F260" s="1">
        <v>0</v>
      </c>
      <c r="G260" s="1">
        <v>0</v>
      </c>
      <c r="H260" s="2">
        <v>4.3800000000000002E-4</v>
      </c>
      <c r="I260" s="1">
        <v>0</v>
      </c>
      <c r="J260" s="1">
        <v>0</v>
      </c>
      <c r="K260" s="1">
        <v>0.30617094</v>
      </c>
      <c r="L260" s="1">
        <v>0</v>
      </c>
      <c r="M260" s="1">
        <v>0</v>
      </c>
      <c r="N260" s="1">
        <v>4</v>
      </c>
      <c r="O260" s="1">
        <v>0</v>
      </c>
      <c r="P260" s="1">
        <v>0</v>
      </c>
      <c r="Q260" s="3">
        <v>0.11600000000000001</v>
      </c>
      <c r="R260" s="1">
        <v>0</v>
      </c>
      <c r="S260" s="1">
        <v>0</v>
      </c>
    </row>
    <row r="261" spans="1:19" x14ac:dyDescent="0.2">
      <c r="A261" s="1" t="s">
        <v>738</v>
      </c>
      <c r="B261" s="1" t="s">
        <v>739</v>
      </c>
      <c r="C261" s="1">
        <v>1</v>
      </c>
      <c r="D261" s="1" t="s">
        <v>1180</v>
      </c>
      <c r="E261" s="1">
        <v>4</v>
      </c>
      <c r="F261" s="1">
        <v>0</v>
      </c>
      <c r="G261" s="1">
        <v>0</v>
      </c>
      <c r="H261" s="2">
        <v>3.6299999999999999E-4</v>
      </c>
      <c r="I261" s="1">
        <v>0</v>
      </c>
      <c r="J261" s="1">
        <v>0</v>
      </c>
      <c r="K261" s="1">
        <v>1.032357</v>
      </c>
      <c r="L261" s="1">
        <v>0</v>
      </c>
      <c r="M261" s="1">
        <v>0</v>
      </c>
      <c r="N261" s="1">
        <v>4</v>
      </c>
      <c r="O261" s="1">
        <v>0</v>
      </c>
      <c r="P261" s="1">
        <v>0</v>
      </c>
      <c r="Q261" s="3">
        <v>0.308</v>
      </c>
      <c r="R261" s="1">
        <v>0</v>
      </c>
      <c r="S261" s="1">
        <v>0</v>
      </c>
    </row>
    <row r="262" spans="1:19" x14ac:dyDescent="0.2">
      <c r="A262" s="1" t="s">
        <v>740</v>
      </c>
      <c r="B262" s="1" t="s">
        <v>739</v>
      </c>
      <c r="C262" s="1">
        <v>1</v>
      </c>
      <c r="D262" s="1" t="s">
        <v>1180</v>
      </c>
      <c r="E262" s="1">
        <v>19</v>
      </c>
      <c r="F262" s="1">
        <v>0</v>
      </c>
      <c r="G262" s="1">
        <v>0</v>
      </c>
      <c r="H262" s="1">
        <v>3.4370799999999999E-3</v>
      </c>
      <c r="I262" s="1">
        <v>0</v>
      </c>
      <c r="J262" s="1">
        <v>0</v>
      </c>
      <c r="K262" s="1">
        <v>2.3884413000000002</v>
      </c>
      <c r="L262" s="1">
        <v>0</v>
      </c>
      <c r="M262" s="1">
        <v>0</v>
      </c>
      <c r="N262" s="1">
        <v>47</v>
      </c>
      <c r="O262" s="1">
        <v>0</v>
      </c>
      <c r="P262" s="1">
        <v>0</v>
      </c>
      <c r="Q262" s="3">
        <v>0.53</v>
      </c>
      <c r="R262" s="1">
        <v>0</v>
      </c>
      <c r="S262" s="1">
        <v>0</v>
      </c>
    </row>
    <row r="263" spans="1:19" x14ac:dyDescent="0.2">
      <c r="A263" s="1" t="s">
        <v>741</v>
      </c>
      <c r="B263" s="1" t="s">
        <v>742</v>
      </c>
      <c r="C263" s="1">
        <v>1</v>
      </c>
      <c r="D263" s="1" t="s">
        <v>1180</v>
      </c>
      <c r="E263" s="1">
        <v>26</v>
      </c>
      <c r="F263" s="1">
        <v>0</v>
      </c>
      <c r="G263" s="1">
        <v>0</v>
      </c>
      <c r="H263" s="1">
        <v>1.2819800000000001E-3</v>
      </c>
      <c r="I263" s="1">
        <v>0</v>
      </c>
      <c r="J263" s="1">
        <v>0</v>
      </c>
      <c r="K263" s="1">
        <v>0.89670587000000002</v>
      </c>
      <c r="L263" s="1">
        <v>0</v>
      </c>
      <c r="M263" s="1">
        <v>0</v>
      </c>
      <c r="N263" s="1">
        <v>40</v>
      </c>
      <c r="O263" s="1">
        <v>0</v>
      </c>
      <c r="P263" s="1">
        <v>0</v>
      </c>
      <c r="Q263" s="3">
        <v>0.27800000000000002</v>
      </c>
      <c r="R263" s="1">
        <v>0</v>
      </c>
      <c r="S263" s="1">
        <v>0</v>
      </c>
    </row>
    <row r="264" spans="1:19" x14ac:dyDescent="0.2">
      <c r="A264" s="1" t="s">
        <v>743</v>
      </c>
      <c r="B264" s="1" t="s">
        <v>744</v>
      </c>
      <c r="C264" s="1">
        <v>1</v>
      </c>
      <c r="D264" s="1" t="s">
        <v>1180</v>
      </c>
      <c r="E264" s="1">
        <v>2</v>
      </c>
      <c r="F264" s="1">
        <v>0</v>
      </c>
      <c r="G264" s="1">
        <v>0</v>
      </c>
      <c r="H264" s="2">
        <v>4.4900000000000002E-4</v>
      </c>
      <c r="I264" s="1">
        <v>0</v>
      </c>
      <c r="J264" s="1">
        <v>0</v>
      </c>
      <c r="K264" s="1">
        <v>0.79473364000000002</v>
      </c>
      <c r="L264" s="1">
        <v>0</v>
      </c>
      <c r="M264" s="1">
        <v>0</v>
      </c>
      <c r="N264" s="1">
        <v>2</v>
      </c>
      <c r="O264" s="1">
        <v>0</v>
      </c>
      <c r="P264" s="1">
        <v>0</v>
      </c>
      <c r="Q264" s="3">
        <v>0.254</v>
      </c>
      <c r="R264" s="1">
        <v>0</v>
      </c>
      <c r="S264" s="1">
        <v>0</v>
      </c>
    </row>
    <row r="265" spans="1:19" x14ac:dyDescent="0.2">
      <c r="A265" s="1" t="s">
        <v>745</v>
      </c>
      <c r="B265" s="1" t="s">
        <v>746</v>
      </c>
      <c r="C265" s="1">
        <v>1</v>
      </c>
      <c r="D265" s="1" t="s">
        <v>1180</v>
      </c>
      <c r="E265" s="1">
        <v>3</v>
      </c>
      <c r="F265" s="1">
        <v>0</v>
      </c>
      <c r="G265" s="1">
        <v>0</v>
      </c>
      <c r="H265" s="2">
        <v>1.85E-4</v>
      </c>
      <c r="I265" s="1">
        <v>0</v>
      </c>
      <c r="J265" s="1">
        <v>0</v>
      </c>
      <c r="K265" s="1">
        <v>0.13762724000000001</v>
      </c>
      <c r="L265" s="1">
        <v>0</v>
      </c>
      <c r="M265" s="1">
        <v>0</v>
      </c>
      <c r="N265" s="1">
        <v>5</v>
      </c>
      <c r="O265" s="1">
        <v>0</v>
      </c>
      <c r="P265" s="1">
        <v>0</v>
      </c>
      <c r="Q265" s="3">
        <v>5.6000000000000001E-2</v>
      </c>
      <c r="R265" s="1">
        <v>0</v>
      </c>
      <c r="S265" s="1">
        <v>0</v>
      </c>
    </row>
    <row r="266" spans="1:19" x14ac:dyDescent="0.2">
      <c r="A266" s="1" t="s">
        <v>747</v>
      </c>
      <c r="B266" s="1" t="s">
        <v>302</v>
      </c>
      <c r="C266" s="1">
        <v>1</v>
      </c>
      <c r="D266" s="1" t="s">
        <v>1180</v>
      </c>
      <c r="E266" s="1">
        <v>12</v>
      </c>
      <c r="F266" s="1">
        <v>0</v>
      </c>
      <c r="G266" s="1">
        <v>0</v>
      </c>
      <c r="H266" s="1">
        <v>1.63306E-3</v>
      </c>
      <c r="I266" s="1">
        <v>0</v>
      </c>
      <c r="J266" s="1">
        <v>0</v>
      </c>
      <c r="K266" s="1">
        <v>1.0796967</v>
      </c>
      <c r="L266" s="1">
        <v>0</v>
      </c>
      <c r="M266" s="1">
        <v>0</v>
      </c>
      <c r="N266" s="1">
        <v>19</v>
      </c>
      <c r="O266" s="1">
        <v>0</v>
      </c>
      <c r="P266" s="1">
        <v>0</v>
      </c>
      <c r="Q266" s="3">
        <v>0.318</v>
      </c>
      <c r="R266" s="1">
        <v>0</v>
      </c>
      <c r="S266" s="1">
        <v>0</v>
      </c>
    </row>
    <row r="267" spans="1:19" x14ac:dyDescent="0.2">
      <c r="A267" s="1" t="s">
        <v>748</v>
      </c>
      <c r="B267" s="1" t="s">
        <v>749</v>
      </c>
      <c r="C267" s="1">
        <v>1</v>
      </c>
      <c r="D267" s="1" t="s">
        <v>1180</v>
      </c>
      <c r="E267" s="1">
        <v>4</v>
      </c>
      <c r="F267" s="1">
        <v>0</v>
      </c>
      <c r="G267" s="1">
        <v>0</v>
      </c>
      <c r="H267" s="2">
        <v>1.55E-4</v>
      </c>
      <c r="I267" s="1">
        <v>0</v>
      </c>
      <c r="J267" s="1">
        <v>0</v>
      </c>
      <c r="K267" s="1">
        <v>0.21338879999999999</v>
      </c>
      <c r="L267" s="1">
        <v>0</v>
      </c>
      <c r="M267" s="1">
        <v>0</v>
      </c>
      <c r="N267" s="1">
        <v>5</v>
      </c>
      <c r="O267" s="1">
        <v>0</v>
      </c>
      <c r="P267" s="1">
        <v>0</v>
      </c>
      <c r="Q267" s="3">
        <v>8.4000000000000005E-2</v>
      </c>
      <c r="R267" s="1">
        <v>0</v>
      </c>
      <c r="S267" s="1">
        <v>0</v>
      </c>
    </row>
    <row r="268" spans="1:19" x14ac:dyDescent="0.2">
      <c r="A268" s="1" t="s">
        <v>750</v>
      </c>
      <c r="B268" s="1" t="s">
        <v>751</v>
      </c>
      <c r="C268" s="1">
        <v>1</v>
      </c>
      <c r="D268" s="1" t="s">
        <v>1180</v>
      </c>
      <c r="E268" s="1">
        <v>45</v>
      </c>
      <c r="F268" s="1">
        <v>0</v>
      </c>
      <c r="G268" s="1">
        <v>0</v>
      </c>
      <c r="H268" s="1">
        <v>1.1736699999999999E-3</v>
      </c>
      <c r="I268" s="1">
        <v>0</v>
      </c>
      <c r="J268" s="1">
        <v>0</v>
      </c>
      <c r="K268" s="1">
        <v>1.1577443999999999</v>
      </c>
      <c r="L268" s="1">
        <v>0</v>
      </c>
      <c r="M268" s="1">
        <v>0</v>
      </c>
      <c r="N268" s="1">
        <v>72</v>
      </c>
      <c r="O268" s="1">
        <v>0</v>
      </c>
      <c r="P268" s="1">
        <v>0</v>
      </c>
      <c r="Q268" s="3">
        <v>0.33400000000000002</v>
      </c>
      <c r="R268" s="1">
        <v>0</v>
      </c>
      <c r="S268" s="1">
        <v>0</v>
      </c>
    </row>
    <row r="269" spans="1:19" x14ac:dyDescent="0.2">
      <c r="A269" s="1" t="s">
        <v>752</v>
      </c>
      <c r="B269" s="1" t="s">
        <v>753</v>
      </c>
      <c r="C269" s="1">
        <v>1</v>
      </c>
      <c r="D269" s="1" t="s">
        <v>1180</v>
      </c>
      <c r="E269" s="1">
        <v>4</v>
      </c>
      <c r="F269" s="1">
        <v>0</v>
      </c>
      <c r="G269" s="1">
        <v>0</v>
      </c>
      <c r="H269" s="2">
        <v>6.8199999999999999E-4</v>
      </c>
      <c r="I269" s="1">
        <v>0</v>
      </c>
      <c r="J269" s="1">
        <v>0</v>
      </c>
      <c r="K269" s="1">
        <v>1.2961484999999999</v>
      </c>
      <c r="L269" s="1">
        <v>0</v>
      </c>
      <c r="M269" s="1">
        <v>0</v>
      </c>
      <c r="N269" s="1">
        <v>5</v>
      </c>
      <c r="O269" s="1">
        <v>0</v>
      </c>
      <c r="P269" s="1">
        <v>0</v>
      </c>
      <c r="Q269" s="3">
        <v>0.36099999999999999</v>
      </c>
      <c r="R269" s="1">
        <v>0</v>
      </c>
      <c r="S269" s="1">
        <v>0</v>
      </c>
    </row>
    <row r="270" spans="1:19" x14ac:dyDescent="0.2">
      <c r="A270" s="1" t="s">
        <v>754</v>
      </c>
      <c r="B270" s="1" t="s">
        <v>755</v>
      </c>
      <c r="C270" s="1">
        <v>1</v>
      </c>
      <c r="D270" s="1" t="s">
        <v>1180</v>
      </c>
      <c r="E270" s="1">
        <v>4</v>
      </c>
      <c r="F270" s="1">
        <v>0</v>
      </c>
      <c r="G270" s="1">
        <v>0</v>
      </c>
      <c r="H270" s="2">
        <v>2.4399999999999999E-4</v>
      </c>
      <c r="I270" s="1">
        <v>0</v>
      </c>
      <c r="J270" s="1">
        <v>0</v>
      </c>
      <c r="K270" s="1">
        <v>0.41579378</v>
      </c>
      <c r="L270" s="1">
        <v>0</v>
      </c>
      <c r="M270" s="1">
        <v>0</v>
      </c>
      <c r="N270" s="1">
        <v>6</v>
      </c>
      <c r="O270" s="1">
        <v>0</v>
      </c>
      <c r="P270" s="1">
        <v>0</v>
      </c>
      <c r="Q270" s="3">
        <v>0.151</v>
      </c>
      <c r="R270" s="1">
        <v>0</v>
      </c>
      <c r="S270" s="1">
        <v>0</v>
      </c>
    </row>
    <row r="271" spans="1:19" x14ac:dyDescent="0.2">
      <c r="A271" s="1" t="s">
        <v>756</v>
      </c>
      <c r="B271" s="1" t="s">
        <v>757</v>
      </c>
      <c r="C271" s="1">
        <v>1</v>
      </c>
      <c r="D271" s="1" t="s">
        <v>1180</v>
      </c>
      <c r="E271" s="1">
        <v>5</v>
      </c>
      <c r="F271" s="1">
        <v>0</v>
      </c>
      <c r="G271" s="1">
        <v>0</v>
      </c>
      <c r="H271" s="2">
        <v>1.5899999999999999E-4</v>
      </c>
      <c r="I271" s="1">
        <v>0</v>
      </c>
      <c r="J271" s="1">
        <v>0</v>
      </c>
      <c r="K271" s="1">
        <v>0.18032061999999999</v>
      </c>
      <c r="L271" s="1">
        <v>0</v>
      </c>
      <c r="M271" s="1">
        <v>0</v>
      </c>
      <c r="N271" s="1">
        <v>7</v>
      </c>
      <c r="O271" s="1">
        <v>0</v>
      </c>
      <c r="P271" s="1">
        <v>0</v>
      </c>
      <c r="Q271" s="3">
        <v>7.1999999999999995E-2</v>
      </c>
      <c r="R271" s="1">
        <v>0</v>
      </c>
      <c r="S271" s="1">
        <v>0</v>
      </c>
    </row>
    <row r="272" spans="1:19" x14ac:dyDescent="0.2">
      <c r="A272" s="1" t="s">
        <v>758</v>
      </c>
      <c r="B272" s="1" t="s">
        <v>759</v>
      </c>
      <c r="C272" s="1">
        <v>1</v>
      </c>
      <c r="D272" s="1" t="s">
        <v>1180</v>
      </c>
      <c r="E272" s="1">
        <v>3</v>
      </c>
      <c r="F272" s="1">
        <v>0</v>
      </c>
      <c r="G272" s="1">
        <v>0</v>
      </c>
      <c r="H272" s="2">
        <v>1E-4</v>
      </c>
      <c r="I272" s="1">
        <v>0</v>
      </c>
      <c r="J272" s="1">
        <v>0</v>
      </c>
      <c r="K272" s="1">
        <v>9.1440320000000005E-2</v>
      </c>
      <c r="L272" s="1">
        <v>0</v>
      </c>
      <c r="M272" s="1">
        <v>0</v>
      </c>
      <c r="N272" s="1">
        <v>3</v>
      </c>
      <c r="O272" s="1">
        <v>0</v>
      </c>
      <c r="P272" s="1">
        <v>0</v>
      </c>
      <c r="Q272" s="3">
        <v>3.7999999999999999E-2</v>
      </c>
      <c r="R272" s="1">
        <v>0</v>
      </c>
      <c r="S272" s="1">
        <v>0</v>
      </c>
    </row>
    <row r="273" spans="1:19" x14ac:dyDescent="0.2">
      <c r="A273" s="1" t="s">
        <v>760</v>
      </c>
      <c r="B273" s="1" t="s">
        <v>761</v>
      </c>
      <c r="C273" s="1">
        <v>1</v>
      </c>
      <c r="D273" s="1" t="s">
        <v>1180</v>
      </c>
      <c r="E273" s="1">
        <v>17</v>
      </c>
      <c r="F273" s="1">
        <v>0</v>
      </c>
      <c r="G273" s="1">
        <v>0</v>
      </c>
      <c r="H273" s="2">
        <v>8.9999999999999998E-4</v>
      </c>
      <c r="I273" s="1">
        <v>0</v>
      </c>
      <c r="J273" s="1">
        <v>0</v>
      </c>
      <c r="K273" s="1">
        <v>0.48936105000000002</v>
      </c>
      <c r="L273" s="1">
        <v>0</v>
      </c>
      <c r="M273" s="1">
        <v>0</v>
      </c>
      <c r="N273" s="1">
        <v>24</v>
      </c>
      <c r="O273" s="1">
        <v>0</v>
      </c>
      <c r="P273" s="1">
        <v>0</v>
      </c>
      <c r="Q273" s="3">
        <v>0.17299999999999999</v>
      </c>
      <c r="R273" s="1">
        <v>0</v>
      </c>
      <c r="S273" s="1">
        <v>0</v>
      </c>
    </row>
    <row r="274" spans="1:19" x14ac:dyDescent="0.2">
      <c r="A274" s="1" t="s">
        <v>762</v>
      </c>
      <c r="B274" s="1" t="s">
        <v>763</v>
      </c>
      <c r="C274" s="1">
        <v>1</v>
      </c>
      <c r="D274" s="1" t="s">
        <v>1180</v>
      </c>
      <c r="E274" s="1">
        <v>20</v>
      </c>
      <c r="F274" s="1">
        <v>0</v>
      </c>
      <c r="G274" s="1">
        <v>0</v>
      </c>
      <c r="H274" s="2">
        <v>5.7300000000000005E-4</v>
      </c>
      <c r="I274" s="1">
        <v>0</v>
      </c>
      <c r="J274" s="1">
        <v>0</v>
      </c>
      <c r="K274" s="1">
        <v>0.55596566000000003</v>
      </c>
      <c r="L274" s="1">
        <v>0</v>
      </c>
      <c r="M274" s="1">
        <v>0</v>
      </c>
      <c r="N274" s="1">
        <v>30</v>
      </c>
      <c r="O274" s="1">
        <v>0</v>
      </c>
      <c r="P274" s="1">
        <v>0</v>
      </c>
      <c r="Q274" s="3">
        <v>0.192</v>
      </c>
      <c r="R274" s="1">
        <v>0</v>
      </c>
      <c r="S274" s="1">
        <v>0</v>
      </c>
    </row>
    <row r="275" spans="1:19" x14ac:dyDescent="0.2">
      <c r="A275" s="1" t="s">
        <v>764</v>
      </c>
      <c r="B275" s="1" t="s">
        <v>765</v>
      </c>
      <c r="C275" s="1">
        <v>1</v>
      </c>
      <c r="D275" s="1" t="s">
        <v>1180</v>
      </c>
      <c r="E275" s="1">
        <v>3</v>
      </c>
      <c r="F275" s="1">
        <v>0</v>
      </c>
      <c r="G275" s="1">
        <v>0</v>
      </c>
      <c r="H275" s="2">
        <v>4.7699999999999999E-4</v>
      </c>
      <c r="I275" s="1">
        <v>0</v>
      </c>
      <c r="J275" s="1">
        <v>0</v>
      </c>
      <c r="K275" s="1">
        <v>0.51356124999999997</v>
      </c>
      <c r="L275" s="1">
        <v>0</v>
      </c>
      <c r="M275" s="1">
        <v>0</v>
      </c>
      <c r="N275" s="1">
        <v>4</v>
      </c>
      <c r="O275" s="1">
        <v>0</v>
      </c>
      <c r="P275" s="1">
        <v>0</v>
      </c>
      <c r="Q275" s="3">
        <v>0.18</v>
      </c>
      <c r="R275" s="1">
        <v>0</v>
      </c>
      <c r="S275" s="1">
        <v>0</v>
      </c>
    </row>
    <row r="276" spans="1:19" x14ac:dyDescent="0.2">
      <c r="A276" s="1" t="s">
        <v>766</v>
      </c>
      <c r="B276" s="1" t="s">
        <v>25</v>
      </c>
      <c r="C276" s="1">
        <v>1</v>
      </c>
      <c r="D276" s="1" t="s">
        <v>1180</v>
      </c>
      <c r="E276" s="1">
        <v>5</v>
      </c>
      <c r="F276" s="1">
        <v>0</v>
      </c>
      <c r="G276" s="1">
        <v>0</v>
      </c>
      <c r="H276" s="2">
        <v>3.7500000000000001E-4</v>
      </c>
      <c r="I276" s="1">
        <v>0</v>
      </c>
      <c r="J276" s="1">
        <v>0</v>
      </c>
      <c r="K276" s="1">
        <v>0.77827939999999995</v>
      </c>
      <c r="L276" s="1">
        <v>0</v>
      </c>
      <c r="M276" s="1">
        <v>0</v>
      </c>
      <c r="N276" s="1">
        <v>6</v>
      </c>
      <c r="O276" s="1">
        <v>0</v>
      </c>
      <c r="P276" s="1">
        <v>0</v>
      </c>
      <c r="Q276" s="3">
        <v>0.25</v>
      </c>
      <c r="R276" s="1">
        <v>0</v>
      </c>
      <c r="S276" s="1">
        <v>0</v>
      </c>
    </row>
    <row r="277" spans="1:19" x14ac:dyDescent="0.2">
      <c r="A277" s="1" t="s">
        <v>767</v>
      </c>
      <c r="B277" s="1" t="s">
        <v>768</v>
      </c>
      <c r="C277" s="1">
        <v>1</v>
      </c>
      <c r="D277" s="1" t="s">
        <v>1180</v>
      </c>
      <c r="E277" s="1">
        <v>9</v>
      </c>
      <c r="F277" s="1">
        <v>0</v>
      </c>
      <c r="G277" s="1">
        <v>0</v>
      </c>
      <c r="H277" s="2">
        <v>7.1699999999999997E-4</v>
      </c>
      <c r="I277" s="1">
        <v>0</v>
      </c>
      <c r="J277" s="1">
        <v>0</v>
      </c>
      <c r="K277" s="1">
        <v>0.97696959999999999</v>
      </c>
      <c r="L277" s="1">
        <v>0</v>
      </c>
      <c r="M277" s="1">
        <v>0</v>
      </c>
      <c r="N277" s="1">
        <v>11</v>
      </c>
      <c r="O277" s="1">
        <v>0</v>
      </c>
      <c r="P277" s="1">
        <v>0</v>
      </c>
      <c r="Q277" s="3">
        <v>0.29599999999999999</v>
      </c>
      <c r="R277" s="1">
        <v>0</v>
      </c>
      <c r="S277" s="1">
        <v>0</v>
      </c>
    </row>
    <row r="278" spans="1:19" x14ac:dyDescent="0.2">
      <c r="A278" s="1" t="s">
        <v>769</v>
      </c>
      <c r="B278" s="1" t="s">
        <v>770</v>
      </c>
      <c r="C278" s="1">
        <v>1</v>
      </c>
      <c r="D278" s="1" t="s">
        <v>1180</v>
      </c>
      <c r="E278" s="1">
        <v>3</v>
      </c>
      <c r="F278" s="1">
        <v>0</v>
      </c>
      <c r="G278" s="1">
        <v>0</v>
      </c>
      <c r="H278" s="2">
        <v>2.2000000000000001E-4</v>
      </c>
      <c r="I278" s="1">
        <v>0</v>
      </c>
      <c r="J278" s="1">
        <v>0</v>
      </c>
      <c r="K278" s="1">
        <v>0.35831343999999998</v>
      </c>
      <c r="L278" s="1">
        <v>0</v>
      </c>
      <c r="M278" s="1">
        <v>0</v>
      </c>
      <c r="N278" s="1">
        <v>4</v>
      </c>
      <c r="O278" s="1">
        <v>0</v>
      </c>
      <c r="P278" s="1">
        <v>0</v>
      </c>
      <c r="Q278" s="3">
        <v>0.13300000000000001</v>
      </c>
      <c r="R278" s="1">
        <v>0</v>
      </c>
      <c r="S278" s="1">
        <v>0</v>
      </c>
    </row>
    <row r="279" spans="1:19" x14ac:dyDescent="0.2">
      <c r="A279" s="1" t="s">
        <v>771</v>
      </c>
      <c r="B279" s="1" t="s">
        <v>772</v>
      </c>
      <c r="C279" s="1">
        <v>1</v>
      </c>
      <c r="D279" s="1" t="s">
        <v>1180</v>
      </c>
      <c r="E279" s="1">
        <v>6</v>
      </c>
      <c r="F279" s="1">
        <v>0</v>
      </c>
      <c r="G279" s="1">
        <v>0</v>
      </c>
      <c r="H279" s="1">
        <v>1.04498E-3</v>
      </c>
      <c r="I279" s="1">
        <v>0</v>
      </c>
      <c r="J279" s="1">
        <v>0</v>
      </c>
      <c r="K279" s="1">
        <v>0.40928875999999997</v>
      </c>
      <c r="L279" s="1">
        <v>0</v>
      </c>
      <c r="M279" s="1">
        <v>0</v>
      </c>
      <c r="N279" s="1">
        <v>9</v>
      </c>
      <c r="O279" s="1">
        <v>0</v>
      </c>
      <c r="P279" s="1">
        <v>0</v>
      </c>
      <c r="Q279" s="3">
        <v>0.14899999999999999</v>
      </c>
      <c r="R279" s="1">
        <v>0</v>
      </c>
      <c r="S279" s="1">
        <v>0</v>
      </c>
    </row>
    <row r="280" spans="1:19" x14ac:dyDescent="0.2">
      <c r="A280" s="1" t="s">
        <v>773</v>
      </c>
      <c r="B280" s="1" t="s">
        <v>774</v>
      </c>
      <c r="C280" s="1">
        <v>1</v>
      </c>
      <c r="D280" s="1" t="s">
        <v>1180</v>
      </c>
      <c r="E280" s="1">
        <v>3</v>
      </c>
      <c r="F280" s="1">
        <v>0</v>
      </c>
      <c r="G280" s="1">
        <v>0</v>
      </c>
      <c r="H280" s="2">
        <v>1.9799999999999999E-4</v>
      </c>
      <c r="I280" s="1">
        <v>0</v>
      </c>
      <c r="J280" s="1">
        <v>0</v>
      </c>
      <c r="K280" s="1">
        <v>0.33045447</v>
      </c>
      <c r="L280" s="1">
        <v>0</v>
      </c>
      <c r="M280" s="1">
        <v>0</v>
      </c>
      <c r="N280" s="1">
        <v>3</v>
      </c>
      <c r="O280" s="1">
        <v>0</v>
      </c>
      <c r="P280" s="1">
        <v>0</v>
      </c>
      <c r="Q280" s="3">
        <v>0.124</v>
      </c>
      <c r="R280" s="1">
        <v>0</v>
      </c>
      <c r="S280" s="1">
        <v>0</v>
      </c>
    </row>
    <row r="281" spans="1:19" x14ac:dyDescent="0.2">
      <c r="A281" s="1" t="s">
        <v>775</v>
      </c>
      <c r="B281" s="1" t="s">
        <v>39</v>
      </c>
      <c r="C281" s="1">
        <v>1</v>
      </c>
      <c r="D281" s="1" t="s">
        <v>1180</v>
      </c>
      <c r="E281" s="1">
        <v>3</v>
      </c>
      <c r="F281" s="1">
        <v>0</v>
      </c>
      <c r="G281" s="1">
        <v>0</v>
      </c>
      <c r="H281" s="2">
        <v>2.5700000000000001E-4</v>
      </c>
      <c r="I281" s="1">
        <v>0</v>
      </c>
      <c r="J281" s="1">
        <v>0</v>
      </c>
      <c r="K281" s="1">
        <v>0.15080035</v>
      </c>
      <c r="L281" s="1">
        <v>0</v>
      </c>
      <c r="M281" s="1">
        <v>0</v>
      </c>
      <c r="N281" s="1">
        <v>6</v>
      </c>
      <c r="O281" s="1">
        <v>0</v>
      </c>
      <c r="P281" s="1">
        <v>0</v>
      </c>
      <c r="Q281" s="3">
        <v>6.0999999999999999E-2</v>
      </c>
      <c r="R281" s="1">
        <v>0</v>
      </c>
      <c r="S281" s="1">
        <v>0</v>
      </c>
    </row>
    <row r="282" spans="1:19" x14ac:dyDescent="0.2">
      <c r="A282" s="1" t="s">
        <v>776</v>
      </c>
      <c r="B282" s="1" t="s">
        <v>261</v>
      </c>
      <c r="C282" s="1">
        <v>1</v>
      </c>
      <c r="D282" s="1" t="s">
        <v>1180</v>
      </c>
      <c r="E282" s="1">
        <v>3</v>
      </c>
      <c r="F282" s="1">
        <v>0</v>
      </c>
      <c r="G282" s="1">
        <v>0</v>
      </c>
      <c r="H282" s="2">
        <v>1.03E-4</v>
      </c>
      <c r="I282" s="1">
        <v>0</v>
      </c>
      <c r="J282" s="1">
        <v>0</v>
      </c>
      <c r="K282" s="1">
        <v>5.438685E-2</v>
      </c>
      <c r="L282" s="1">
        <v>0</v>
      </c>
      <c r="M282" s="1">
        <v>0</v>
      </c>
      <c r="N282" s="1">
        <v>4</v>
      </c>
      <c r="O282" s="1">
        <v>0</v>
      </c>
      <c r="P282" s="1">
        <v>0</v>
      </c>
      <c r="Q282" s="3">
        <v>2.3E-2</v>
      </c>
      <c r="R282" s="1">
        <v>0</v>
      </c>
      <c r="S282" s="1">
        <v>0</v>
      </c>
    </row>
    <row r="283" spans="1:19" x14ac:dyDescent="0.2">
      <c r="A283" s="1" t="s">
        <v>777</v>
      </c>
      <c r="B283" s="1" t="s">
        <v>778</v>
      </c>
      <c r="C283" s="1">
        <v>1</v>
      </c>
      <c r="D283" s="1" t="s">
        <v>1180</v>
      </c>
      <c r="E283" s="1">
        <v>3</v>
      </c>
      <c r="F283" s="1">
        <v>0</v>
      </c>
      <c r="G283" s="1">
        <v>0</v>
      </c>
      <c r="H283" s="2">
        <v>4.5100000000000001E-4</v>
      </c>
      <c r="I283" s="1">
        <v>0</v>
      </c>
      <c r="J283" s="1">
        <v>0</v>
      </c>
      <c r="K283" s="1">
        <v>1.1379621</v>
      </c>
      <c r="L283" s="1">
        <v>0</v>
      </c>
      <c r="M283" s="1">
        <v>0</v>
      </c>
      <c r="N283" s="1">
        <v>3</v>
      </c>
      <c r="O283" s="1">
        <v>0</v>
      </c>
      <c r="P283" s="1">
        <v>0</v>
      </c>
      <c r="Q283" s="3">
        <v>0.33</v>
      </c>
      <c r="R283" s="1">
        <v>0</v>
      </c>
      <c r="S283" s="1">
        <v>0</v>
      </c>
    </row>
    <row r="284" spans="1:19" x14ac:dyDescent="0.2">
      <c r="A284" s="1" t="s">
        <v>779</v>
      </c>
      <c r="B284" s="1" t="s">
        <v>780</v>
      </c>
      <c r="C284" s="1">
        <v>1</v>
      </c>
      <c r="D284" s="1" t="s">
        <v>1180</v>
      </c>
      <c r="E284" s="1">
        <v>3</v>
      </c>
      <c r="F284" s="1">
        <v>0</v>
      </c>
      <c r="G284" s="1">
        <v>0</v>
      </c>
      <c r="H284" s="2">
        <v>2.3800000000000001E-4</v>
      </c>
      <c r="I284" s="1">
        <v>0</v>
      </c>
      <c r="J284" s="1">
        <v>0</v>
      </c>
      <c r="K284" s="1">
        <v>0.90985333999999995</v>
      </c>
      <c r="L284" s="1">
        <v>0</v>
      </c>
      <c r="M284" s="1">
        <v>0</v>
      </c>
      <c r="N284" s="1">
        <v>3</v>
      </c>
      <c r="O284" s="1">
        <v>0</v>
      </c>
      <c r="P284" s="1">
        <v>0</v>
      </c>
      <c r="Q284" s="3">
        <v>0.28100000000000003</v>
      </c>
      <c r="R284" s="1">
        <v>0</v>
      </c>
      <c r="S284" s="1">
        <v>0</v>
      </c>
    </row>
    <row r="285" spans="1:19" x14ac:dyDescent="0.2">
      <c r="A285" s="1" t="s">
        <v>781</v>
      </c>
      <c r="B285" s="1" t="s">
        <v>259</v>
      </c>
      <c r="C285" s="1">
        <v>1</v>
      </c>
      <c r="D285" s="1" t="s">
        <v>1180</v>
      </c>
      <c r="E285" s="1">
        <v>9</v>
      </c>
      <c r="F285" s="1">
        <v>0</v>
      </c>
      <c r="G285" s="1">
        <v>0</v>
      </c>
      <c r="H285" s="1">
        <v>1.1905799999999999E-3</v>
      </c>
      <c r="I285" s="1">
        <v>0</v>
      </c>
      <c r="J285" s="1">
        <v>0</v>
      </c>
      <c r="K285" s="1">
        <v>0.15611220000000001</v>
      </c>
      <c r="L285" s="1">
        <v>0</v>
      </c>
      <c r="M285" s="1">
        <v>0</v>
      </c>
      <c r="N285" s="1">
        <v>17</v>
      </c>
      <c r="O285" s="1">
        <v>0</v>
      </c>
      <c r="P285" s="1">
        <v>0</v>
      </c>
      <c r="Q285" s="3">
        <v>6.3E-2</v>
      </c>
      <c r="R285" s="1">
        <v>0</v>
      </c>
      <c r="S285" s="1">
        <v>0</v>
      </c>
    </row>
    <row r="286" spans="1:19" x14ac:dyDescent="0.2">
      <c r="A286" s="1" t="s">
        <v>782</v>
      </c>
      <c r="B286" s="1" t="s">
        <v>126</v>
      </c>
      <c r="C286" s="1">
        <v>1</v>
      </c>
      <c r="D286" s="1" t="s">
        <v>1180</v>
      </c>
      <c r="E286" s="1">
        <v>10</v>
      </c>
      <c r="F286" s="1">
        <v>0</v>
      </c>
      <c r="G286" s="1">
        <v>0</v>
      </c>
      <c r="H286" s="1">
        <v>1.1291700000000001E-3</v>
      </c>
      <c r="I286" s="1">
        <v>0</v>
      </c>
      <c r="J286" s="1">
        <v>0</v>
      </c>
      <c r="K286" s="1">
        <v>0.32739449999999998</v>
      </c>
      <c r="L286" s="1">
        <v>0</v>
      </c>
      <c r="M286" s="1">
        <v>0</v>
      </c>
      <c r="N286" s="1">
        <v>18</v>
      </c>
      <c r="O286" s="1">
        <v>0</v>
      </c>
      <c r="P286" s="1">
        <v>0</v>
      </c>
      <c r="Q286" s="3">
        <v>0.123</v>
      </c>
      <c r="R286" s="1">
        <v>0</v>
      </c>
      <c r="S286" s="1">
        <v>0</v>
      </c>
    </row>
    <row r="287" spans="1:19" x14ac:dyDescent="0.2">
      <c r="A287" s="1" t="s">
        <v>783</v>
      </c>
      <c r="B287" s="1" t="s">
        <v>784</v>
      </c>
      <c r="C287" s="1">
        <v>1</v>
      </c>
      <c r="D287" s="1" t="s">
        <v>1180</v>
      </c>
      <c r="E287" s="1">
        <v>2</v>
      </c>
      <c r="F287" s="1">
        <v>0</v>
      </c>
      <c r="G287" s="1">
        <v>0</v>
      </c>
      <c r="H287" s="2">
        <v>1.1400000000000001E-4</v>
      </c>
      <c r="I287" s="1">
        <v>0</v>
      </c>
      <c r="J287" s="1">
        <v>0</v>
      </c>
      <c r="K287" s="1">
        <v>0.17219532000000001</v>
      </c>
      <c r="L287" s="1">
        <v>0</v>
      </c>
      <c r="M287" s="1">
        <v>0</v>
      </c>
      <c r="N287" s="1">
        <v>3</v>
      </c>
      <c r="O287" s="1">
        <v>0</v>
      </c>
      <c r="P287" s="1">
        <v>0</v>
      </c>
      <c r="Q287" s="3">
        <v>6.9000000000000006E-2</v>
      </c>
      <c r="R287" s="1">
        <v>0</v>
      </c>
      <c r="S287" s="1">
        <v>0</v>
      </c>
    </row>
    <row r="288" spans="1:19" x14ac:dyDescent="0.2">
      <c r="A288" s="1" t="s">
        <v>785</v>
      </c>
      <c r="B288" s="1" t="s">
        <v>786</v>
      </c>
      <c r="C288" s="1">
        <v>1</v>
      </c>
      <c r="D288" s="1" t="s">
        <v>1180</v>
      </c>
      <c r="E288" s="1">
        <v>2</v>
      </c>
      <c r="F288" s="1">
        <v>0</v>
      </c>
      <c r="G288" s="1">
        <v>0</v>
      </c>
      <c r="H288" s="2">
        <v>9.7999999999999997E-5</v>
      </c>
      <c r="I288" s="1">
        <v>0</v>
      </c>
      <c r="J288" s="1">
        <v>0</v>
      </c>
      <c r="K288" s="1">
        <v>0.16680967999999999</v>
      </c>
      <c r="L288" s="1">
        <v>0</v>
      </c>
      <c r="M288" s="1">
        <v>0</v>
      </c>
      <c r="N288" s="1">
        <v>2</v>
      </c>
      <c r="O288" s="1">
        <v>0</v>
      </c>
      <c r="P288" s="1">
        <v>0</v>
      </c>
      <c r="Q288" s="3">
        <v>6.7000000000000004E-2</v>
      </c>
      <c r="R288" s="1">
        <v>0</v>
      </c>
      <c r="S288" s="1">
        <v>0</v>
      </c>
    </row>
    <row r="289" spans="1:19" x14ac:dyDescent="0.2">
      <c r="A289" s="1" t="s">
        <v>787</v>
      </c>
      <c r="B289" s="1" t="s">
        <v>611</v>
      </c>
      <c r="C289" s="1">
        <v>1</v>
      </c>
      <c r="D289" s="1" t="s">
        <v>1180</v>
      </c>
      <c r="E289" s="1">
        <v>6</v>
      </c>
      <c r="F289" s="1">
        <v>0</v>
      </c>
      <c r="G289" s="1">
        <v>0</v>
      </c>
      <c r="H289" s="2">
        <v>7.5100000000000004E-4</v>
      </c>
      <c r="I289" s="1">
        <v>0</v>
      </c>
      <c r="J289" s="1">
        <v>0</v>
      </c>
      <c r="K289" s="1">
        <v>0.28528666000000003</v>
      </c>
      <c r="L289" s="1">
        <v>0</v>
      </c>
      <c r="M289" s="1">
        <v>0</v>
      </c>
      <c r="N289" s="1">
        <v>13</v>
      </c>
      <c r="O289" s="1">
        <v>0</v>
      </c>
      <c r="P289" s="1">
        <v>0</v>
      </c>
      <c r="Q289" s="3">
        <v>0.109</v>
      </c>
      <c r="R289" s="1">
        <v>0</v>
      </c>
      <c r="S289" s="1">
        <v>0</v>
      </c>
    </row>
    <row r="290" spans="1:19" x14ac:dyDescent="0.2">
      <c r="A290" s="1" t="s">
        <v>788</v>
      </c>
      <c r="B290" s="1" t="s">
        <v>611</v>
      </c>
      <c r="C290" s="1">
        <v>1</v>
      </c>
      <c r="D290" s="1" t="s">
        <v>1180</v>
      </c>
      <c r="E290" s="1">
        <v>2</v>
      </c>
      <c r="F290" s="1">
        <v>0</v>
      </c>
      <c r="G290" s="1">
        <v>0</v>
      </c>
      <c r="H290" s="2">
        <v>1.07E-4</v>
      </c>
      <c r="I290" s="1">
        <v>0</v>
      </c>
      <c r="J290" s="1">
        <v>0</v>
      </c>
      <c r="K290" s="1">
        <v>0.19398808000000001</v>
      </c>
      <c r="L290" s="1">
        <v>0</v>
      </c>
      <c r="M290" s="1">
        <v>0</v>
      </c>
      <c r="N290" s="1">
        <v>2</v>
      </c>
      <c r="O290" s="1">
        <v>0</v>
      </c>
      <c r="P290" s="1">
        <v>0</v>
      </c>
      <c r="Q290" s="3">
        <v>7.6999999999999999E-2</v>
      </c>
      <c r="R290" s="1">
        <v>0</v>
      </c>
      <c r="S290" s="1">
        <v>0</v>
      </c>
    </row>
    <row r="291" spans="1:19" x14ac:dyDescent="0.2">
      <c r="A291" s="1" t="s">
        <v>789</v>
      </c>
      <c r="B291" s="1" t="s">
        <v>790</v>
      </c>
      <c r="C291" s="1">
        <v>1</v>
      </c>
      <c r="D291" s="1" t="s">
        <v>1180</v>
      </c>
      <c r="E291" s="1">
        <v>2</v>
      </c>
      <c r="F291" s="1">
        <v>0</v>
      </c>
      <c r="G291" s="1">
        <v>0</v>
      </c>
      <c r="H291" s="2">
        <v>1.92E-4</v>
      </c>
      <c r="I291" s="1">
        <v>0</v>
      </c>
      <c r="J291" s="1">
        <v>0</v>
      </c>
      <c r="K291" s="1">
        <v>0.64816236000000005</v>
      </c>
      <c r="L291" s="1">
        <v>0</v>
      </c>
      <c r="M291" s="1">
        <v>0</v>
      </c>
      <c r="N291" s="1">
        <v>3</v>
      </c>
      <c r="O291" s="1">
        <v>0</v>
      </c>
      <c r="P291" s="1">
        <v>0</v>
      </c>
      <c r="Q291" s="3">
        <v>0.217</v>
      </c>
      <c r="R291" s="1">
        <v>0</v>
      </c>
      <c r="S291" s="1">
        <v>0</v>
      </c>
    </row>
    <row r="292" spans="1:19" x14ac:dyDescent="0.2">
      <c r="A292" s="1" t="s">
        <v>791</v>
      </c>
      <c r="B292" s="1" t="s">
        <v>792</v>
      </c>
      <c r="C292" s="1">
        <v>1</v>
      </c>
      <c r="D292" s="1" t="s">
        <v>1180</v>
      </c>
      <c r="E292" s="1">
        <v>3</v>
      </c>
      <c r="F292" s="1">
        <v>0</v>
      </c>
      <c r="G292" s="1">
        <v>0</v>
      </c>
      <c r="H292" s="2">
        <v>5.1100000000000002E-5</v>
      </c>
      <c r="I292" s="1">
        <v>0</v>
      </c>
      <c r="J292" s="1">
        <v>0</v>
      </c>
      <c r="K292" s="1">
        <v>9.1440320000000005E-2</v>
      </c>
      <c r="L292" s="1">
        <v>0</v>
      </c>
      <c r="M292" s="1">
        <v>0</v>
      </c>
      <c r="N292" s="1">
        <v>4</v>
      </c>
      <c r="O292" s="1">
        <v>0</v>
      </c>
      <c r="P292" s="1">
        <v>0</v>
      </c>
      <c r="Q292" s="3">
        <v>3.7999999999999999E-2</v>
      </c>
      <c r="R292" s="1">
        <v>0</v>
      </c>
      <c r="S292" s="1">
        <v>0</v>
      </c>
    </row>
    <row r="293" spans="1:19" x14ac:dyDescent="0.2">
      <c r="A293" s="1" t="s">
        <v>793</v>
      </c>
      <c r="B293" s="1" t="s">
        <v>794</v>
      </c>
      <c r="C293" s="1">
        <v>1</v>
      </c>
      <c r="D293" s="1" t="s">
        <v>1180</v>
      </c>
      <c r="E293" s="1">
        <v>3</v>
      </c>
      <c r="F293" s="1">
        <v>0</v>
      </c>
      <c r="G293" s="1">
        <v>0</v>
      </c>
      <c r="H293" s="2">
        <v>2.92E-4</v>
      </c>
      <c r="I293" s="1">
        <v>0</v>
      </c>
      <c r="J293" s="1">
        <v>0</v>
      </c>
      <c r="K293" s="1">
        <v>0.28824949999999999</v>
      </c>
      <c r="L293" s="1">
        <v>0</v>
      </c>
      <c r="M293" s="1">
        <v>0</v>
      </c>
      <c r="N293" s="1">
        <v>3</v>
      </c>
      <c r="O293" s="1">
        <v>0</v>
      </c>
      <c r="P293" s="1">
        <v>0</v>
      </c>
      <c r="Q293" s="3">
        <v>0.11</v>
      </c>
      <c r="R293" s="1">
        <v>0</v>
      </c>
      <c r="S293" s="1">
        <v>0</v>
      </c>
    </row>
    <row r="294" spans="1:19" x14ac:dyDescent="0.2">
      <c r="A294" s="1" t="s">
        <v>795</v>
      </c>
      <c r="B294" s="1" t="s">
        <v>28</v>
      </c>
      <c r="C294" s="1">
        <v>1</v>
      </c>
      <c r="D294" s="1" t="s">
        <v>1180</v>
      </c>
      <c r="E294" s="1">
        <v>4</v>
      </c>
      <c r="F294" s="1">
        <v>0</v>
      </c>
      <c r="G294" s="1">
        <v>0</v>
      </c>
      <c r="H294" s="2">
        <v>3.6200000000000002E-4</v>
      </c>
      <c r="I294" s="1">
        <v>0</v>
      </c>
      <c r="J294" s="1">
        <v>0</v>
      </c>
      <c r="K294" s="1">
        <v>0.13501083999999999</v>
      </c>
      <c r="L294" s="1">
        <v>0</v>
      </c>
      <c r="M294" s="1">
        <v>0</v>
      </c>
      <c r="N294" s="1">
        <v>7</v>
      </c>
      <c r="O294" s="1">
        <v>0</v>
      </c>
      <c r="P294" s="1">
        <v>0</v>
      </c>
      <c r="Q294" s="3">
        <v>5.5E-2</v>
      </c>
      <c r="R294" s="1">
        <v>0</v>
      </c>
      <c r="S294" s="1">
        <v>0</v>
      </c>
    </row>
    <row r="295" spans="1:19" x14ac:dyDescent="0.2">
      <c r="A295" s="1" t="s">
        <v>796</v>
      </c>
      <c r="B295" s="1" t="s">
        <v>797</v>
      </c>
      <c r="C295" s="1">
        <v>1</v>
      </c>
      <c r="D295" s="1" t="s">
        <v>1180</v>
      </c>
      <c r="E295" s="1">
        <v>5</v>
      </c>
      <c r="F295" s="1">
        <v>0</v>
      </c>
      <c r="G295" s="1">
        <v>0</v>
      </c>
      <c r="H295" s="2">
        <v>2.5300000000000002E-4</v>
      </c>
      <c r="I295" s="1">
        <v>0</v>
      </c>
      <c r="J295" s="1">
        <v>0</v>
      </c>
      <c r="K295" s="1">
        <v>0.46892630000000002</v>
      </c>
      <c r="L295" s="1">
        <v>0</v>
      </c>
      <c r="M295" s="1">
        <v>0</v>
      </c>
      <c r="N295" s="1">
        <v>7</v>
      </c>
      <c r="O295" s="1">
        <v>0</v>
      </c>
      <c r="P295" s="1">
        <v>0</v>
      </c>
      <c r="Q295" s="3">
        <v>0.16700000000000001</v>
      </c>
      <c r="R295" s="1">
        <v>0</v>
      </c>
      <c r="S295" s="1">
        <v>0</v>
      </c>
    </row>
    <row r="296" spans="1:19" x14ac:dyDescent="0.2">
      <c r="A296" s="1" t="s">
        <v>798</v>
      </c>
      <c r="B296" s="1" t="s">
        <v>799</v>
      </c>
      <c r="C296" s="1">
        <v>1</v>
      </c>
      <c r="D296" s="1" t="s">
        <v>1180</v>
      </c>
      <c r="E296" s="1">
        <v>5</v>
      </c>
      <c r="F296" s="1">
        <v>0</v>
      </c>
      <c r="G296" s="1">
        <v>0</v>
      </c>
      <c r="H296" s="2">
        <v>1.65E-4</v>
      </c>
      <c r="I296" s="1">
        <v>0</v>
      </c>
      <c r="J296" s="1">
        <v>0</v>
      </c>
      <c r="K296" s="1">
        <v>0.18850218999999999</v>
      </c>
      <c r="L296" s="1">
        <v>0</v>
      </c>
      <c r="M296" s="1">
        <v>0</v>
      </c>
      <c r="N296" s="1">
        <v>7</v>
      </c>
      <c r="O296" s="1">
        <v>0</v>
      </c>
      <c r="P296" s="1">
        <v>0</v>
      </c>
      <c r="Q296" s="3">
        <v>7.4999999999999997E-2</v>
      </c>
      <c r="R296" s="1">
        <v>0</v>
      </c>
      <c r="S296" s="1">
        <v>0</v>
      </c>
    </row>
    <row r="297" spans="1:19" x14ac:dyDescent="0.2">
      <c r="A297" s="1" t="s">
        <v>800</v>
      </c>
      <c r="B297" s="1" t="s">
        <v>801</v>
      </c>
      <c r="C297" s="1">
        <v>1</v>
      </c>
      <c r="D297" s="1" t="s">
        <v>1180</v>
      </c>
      <c r="E297" s="1">
        <v>4</v>
      </c>
      <c r="F297" s="1">
        <v>0</v>
      </c>
      <c r="G297" s="1">
        <v>0</v>
      </c>
      <c r="H297" s="2">
        <v>1.3100000000000001E-4</v>
      </c>
      <c r="I297" s="1">
        <v>0</v>
      </c>
      <c r="J297" s="1">
        <v>0</v>
      </c>
      <c r="K297" s="1">
        <v>0.18032061999999999</v>
      </c>
      <c r="L297" s="1">
        <v>0</v>
      </c>
      <c r="M297" s="1">
        <v>0</v>
      </c>
      <c r="N297" s="1">
        <v>4</v>
      </c>
      <c r="O297" s="1">
        <v>0</v>
      </c>
      <c r="P297" s="1">
        <v>0</v>
      </c>
      <c r="Q297" s="3">
        <v>7.1999999999999995E-2</v>
      </c>
      <c r="R297" s="1">
        <v>0</v>
      </c>
      <c r="S297" s="1">
        <v>0</v>
      </c>
    </row>
    <row r="298" spans="1:19" x14ac:dyDescent="0.2">
      <c r="A298" s="1" t="s">
        <v>802</v>
      </c>
      <c r="B298" s="1" t="s">
        <v>108</v>
      </c>
      <c r="C298" s="1">
        <v>1</v>
      </c>
      <c r="D298" s="1" t="s">
        <v>1180</v>
      </c>
      <c r="E298" s="1">
        <v>4</v>
      </c>
      <c r="F298" s="1">
        <v>0</v>
      </c>
      <c r="G298" s="1">
        <v>0</v>
      </c>
      <c r="H298" s="2">
        <v>4.2999999999999999E-4</v>
      </c>
      <c r="I298" s="1">
        <v>0</v>
      </c>
      <c r="J298" s="1">
        <v>0</v>
      </c>
      <c r="K298" s="1">
        <v>0.85353159999999995</v>
      </c>
      <c r="L298" s="1">
        <v>0</v>
      </c>
      <c r="M298" s="1">
        <v>0</v>
      </c>
      <c r="N298" s="1">
        <v>4</v>
      </c>
      <c r="O298" s="1">
        <v>0</v>
      </c>
      <c r="P298" s="1">
        <v>0</v>
      </c>
      <c r="Q298" s="3">
        <v>0.26800000000000002</v>
      </c>
      <c r="R298" s="1">
        <v>0</v>
      </c>
      <c r="S298" s="1">
        <v>0</v>
      </c>
    </row>
    <row r="299" spans="1:19" x14ac:dyDescent="0.2">
      <c r="A299" s="1" t="s">
        <v>803</v>
      </c>
      <c r="B299" s="1" t="s">
        <v>804</v>
      </c>
      <c r="C299" s="1">
        <v>1</v>
      </c>
      <c r="D299" s="1" t="s">
        <v>1180</v>
      </c>
      <c r="E299" s="1">
        <v>3</v>
      </c>
      <c r="F299" s="1">
        <v>0</v>
      </c>
      <c r="G299" s="1">
        <v>0</v>
      </c>
      <c r="H299" s="2">
        <v>2.3099999999999999E-5</v>
      </c>
      <c r="I299" s="1">
        <v>0</v>
      </c>
      <c r="J299" s="1">
        <v>0</v>
      </c>
      <c r="K299" s="1">
        <v>1.8591400000000001E-2</v>
      </c>
      <c r="L299" s="1">
        <v>0</v>
      </c>
      <c r="M299" s="1">
        <v>0</v>
      </c>
      <c r="N299" s="1">
        <v>5</v>
      </c>
      <c r="O299" s="1">
        <v>0</v>
      </c>
      <c r="P299" s="1">
        <v>0</v>
      </c>
      <c r="Q299" s="3">
        <v>8.0000000000000002E-3</v>
      </c>
      <c r="R299" s="1">
        <v>0</v>
      </c>
      <c r="S299" s="1">
        <v>0</v>
      </c>
    </row>
    <row r="300" spans="1:19" x14ac:dyDescent="0.2">
      <c r="A300" s="1" t="s">
        <v>805</v>
      </c>
      <c r="B300" s="1" t="s">
        <v>806</v>
      </c>
      <c r="C300" s="1">
        <v>1</v>
      </c>
      <c r="D300" s="1" t="s">
        <v>1180</v>
      </c>
      <c r="E300" s="1">
        <v>8</v>
      </c>
      <c r="F300" s="1">
        <v>0</v>
      </c>
      <c r="G300" s="1">
        <v>0</v>
      </c>
      <c r="H300" s="2">
        <v>3.0600000000000001E-4</v>
      </c>
      <c r="I300" s="1">
        <v>0</v>
      </c>
      <c r="J300" s="1">
        <v>0</v>
      </c>
      <c r="K300" s="1">
        <v>0.23310483000000001</v>
      </c>
      <c r="L300" s="1">
        <v>0</v>
      </c>
      <c r="M300" s="1">
        <v>0</v>
      </c>
      <c r="N300" s="1">
        <v>13</v>
      </c>
      <c r="O300" s="1">
        <v>0</v>
      </c>
      <c r="P300" s="1">
        <v>0</v>
      </c>
      <c r="Q300" s="3">
        <v>9.0999999999999998E-2</v>
      </c>
      <c r="R300" s="1">
        <v>0</v>
      </c>
      <c r="S300" s="1">
        <v>0</v>
      </c>
    </row>
    <row r="301" spans="1:19" x14ac:dyDescent="0.2">
      <c r="A301" s="1" t="s">
        <v>807</v>
      </c>
      <c r="B301" s="1" t="s">
        <v>808</v>
      </c>
      <c r="C301" s="1">
        <v>1</v>
      </c>
      <c r="D301" s="1" t="s">
        <v>1180</v>
      </c>
      <c r="E301" s="1">
        <v>2</v>
      </c>
      <c r="F301" s="1">
        <v>0</v>
      </c>
      <c r="G301" s="1">
        <v>0</v>
      </c>
      <c r="H301" s="2">
        <v>5.77E-5</v>
      </c>
      <c r="I301" s="1">
        <v>0</v>
      </c>
      <c r="J301" s="1">
        <v>0</v>
      </c>
      <c r="K301" s="1">
        <v>0.10662377000000001</v>
      </c>
      <c r="L301" s="1">
        <v>0</v>
      </c>
      <c r="M301" s="1">
        <v>0</v>
      </c>
      <c r="N301" s="1">
        <v>2</v>
      </c>
      <c r="O301" s="1">
        <v>0</v>
      </c>
      <c r="P301" s="1">
        <v>0</v>
      </c>
      <c r="Q301" s="3">
        <v>4.3999999999999997E-2</v>
      </c>
      <c r="R301" s="1">
        <v>0</v>
      </c>
      <c r="S301" s="1">
        <v>0</v>
      </c>
    </row>
    <row r="302" spans="1:19" x14ac:dyDescent="0.2">
      <c r="A302" s="1" t="s">
        <v>809</v>
      </c>
      <c r="B302" s="1" t="s">
        <v>810</v>
      </c>
      <c r="C302" s="1">
        <v>1</v>
      </c>
      <c r="D302" s="1" t="s">
        <v>1180</v>
      </c>
      <c r="E302" s="1">
        <v>3</v>
      </c>
      <c r="F302" s="1">
        <v>0</v>
      </c>
      <c r="G302" s="1">
        <v>0</v>
      </c>
      <c r="H302" s="2">
        <v>7.3800000000000005E-5</v>
      </c>
      <c r="I302" s="1">
        <v>0</v>
      </c>
      <c r="J302" s="1">
        <v>0</v>
      </c>
      <c r="K302" s="1">
        <v>5.6817529999999998E-2</v>
      </c>
      <c r="L302" s="1">
        <v>0</v>
      </c>
      <c r="M302" s="1">
        <v>0</v>
      </c>
      <c r="N302" s="1">
        <v>3</v>
      </c>
      <c r="O302" s="1">
        <v>0</v>
      </c>
      <c r="P302" s="1">
        <v>0</v>
      </c>
      <c r="Q302" s="3">
        <v>2.4E-2</v>
      </c>
      <c r="R302" s="1">
        <v>0</v>
      </c>
      <c r="S302" s="1">
        <v>0</v>
      </c>
    </row>
    <row r="303" spans="1:19" x14ac:dyDescent="0.2">
      <c r="A303" s="1" t="s">
        <v>811</v>
      </c>
      <c r="B303" s="1" t="s">
        <v>812</v>
      </c>
      <c r="C303" s="1">
        <v>1</v>
      </c>
      <c r="D303" s="1" t="s">
        <v>1180</v>
      </c>
      <c r="E303" s="1">
        <v>3</v>
      </c>
      <c r="F303" s="1">
        <v>0</v>
      </c>
      <c r="G303" s="1">
        <v>0</v>
      </c>
      <c r="H303" s="1">
        <v>1.0589099999999999E-3</v>
      </c>
      <c r="I303" s="1">
        <v>0</v>
      </c>
      <c r="J303" s="1">
        <v>0</v>
      </c>
      <c r="K303" s="1">
        <v>0.73780084000000001</v>
      </c>
      <c r="L303" s="1">
        <v>0</v>
      </c>
      <c r="M303" s="1">
        <v>0</v>
      </c>
      <c r="N303" s="1">
        <v>6</v>
      </c>
      <c r="O303" s="1">
        <v>0</v>
      </c>
      <c r="P303" s="1">
        <v>0</v>
      </c>
      <c r="Q303" s="3">
        <v>0.24</v>
      </c>
      <c r="R303" s="1">
        <v>0</v>
      </c>
      <c r="S303" s="1">
        <v>0</v>
      </c>
    </row>
    <row r="304" spans="1:19" x14ac:dyDescent="0.2">
      <c r="A304" s="1" t="s">
        <v>813</v>
      </c>
      <c r="B304" s="1" t="s">
        <v>814</v>
      </c>
      <c r="C304" s="1">
        <v>1</v>
      </c>
      <c r="D304" s="1" t="s">
        <v>1180</v>
      </c>
      <c r="E304" s="1">
        <v>11</v>
      </c>
      <c r="F304" s="1">
        <v>0</v>
      </c>
      <c r="G304" s="1">
        <v>0</v>
      </c>
      <c r="H304" s="1">
        <v>1.3170600000000001E-3</v>
      </c>
      <c r="I304" s="1">
        <v>0</v>
      </c>
      <c r="J304" s="1">
        <v>0</v>
      </c>
      <c r="K304" s="1">
        <v>0.79473364000000002</v>
      </c>
      <c r="L304" s="1">
        <v>0</v>
      </c>
      <c r="M304" s="1">
        <v>0</v>
      </c>
      <c r="N304" s="1">
        <v>20</v>
      </c>
      <c r="O304" s="1">
        <v>0</v>
      </c>
      <c r="P304" s="1">
        <v>0</v>
      </c>
      <c r="Q304" s="3">
        <v>0.254</v>
      </c>
      <c r="R304" s="1">
        <v>0</v>
      </c>
      <c r="S304" s="1">
        <v>0</v>
      </c>
    </row>
    <row r="305" spans="1:19" x14ac:dyDescent="0.2">
      <c r="A305" s="1" t="s">
        <v>815</v>
      </c>
      <c r="B305" s="1" t="s">
        <v>816</v>
      </c>
      <c r="C305" s="1">
        <v>1</v>
      </c>
      <c r="D305" s="1" t="s">
        <v>1180</v>
      </c>
      <c r="E305" s="1">
        <v>2</v>
      </c>
      <c r="F305" s="1">
        <v>0</v>
      </c>
      <c r="G305" s="1">
        <v>0</v>
      </c>
      <c r="H305" s="2">
        <v>4.6199999999999998E-5</v>
      </c>
      <c r="I305" s="1">
        <v>0</v>
      </c>
      <c r="J305" s="1">
        <v>0</v>
      </c>
      <c r="K305" s="1">
        <v>0.19398808000000001</v>
      </c>
      <c r="L305" s="1">
        <v>0</v>
      </c>
      <c r="M305" s="1">
        <v>0</v>
      </c>
      <c r="N305" s="1">
        <v>2</v>
      </c>
      <c r="O305" s="1">
        <v>0</v>
      </c>
      <c r="P305" s="1">
        <v>0</v>
      </c>
      <c r="Q305" s="3">
        <v>7.6999999999999999E-2</v>
      </c>
      <c r="R305" s="1">
        <v>0</v>
      </c>
      <c r="S305" s="1">
        <v>0</v>
      </c>
    </row>
    <row r="306" spans="1:19" x14ac:dyDescent="0.2">
      <c r="A306" s="1" t="s">
        <v>817</v>
      </c>
      <c r="B306" s="1" t="s">
        <v>28</v>
      </c>
      <c r="C306" s="1">
        <v>1</v>
      </c>
      <c r="D306" s="1" t="s">
        <v>1180</v>
      </c>
      <c r="E306" s="1">
        <v>3</v>
      </c>
      <c r="F306" s="1">
        <v>0</v>
      </c>
      <c r="G306" s="1">
        <v>0</v>
      </c>
      <c r="H306" s="2">
        <v>2.2699999999999999E-4</v>
      </c>
      <c r="I306" s="1">
        <v>0</v>
      </c>
      <c r="J306" s="1">
        <v>0</v>
      </c>
      <c r="K306" s="1">
        <v>0.23310483000000001</v>
      </c>
      <c r="L306" s="1">
        <v>0</v>
      </c>
      <c r="M306" s="1">
        <v>0</v>
      </c>
      <c r="N306" s="1">
        <v>3</v>
      </c>
      <c r="O306" s="1">
        <v>0</v>
      </c>
      <c r="P306" s="1">
        <v>0</v>
      </c>
      <c r="Q306" s="3">
        <v>9.0999999999999998E-2</v>
      </c>
      <c r="R306" s="1">
        <v>0</v>
      </c>
      <c r="S306" s="1">
        <v>0</v>
      </c>
    </row>
    <row r="307" spans="1:19" x14ac:dyDescent="0.2">
      <c r="A307" s="1" t="s">
        <v>818</v>
      </c>
      <c r="B307" s="1" t="s">
        <v>819</v>
      </c>
      <c r="C307" s="1">
        <v>1</v>
      </c>
      <c r="D307" s="1" t="s">
        <v>1180</v>
      </c>
      <c r="E307" s="1">
        <v>17</v>
      </c>
      <c r="F307" s="1">
        <v>0</v>
      </c>
      <c r="G307" s="1">
        <v>0</v>
      </c>
      <c r="H307" s="2">
        <v>5.9699999999999998E-4</v>
      </c>
      <c r="I307" s="1">
        <v>0</v>
      </c>
      <c r="J307" s="1">
        <v>0</v>
      </c>
      <c r="K307" s="1">
        <v>0.39636838000000002</v>
      </c>
      <c r="L307" s="1">
        <v>0</v>
      </c>
      <c r="M307" s="1">
        <v>0</v>
      </c>
      <c r="N307" s="1">
        <v>23</v>
      </c>
      <c r="O307" s="1">
        <v>0</v>
      </c>
      <c r="P307" s="1">
        <v>0</v>
      </c>
      <c r="Q307" s="3">
        <v>0.14499999999999999</v>
      </c>
      <c r="R307" s="1">
        <v>0</v>
      </c>
      <c r="S307" s="1">
        <v>0</v>
      </c>
    </row>
    <row r="308" spans="1:19" x14ac:dyDescent="0.2">
      <c r="A308" s="1" t="s">
        <v>820</v>
      </c>
      <c r="B308" s="1" t="s">
        <v>821</v>
      </c>
      <c r="C308" s="1">
        <v>1</v>
      </c>
      <c r="D308" s="1" t="s">
        <v>1180</v>
      </c>
      <c r="E308" s="1">
        <v>5</v>
      </c>
      <c r="F308" s="1">
        <v>0</v>
      </c>
      <c r="G308" s="1">
        <v>0</v>
      </c>
      <c r="H308" s="2">
        <v>4.4099999999999999E-4</v>
      </c>
      <c r="I308" s="1">
        <v>0</v>
      </c>
      <c r="J308" s="1">
        <v>0</v>
      </c>
      <c r="K308" s="1">
        <v>0.42232882999999999</v>
      </c>
      <c r="L308" s="1">
        <v>0</v>
      </c>
      <c r="M308" s="1">
        <v>0</v>
      </c>
      <c r="N308" s="1">
        <v>5</v>
      </c>
      <c r="O308" s="1">
        <v>0</v>
      </c>
      <c r="P308" s="1">
        <v>0</v>
      </c>
      <c r="Q308" s="3">
        <v>0.153</v>
      </c>
      <c r="R308" s="1">
        <v>0</v>
      </c>
      <c r="S308" s="1">
        <v>0</v>
      </c>
    </row>
    <row r="309" spans="1:19" x14ac:dyDescent="0.2">
      <c r="A309" s="1" t="s">
        <v>822</v>
      </c>
      <c r="B309" s="1" t="s">
        <v>823</v>
      </c>
      <c r="C309" s="1">
        <v>1</v>
      </c>
      <c r="D309" s="1" t="s">
        <v>1180</v>
      </c>
      <c r="E309" s="1">
        <v>3</v>
      </c>
      <c r="F309" s="1">
        <v>0</v>
      </c>
      <c r="G309" s="1">
        <v>0</v>
      </c>
      <c r="H309" s="1">
        <v>2.4066199999999999E-3</v>
      </c>
      <c r="I309" s="1">
        <v>0</v>
      </c>
      <c r="J309" s="1">
        <v>0</v>
      </c>
      <c r="K309" s="1">
        <v>0.25314115999999998</v>
      </c>
      <c r="L309" s="1">
        <v>0</v>
      </c>
      <c r="M309" s="1">
        <v>0</v>
      </c>
      <c r="N309" s="1">
        <v>24</v>
      </c>
      <c r="O309" s="1">
        <v>0</v>
      </c>
      <c r="P309" s="1">
        <v>0</v>
      </c>
      <c r="Q309" s="3">
        <v>9.8000000000000004E-2</v>
      </c>
      <c r="R309" s="1">
        <v>0</v>
      </c>
      <c r="S309" s="1">
        <v>0</v>
      </c>
    </row>
    <row r="310" spans="1:19" x14ac:dyDescent="0.2">
      <c r="A310" s="1" t="s">
        <v>824</v>
      </c>
      <c r="B310" s="1" t="s">
        <v>825</v>
      </c>
      <c r="C310" s="1">
        <v>1</v>
      </c>
      <c r="D310" s="1" t="s">
        <v>1180</v>
      </c>
      <c r="E310" s="1">
        <v>2</v>
      </c>
      <c r="F310" s="1">
        <v>0</v>
      </c>
      <c r="G310" s="1">
        <v>0</v>
      </c>
      <c r="H310" s="2">
        <v>3.7700000000000002E-5</v>
      </c>
      <c r="I310" s="1">
        <v>0</v>
      </c>
      <c r="J310" s="1">
        <v>0</v>
      </c>
      <c r="K310" s="1">
        <v>8.8930129999999996E-2</v>
      </c>
      <c r="L310" s="1">
        <v>0</v>
      </c>
      <c r="M310" s="1">
        <v>0</v>
      </c>
      <c r="N310" s="1">
        <v>2</v>
      </c>
      <c r="O310" s="1">
        <v>0</v>
      </c>
      <c r="P310" s="1">
        <v>0</v>
      </c>
      <c r="Q310" s="3">
        <v>3.6999999999999998E-2</v>
      </c>
      <c r="R310" s="1">
        <v>0</v>
      </c>
      <c r="S310" s="1">
        <v>0</v>
      </c>
    </row>
    <row r="311" spans="1:19" x14ac:dyDescent="0.2">
      <c r="A311" s="1" t="s">
        <v>826</v>
      </c>
      <c r="B311" s="1" t="s">
        <v>827</v>
      </c>
      <c r="C311" s="1">
        <v>1</v>
      </c>
      <c r="D311" s="1" t="s">
        <v>1180</v>
      </c>
      <c r="E311" s="1">
        <v>2</v>
      </c>
      <c r="F311" s="1">
        <v>0</v>
      </c>
      <c r="G311" s="1">
        <v>0</v>
      </c>
      <c r="H311" s="2">
        <v>1.55E-4</v>
      </c>
      <c r="I311" s="1">
        <v>0</v>
      </c>
      <c r="J311" s="1">
        <v>0</v>
      </c>
      <c r="K311" s="1">
        <v>0.36458312999999998</v>
      </c>
      <c r="L311" s="1">
        <v>0</v>
      </c>
      <c r="M311" s="1">
        <v>0</v>
      </c>
      <c r="N311" s="1">
        <v>2</v>
      </c>
      <c r="O311" s="1">
        <v>0</v>
      </c>
      <c r="P311" s="1">
        <v>0</v>
      </c>
      <c r="Q311" s="3">
        <v>0.13500000000000001</v>
      </c>
      <c r="R311" s="1">
        <v>0</v>
      </c>
      <c r="S311" s="1">
        <v>0</v>
      </c>
    </row>
    <row r="312" spans="1:19" x14ac:dyDescent="0.2">
      <c r="A312" s="1" t="s">
        <v>828</v>
      </c>
      <c r="B312" s="1" t="s">
        <v>829</v>
      </c>
      <c r="C312" s="1">
        <v>1</v>
      </c>
      <c r="D312" s="1" t="s">
        <v>1180</v>
      </c>
      <c r="E312" s="1">
        <v>3</v>
      </c>
      <c r="F312" s="1">
        <v>0</v>
      </c>
      <c r="G312" s="1">
        <v>0</v>
      </c>
      <c r="H312" s="2">
        <v>9.8499999999999995E-5</v>
      </c>
      <c r="I312" s="1">
        <v>0</v>
      </c>
      <c r="J312" s="1">
        <v>0</v>
      </c>
      <c r="K312" s="1">
        <v>0.22179961000000001</v>
      </c>
      <c r="L312" s="1">
        <v>0</v>
      </c>
      <c r="M312" s="1">
        <v>0</v>
      </c>
      <c r="N312" s="1">
        <v>3</v>
      </c>
      <c r="O312" s="1">
        <v>0</v>
      </c>
      <c r="P312" s="1">
        <v>0</v>
      </c>
      <c r="Q312" s="3">
        <v>8.6999999999999994E-2</v>
      </c>
      <c r="R312" s="1">
        <v>0</v>
      </c>
      <c r="S312" s="1">
        <v>0</v>
      </c>
    </row>
    <row r="313" spans="1:19" x14ac:dyDescent="0.2">
      <c r="A313" s="1" t="s">
        <v>830</v>
      </c>
      <c r="B313" s="1" t="s">
        <v>831</v>
      </c>
      <c r="C313" s="1">
        <v>1</v>
      </c>
      <c r="D313" s="1" t="s">
        <v>1180</v>
      </c>
      <c r="E313" s="1">
        <v>4</v>
      </c>
      <c r="F313" s="1">
        <v>0</v>
      </c>
      <c r="G313" s="1">
        <v>0</v>
      </c>
      <c r="H313" s="2">
        <v>4.1399999999999997E-5</v>
      </c>
      <c r="I313" s="1">
        <v>0</v>
      </c>
      <c r="J313" s="1">
        <v>0</v>
      </c>
      <c r="K313" s="1">
        <v>0.10407864999999999</v>
      </c>
      <c r="L313" s="1">
        <v>0</v>
      </c>
      <c r="M313" s="1">
        <v>0</v>
      </c>
      <c r="N313" s="1">
        <v>4</v>
      </c>
      <c r="O313" s="1">
        <v>0</v>
      </c>
      <c r="P313" s="1">
        <v>0</v>
      </c>
      <c r="Q313" s="3">
        <v>4.2999999999999997E-2</v>
      </c>
      <c r="R313" s="1">
        <v>0</v>
      </c>
      <c r="S313" s="1">
        <v>0</v>
      </c>
    </row>
    <row r="314" spans="1:19" x14ac:dyDescent="0.2">
      <c r="A314" s="1" t="s">
        <v>832</v>
      </c>
      <c r="B314" s="1" t="s">
        <v>833</v>
      </c>
      <c r="C314" s="1">
        <v>1</v>
      </c>
      <c r="D314" s="1" t="s">
        <v>1180</v>
      </c>
      <c r="E314" s="1">
        <v>2</v>
      </c>
      <c r="F314" s="1">
        <v>0</v>
      </c>
      <c r="G314" s="1">
        <v>0</v>
      </c>
      <c r="H314" s="2">
        <v>1.2899999999999999E-4</v>
      </c>
      <c r="I314" s="1">
        <v>0</v>
      </c>
      <c r="J314" s="1">
        <v>0</v>
      </c>
      <c r="K314" s="1">
        <v>0.29419577000000002</v>
      </c>
      <c r="L314" s="1">
        <v>0</v>
      </c>
      <c r="M314" s="1">
        <v>0</v>
      </c>
      <c r="N314" s="1">
        <v>2</v>
      </c>
      <c r="O314" s="1">
        <v>0</v>
      </c>
      <c r="P314" s="1">
        <v>0</v>
      </c>
      <c r="Q314" s="3">
        <v>0.112</v>
      </c>
      <c r="R314" s="1">
        <v>0</v>
      </c>
      <c r="S314" s="1">
        <v>0</v>
      </c>
    </row>
    <row r="315" spans="1:19" x14ac:dyDescent="0.2">
      <c r="A315" s="1" t="s">
        <v>834</v>
      </c>
      <c r="B315" s="1" t="s">
        <v>259</v>
      </c>
      <c r="C315" s="1">
        <v>1</v>
      </c>
      <c r="D315" s="1" t="s">
        <v>1180</v>
      </c>
      <c r="E315" s="1">
        <v>3</v>
      </c>
      <c r="F315" s="1">
        <v>0</v>
      </c>
      <c r="G315" s="1">
        <v>0</v>
      </c>
      <c r="H315" s="2">
        <v>2.1900000000000001E-4</v>
      </c>
      <c r="I315" s="1">
        <v>0</v>
      </c>
      <c r="J315" s="1">
        <v>0</v>
      </c>
      <c r="K315" s="1">
        <v>0.15080035</v>
      </c>
      <c r="L315" s="1">
        <v>0</v>
      </c>
      <c r="M315" s="1">
        <v>0</v>
      </c>
      <c r="N315" s="1">
        <v>3</v>
      </c>
      <c r="O315" s="1">
        <v>0</v>
      </c>
      <c r="P315" s="1">
        <v>0</v>
      </c>
      <c r="Q315" s="3">
        <v>6.0999999999999999E-2</v>
      </c>
      <c r="R315" s="1">
        <v>0</v>
      </c>
      <c r="S315" s="1">
        <v>0</v>
      </c>
    </row>
    <row r="316" spans="1:19" x14ac:dyDescent="0.2">
      <c r="A316" s="1" t="s">
        <v>835</v>
      </c>
      <c r="B316" s="1" t="s">
        <v>836</v>
      </c>
      <c r="C316" s="1">
        <v>1</v>
      </c>
      <c r="D316" s="1" t="s">
        <v>1180</v>
      </c>
      <c r="E316" s="1">
        <v>5</v>
      </c>
      <c r="F316" s="1">
        <v>0</v>
      </c>
      <c r="G316" s="1">
        <v>0</v>
      </c>
      <c r="H316" s="2">
        <v>6.9200000000000002E-4</v>
      </c>
      <c r="I316" s="1">
        <v>0</v>
      </c>
      <c r="J316" s="1">
        <v>0</v>
      </c>
      <c r="K316" s="1">
        <v>0.1614486</v>
      </c>
      <c r="L316" s="1">
        <v>0</v>
      </c>
      <c r="M316" s="1">
        <v>0</v>
      </c>
      <c r="N316" s="1">
        <v>8</v>
      </c>
      <c r="O316" s="1">
        <v>0</v>
      </c>
      <c r="P316" s="1">
        <v>0</v>
      </c>
      <c r="Q316" s="3">
        <v>6.5000000000000002E-2</v>
      </c>
      <c r="R316" s="1">
        <v>0</v>
      </c>
      <c r="S316" s="1">
        <v>0</v>
      </c>
    </row>
    <row r="317" spans="1:19" x14ac:dyDescent="0.2">
      <c r="A317" s="1" t="s">
        <v>837</v>
      </c>
      <c r="B317" s="1" t="s">
        <v>838</v>
      </c>
      <c r="C317" s="1">
        <v>1</v>
      </c>
      <c r="D317" s="1" t="s">
        <v>1180</v>
      </c>
      <c r="E317" s="1">
        <v>4</v>
      </c>
      <c r="F317" s="1">
        <v>0</v>
      </c>
      <c r="G317" s="1">
        <v>0</v>
      </c>
      <c r="H317" s="2">
        <v>1.7200000000000001E-4</v>
      </c>
      <c r="I317" s="1">
        <v>0</v>
      </c>
      <c r="J317" s="1">
        <v>0</v>
      </c>
      <c r="K317" s="1">
        <v>0.20503592000000001</v>
      </c>
      <c r="L317" s="1">
        <v>0</v>
      </c>
      <c r="M317" s="1">
        <v>0</v>
      </c>
      <c r="N317" s="1">
        <v>4</v>
      </c>
      <c r="O317" s="1">
        <v>0</v>
      </c>
      <c r="P317" s="1">
        <v>0</v>
      </c>
      <c r="Q317" s="3">
        <v>8.1000000000000003E-2</v>
      </c>
      <c r="R317" s="1">
        <v>0</v>
      </c>
      <c r="S317" s="1">
        <v>0</v>
      </c>
    </row>
    <row r="318" spans="1:19" x14ac:dyDescent="0.2">
      <c r="A318" s="1" t="s">
        <v>839</v>
      </c>
      <c r="B318" s="1" t="s">
        <v>840</v>
      </c>
      <c r="C318" s="1">
        <v>1</v>
      </c>
      <c r="D318" s="1" t="s">
        <v>1180</v>
      </c>
      <c r="E318" s="1">
        <v>6</v>
      </c>
      <c r="F318" s="1">
        <v>0</v>
      </c>
      <c r="G318" s="1">
        <v>0</v>
      </c>
      <c r="H318" s="1">
        <v>1.8049699999999999E-3</v>
      </c>
      <c r="I318" s="1">
        <v>0</v>
      </c>
      <c r="J318" s="1">
        <v>0</v>
      </c>
      <c r="K318" s="1">
        <v>2.6391504000000001</v>
      </c>
      <c r="L318" s="1">
        <v>0</v>
      </c>
      <c r="M318" s="1">
        <v>0</v>
      </c>
      <c r="N318" s="1">
        <v>9</v>
      </c>
      <c r="O318" s="1">
        <v>0</v>
      </c>
      <c r="P318" s="1">
        <v>0</v>
      </c>
      <c r="Q318" s="3">
        <v>0.56100000000000005</v>
      </c>
      <c r="R318" s="1">
        <v>0</v>
      </c>
      <c r="S318" s="1">
        <v>0</v>
      </c>
    </row>
    <row r="319" spans="1:19" x14ac:dyDescent="0.2">
      <c r="A319" s="1" t="s">
        <v>841</v>
      </c>
      <c r="B319" s="1" t="s">
        <v>842</v>
      </c>
      <c r="C319" s="1">
        <v>1</v>
      </c>
      <c r="D319" s="1" t="s">
        <v>1180</v>
      </c>
      <c r="E319" s="1">
        <v>2</v>
      </c>
      <c r="F319" s="1">
        <v>0</v>
      </c>
      <c r="G319" s="1">
        <v>0</v>
      </c>
      <c r="H319" s="2">
        <v>2.16E-5</v>
      </c>
      <c r="I319" s="1">
        <v>0</v>
      </c>
      <c r="J319" s="1">
        <v>0</v>
      </c>
      <c r="K319" s="1">
        <v>5.9253689999999998E-2</v>
      </c>
      <c r="L319" s="1">
        <v>0</v>
      </c>
      <c r="M319" s="1">
        <v>0</v>
      </c>
      <c r="N319" s="1">
        <v>2</v>
      </c>
      <c r="O319" s="1">
        <v>0</v>
      </c>
      <c r="P319" s="1">
        <v>0</v>
      </c>
      <c r="Q319" s="3">
        <v>2.5000000000000001E-2</v>
      </c>
      <c r="R319" s="1">
        <v>0</v>
      </c>
      <c r="S319" s="1">
        <v>0</v>
      </c>
    </row>
    <row r="320" spans="1:19" x14ac:dyDescent="0.2">
      <c r="A320" s="1" t="s">
        <v>843</v>
      </c>
      <c r="B320" s="1" t="s">
        <v>844</v>
      </c>
      <c r="C320" s="1">
        <v>1</v>
      </c>
      <c r="D320" s="1" t="s">
        <v>1180</v>
      </c>
      <c r="E320" s="1">
        <v>2</v>
      </c>
      <c r="F320" s="1">
        <v>0</v>
      </c>
      <c r="G320" s="1">
        <v>0</v>
      </c>
      <c r="H320" s="2">
        <v>7.3899999999999994E-5</v>
      </c>
      <c r="I320" s="1">
        <v>0</v>
      </c>
      <c r="J320" s="1">
        <v>0</v>
      </c>
      <c r="K320" s="1">
        <v>0.17489755000000001</v>
      </c>
      <c r="L320" s="1">
        <v>0</v>
      </c>
      <c r="M320" s="1">
        <v>0</v>
      </c>
      <c r="N320" s="1">
        <v>2</v>
      </c>
      <c r="O320" s="1">
        <v>0</v>
      </c>
      <c r="P320" s="1">
        <v>0</v>
      </c>
      <c r="Q320" s="3">
        <v>7.0000000000000007E-2</v>
      </c>
      <c r="R320" s="1">
        <v>0</v>
      </c>
      <c r="S320" s="1">
        <v>0</v>
      </c>
    </row>
    <row r="321" spans="1:19" x14ac:dyDescent="0.2">
      <c r="A321" s="1" t="s">
        <v>845</v>
      </c>
      <c r="B321" s="1" t="s">
        <v>846</v>
      </c>
      <c r="C321" s="1">
        <v>1</v>
      </c>
      <c r="D321" s="1" t="s">
        <v>1180</v>
      </c>
      <c r="E321" s="1">
        <v>33</v>
      </c>
      <c r="F321" s="1">
        <v>0</v>
      </c>
      <c r="G321" s="1">
        <v>0</v>
      </c>
      <c r="H321" s="1">
        <v>1.7831399999999999E-3</v>
      </c>
      <c r="I321" s="1">
        <v>0</v>
      </c>
      <c r="J321" s="1">
        <v>0</v>
      </c>
      <c r="K321" s="1">
        <v>1.2387211</v>
      </c>
      <c r="L321" s="1">
        <v>0</v>
      </c>
      <c r="M321" s="1">
        <v>0</v>
      </c>
      <c r="N321" s="1">
        <v>52</v>
      </c>
      <c r="O321" s="1">
        <v>0</v>
      </c>
      <c r="P321" s="1">
        <v>0</v>
      </c>
      <c r="Q321" s="3">
        <v>0.35</v>
      </c>
      <c r="R321" s="1">
        <v>0</v>
      </c>
      <c r="S321" s="1">
        <v>0</v>
      </c>
    </row>
    <row r="322" spans="1:19" x14ac:dyDescent="0.2">
      <c r="A322" s="1" t="s">
        <v>847</v>
      </c>
      <c r="B322" s="1" t="s">
        <v>84</v>
      </c>
      <c r="C322" s="1">
        <v>1</v>
      </c>
      <c r="D322" s="1" t="s">
        <v>1180</v>
      </c>
      <c r="E322" s="1">
        <v>6</v>
      </c>
      <c r="F322" s="1">
        <v>0</v>
      </c>
      <c r="G322" s="1">
        <v>0</v>
      </c>
      <c r="H322" s="1">
        <v>1.06364E-3</v>
      </c>
      <c r="I322" s="1">
        <v>0</v>
      </c>
      <c r="J322" s="1">
        <v>0</v>
      </c>
      <c r="K322" s="1">
        <v>0.63681650000000001</v>
      </c>
      <c r="L322" s="1">
        <v>0</v>
      </c>
      <c r="M322" s="1">
        <v>0</v>
      </c>
      <c r="N322" s="1">
        <v>9</v>
      </c>
      <c r="O322" s="1">
        <v>0</v>
      </c>
      <c r="P322" s="1">
        <v>0</v>
      </c>
      <c r="Q322" s="3">
        <v>0.214</v>
      </c>
      <c r="R322" s="1">
        <v>0</v>
      </c>
      <c r="S322" s="1">
        <v>0</v>
      </c>
    </row>
    <row r="323" spans="1:19" x14ac:dyDescent="0.2">
      <c r="A323" s="1" t="s">
        <v>848</v>
      </c>
      <c r="B323" s="1" t="s">
        <v>849</v>
      </c>
      <c r="C323" s="1">
        <v>1</v>
      </c>
      <c r="D323" s="1" t="s">
        <v>1180</v>
      </c>
      <c r="E323" s="1">
        <v>3</v>
      </c>
      <c r="F323" s="1">
        <v>0</v>
      </c>
      <c r="G323" s="1">
        <v>0</v>
      </c>
      <c r="H323" s="2">
        <v>2.24E-4</v>
      </c>
      <c r="I323" s="1">
        <v>0</v>
      </c>
      <c r="J323" s="1">
        <v>0</v>
      </c>
      <c r="K323" s="1">
        <v>0.68267405000000003</v>
      </c>
      <c r="L323" s="1">
        <v>0</v>
      </c>
      <c r="M323" s="1">
        <v>0</v>
      </c>
      <c r="N323" s="1">
        <v>3</v>
      </c>
      <c r="O323" s="1">
        <v>0</v>
      </c>
      <c r="P323" s="1">
        <v>0</v>
      </c>
      <c r="Q323" s="3">
        <v>0.22600000000000001</v>
      </c>
      <c r="R323" s="1">
        <v>0</v>
      </c>
      <c r="S323" s="1">
        <v>0</v>
      </c>
    </row>
    <row r="324" spans="1:19" x14ac:dyDescent="0.2">
      <c r="A324" s="1" t="s">
        <v>850</v>
      </c>
      <c r="B324" s="1" t="s">
        <v>851</v>
      </c>
      <c r="C324" s="1">
        <v>1</v>
      </c>
      <c r="D324" s="1" t="s">
        <v>1180</v>
      </c>
      <c r="E324" s="1">
        <v>3</v>
      </c>
      <c r="F324" s="1">
        <v>0</v>
      </c>
      <c r="G324" s="1">
        <v>0</v>
      </c>
      <c r="H324" s="2">
        <v>1.11E-4</v>
      </c>
      <c r="I324" s="1">
        <v>0</v>
      </c>
      <c r="J324" s="1">
        <v>0</v>
      </c>
      <c r="K324" s="1">
        <v>0.25892544000000001</v>
      </c>
      <c r="L324" s="1">
        <v>0</v>
      </c>
      <c r="M324" s="1">
        <v>0</v>
      </c>
      <c r="N324" s="1">
        <v>3</v>
      </c>
      <c r="O324" s="1">
        <v>0</v>
      </c>
      <c r="P324" s="1">
        <v>0</v>
      </c>
      <c r="Q324" s="3">
        <v>0.1</v>
      </c>
      <c r="R324" s="1">
        <v>0</v>
      </c>
      <c r="S324" s="1">
        <v>0</v>
      </c>
    </row>
    <row r="325" spans="1:19" x14ac:dyDescent="0.2">
      <c r="A325" s="1" t="s">
        <v>852</v>
      </c>
      <c r="B325" s="1" t="s">
        <v>853</v>
      </c>
      <c r="C325" s="1">
        <v>1</v>
      </c>
      <c r="D325" s="1" t="s">
        <v>1180</v>
      </c>
      <c r="E325" s="1">
        <v>13</v>
      </c>
      <c r="F325" s="1">
        <v>0</v>
      </c>
      <c r="G325" s="1">
        <v>0</v>
      </c>
      <c r="H325" s="1">
        <v>2.6472800000000001E-3</v>
      </c>
      <c r="I325" s="1">
        <v>0</v>
      </c>
      <c r="J325" s="1">
        <v>0</v>
      </c>
      <c r="K325" s="1">
        <v>1.1827300000000001</v>
      </c>
      <c r="L325" s="1">
        <v>0</v>
      </c>
      <c r="M325" s="1">
        <v>0</v>
      </c>
      <c r="N325" s="1">
        <v>23</v>
      </c>
      <c r="O325" s="1">
        <v>0</v>
      </c>
      <c r="P325" s="1">
        <v>0</v>
      </c>
      <c r="Q325" s="3">
        <v>0.33900000000000002</v>
      </c>
      <c r="R325" s="1">
        <v>0</v>
      </c>
      <c r="S325" s="1">
        <v>0</v>
      </c>
    </row>
    <row r="326" spans="1:19" x14ac:dyDescent="0.2">
      <c r="A326" s="1" t="s">
        <v>854</v>
      </c>
      <c r="B326" s="1" t="s">
        <v>855</v>
      </c>
      <c r="C326" s="1">
        <v>1</v>
      </c>
      <c r="D326" s="1" t="s">
        <v>1180</v>
      </c>
      <c r="E326" s="1">
        <v>7</v>
      </c>
      <c r="F326" s="1">
        <v>0</v>
      </c>
      <c r="G326" s="1">
        <v>0</v>
      </c>
      <c r="H326" s="2">
        <v>3.3599999999999998E-4</v>
      </c>
      <c r="I326" s="1">
        <v>0</v>
      </c>
      <c r="J326" s="1">
        <v>0</v>
      </c>
      <c r="K326" s="1">
        <v>0.27057409999999998</v>
      </c>
      <c r="L326" s="1">
        <v>0</v>
      </c>
      <c r="M326" s="1">
        <v>0</v>
      </c>
      <c r="N326" s="1">
        <v>10</v>
      </c>
      <c r="O326" s="1">
        <v>0</v>
      </c>
      <c r="P326" s="1">
        <v>0</v>
      </c>
      <c r="Q326" s="3">
        <v>0.104</v>
      </c>
      <c r="R326" s="1">
        <v>0</v>
      </c>
      <c r="S326" s="1">
        <v>0</v>
      </c>
    </row>
    <row r="327" spans="1:19" x14ac:dyDescent="0.2">
      <c r="A327" s="1" t="s">
        <v>856</v>
      </c>
      <c r="B327" s="1" t="s">
        <v>387</v>
      </c>
      <c r="C327" s="1">
        <v>1</v>
      </c>
      <c r="D327" s="1" t="s">
        <v>1180</v>
      </c>
      <c r="E327" s="1">
        <v>9</v>
      </c>
      <c r="F327" s="1">
        <v>0</v>
      </c>
      <c r="G327" s="1">
        <v>0</v>
      </c>
      <c r="H327" s="1">
        <v>3.8930599999999998E-3</v>
      </c>
      <c r="I327" s="1">
        <v>0</v>
      </c>
      <c r="J327" s="1">
        <v>0</v>
      </c>
      <c r="K327" s="1">
        <v>0.7179084</v>
      </c>
      <c r="L327" s="1">
        <v>0</v>
      </c>
      <c r="M327" s="1">
        <v>0</v>
      </c>
      <c r="N327" s="1">
        <v>20</v>
      </c>
      <c r="O327" s="1">
        <v>0</v>
      </c>
      <c r="P327" s="1">
        <v>0</v>
      </c>
      <c r="Q327" s="3">
        <v>0.23499999999999999</v>
      </c>
      <c r="R327" s="1">
        <v>0</v>
      </c>
      <c r="S327" s="1">
        <v>0</v>
      </c>
    </row>
    <row r="328" spans="1:19" x14ac:dyDescent="0.2">
      <c r="A328" s="1" t="s">
        <v>857</v>
      </c>
      <c r="B328" s="1" t="s">
        <v>858</v>
      </c>
      <c r="C328" s="1">
        <v>1</v>
      </c>
      <c r="D328" s="1" t="s">
        <v>1180</v>
      </c>
      <c r="E328" s="1">
        <v>2</v>
      </c>
      <c r="F328" s="1">
        <v>0</v>
      </c>
      <c r="G328" s="1">
        <v>0</v>
      </c>
      <c r="H328" s="2">
        <v>2.7599999999999999E-4</v>
      </c>
      <c r="I328" s="1">
        <v>0</v>
      </c>
      <c r="J328" s="1">
        <v>0</v>
      </c>
      <c r="K328" s="1">
        <v>0.72186863000000001</v>
      </c>
      <c r="L328" s="1">
        <v>0</v>
      </c>
      <c r="M328" s="1">
        <v>0</v>
      </c>
      <c r="N328" s="1">
        <v>3</v>
      </c>
      <c r="O328" s="1">
        <v>0</v>
      </c>
      <c r="P328" s="1">
        <v>0</v>
      </c>
      <c r="Q328" s="3">
        <v>0.23599999999999999</v>
      </c>
      <c r="R328" s="1">
        <v>0</v>
      </c>
      <c r="S328" s="1">
        <v>0</v>
      </c>
    </row>
    <row r="329" spans="1:19" x14ac:dyDescent="0.2">
      <c r="A329" s="1" t="s">
        <v>859</v>
      </c>
      <c r="B329" s="1" t="s">
        <v>860</v>
      </c>
      <c r="C329" s="1">
        <v>1</v>
      </c>
      <c r="D329" s="1" t="s">
        <v>1180</v>
      </c>
      <c r="E329" s="1">
        <v>18</v>
      </c>
      <c r="F329" s="1">
        <v>0</v>
      </c>
      <c r="G329" s="1">
        <v>0</v>
      </c>
      <c r="H329" s="2">
        <v>6.2199999999999994E-5</v>
      </c>
      <c r="I329" s="1">
        <v>0</v>
      </c>
      <c r="J329" s="1">
        <v>0</v>
      </c>
      <c r="K329" s="1">
        <v>8.6425660000000001E-2</v>
      </c>
      <c r="L329" s="1">
        <v>0</v>
      </c>
      <c r="M329" s="1">
        <v>0</v>
      </c>
      <c r="N329" s="1">
        <v>20</v>
      </c>
      <c r="O329" s="1">
        <v>0</v>
      </c>
      <c r="P329" s="1">
        <v>0</v>
      </c>
      <c r="Q329" s="3">
        <v>3.5999999999999997E-2</v>
      </c>
      <c r="R329" s="1">
        <v>0</v>
      </c>
      <c r="S329" s="1">
        <v>0</v>
      </c>
    </row>
    <row r="330" spans="1:19" x14ac:dyDescent="0.2">
      <c r="A330" s="1" t="s">
        <v>861</v>
      </c>
      <c r="B330" s="1" t="s">
        <v>862</v>
      </c>
      <c r="C330" s="1">
        <v>1</v>
      </c>
      <c r="D330" s="1" t="s">
        <v>1180</v>
      </c>
      <c r="E330" s="1">
        <v>2</v>
      </c>
      <c r="F330" s="1">
        <v>0</v>
      </c>
      <c r="G330" s="1">
        <v>0</v>
      </c>
      <c r="H330" s="2">
        <v>5.41E-5</v>
      </c>
      <c r="I330" s="1">
        <v>0</v>
      </c>
      <c r="J330" s="1">
        <v>0</v>
      </c>
      <c r="K330" s="1">
        <v>7.8946710000000003E-2</v>
      </c>
      <c r="L330" s="1">
        <v>0</v>
      </c>
      <c r="M330" s="1">
        <v>0</v>
      </c>
      <c r="N330" s="1">
        <v>2</v>
      </c>
      <c r="O330" s="1">
        <v>0</v>
      </c>
      <c r="P330" s="1">
        <v>0</v>
      </c>
      <c r="Q330" s="3">
        <v>3.3000000000000002E-2</v>
      </c>
      <c r="R330" s="1">
        <v>0</v>
      </c>
      <c r="S330" s="1">
        <v>0</v>
      </c>
    </row>
    <row r="331" spans="1:19" x14ac:dyDescent="0.2">
      <c r="A331" s="1" t="s">
        <v>863</v>
      </c>
      <c r="B331" s="1" t="s">
        <v>864</v>
      </c>
      <c r="C331" s="1">
        <v>1</v>
      </c>
      <c r="D331" s="1" t="s">
        <v>1180</v>
      </c>
      <c r="E331" s="1">
        <v>11</v>
      </c>
      <c r="F331" s="1">
        <v>0</v>
      </c>
      <c r="G331" s="1">
        <v>0</v>
      </c>
      <c r="H331" s="2">
        <v>3.6499999999999998E-4</v>
      </c>
      <c r="I331" s="1">
        <v>0</v>
      </c>
      <c r="J331" s="1">
        <v>0</v>
      </c>
      <c r="K331" s="1">
        <v>0.49279440000000002</v>
      </c>
      <c r="L331" s="1">
        <v>0</v>
      </c>
      <c r="M331" s="1">
        <v>0</v>
      </c>
      <c r="N331" s="1">
        <v>13</v>
      </c>
      <c r="O331" s="1">
        <v>0</v>
      </c>
      <c r="P331" s="1">
        <v>0</v>
      </c>
      <c r="Q331" s="3">
        <v>0.17399999999999999</v>
      </c>
      <c r="R331" s="1">
        <v>0</v>
      </c>
      <c r="S331" s="1">
        <v>0</v>
      </c>
    </row>
    <row r="332" spans="1:19" x14ac:dyDescent="0.2">
      <c r="A332" s="1" t="s">
        <v>865</v>
      </c>
      <c r="B332" s="1" t="s">
        <v>619</v>
      </c>
      <c r="C332" s="1">
        <v>1</v>
      </c>
      <c r="D332" s="1" t="s">
        <v>1180</v>
      </c>
      <c r="E332" s="1">
        <v>76</v>
      </c>
      <c r="F332" s="1">
        <v>0</v>
      </c>
      <c r="G332" s="1">
        <v>0</v>
      </c>
      <c r="H332" s="1">
        <v>7.8039700000000004E-3</v>
      </c>
      <c r="I332" s="1">
        <v>0</v>
      </c>
      <c r="J332" s="1">
        <v>0</v>
      </c>
      <c r="K332" s="1">
        <v>1.3496326999999999</v>
      </c>
      <c r="L332" s="1">
        <v>0</v>
      </c>
      <c r="M332" s="1">
        <v>0</v>
      </c>
      <c r="N332" s="1">
        <v>283</v>
      </c>
      <c r="O332" s="1">
        <v>0</v>
      </c>
      <c r="P332" s="1">
        <v>0</v>
      </c>
      <c r="Q332" s="3">
        <v>0.371</v>
      </c>
      <c r="R332" s="1">
        <v>0</v>
      </c>
      <c r="S332" s="1">
        <v>0</v>
      </c>
    </row>
    <row r="333" spans="1:19" x14ac:dyDescent="0.2">
      <c r="A333" s="1" t="s">
        <v>866</v>
      </c>
      <c r="B333" s="1" t="s">
        <v>867</v>
      </c>
      <c r="C333" s="1">
        <v>1</v>
      </c>
      <c r="D333" s="1" t="s">
        <v>1180</v>
      </c>
      <c r="E333" s="1">
        <v>5</v>
      </c>
      <c r="F333" s="1">
        <v>0</v>
      </c>
      <c r="G333" s="1">
        <v>0</v>
      </c>
      <c r="H333" s="2">
        <v>7.5100000000000004E-4</v>
      </c>
      <c r="I333" s="1">
        <v>0</v>
      </c>
      <c r="J333" s="1">
        <v>0</v>
      </c>
      <c r="K333" s="1">
        <v>0.82810019999999995</v>
      </c>
      <c r="L333" s="1">
        <v>0</v>
      </c>
      <c r="M333" s="1">
        <v>0</v>
      </c>
      <c r="N333" s="1">
        <v>8</v>
      </c>
      <c r="O333" s="1">
        <v>0</v>
      </c>
      <c r="P333" s="1">
        <v>0</v>
      </c>
      <c r="Q333" s="3">
        <v>0.26200000000000001</v>
      </c>
      <c r="R333" s="1">
        <v>0</v>
      </c>
      <c r="S333" s="1">
        <v>0</v>
      </c>
    </row>
    <row r="334" spans="1:19" x14ac:dyDescent="0.2">
      <c r="A334" s="1" t="s">
        <v>868</v>
      </c>
      <c r="B334" s="1" t="s">
        <v>869</v>
      </c>
      <c r="C334" s="1">
        <v>1</v>
      </c>
      <c r="D334" s="1" t="s">
        <v>1180</v>
      </c>
      <c r="E334" s="1">
        <v>3</v>
      </c>
      <c r="F334" s="1">
        <v>0</v>
      </c>
      <c r="G334" s="1">
        <v>0</v>
      </c>
      <c r="H334" s="2">
        <v>2.5999999999999998E-4</v>
      </c>
      <c r="I334" s="1">
        <v>0</v>
      </c>
      <c r="J334" s="1">
        <v>0</v>
      </c>
      <c r="K334" s="1">
        <v>0.66724720000000004</v>
      </c>
      <c r="L334" s="1">
        <v>0</v>
      </c>
      <c r="M334" s="1">
        <v>0</v>
      </c>
      <c r="N334" s="1">
        <v>3</v>
      </c>
      <c r="O334" s="1">
        <v>0</v>
      </c>
      <c r="P334" s="1">
        <v>0</v>
      </c>
      <c r="Q334" s="3">
        <v>0.222</v>
      </c>
      <c r="R334" s="1">
        <v>0</v>
      </c>
      <c r="S334" s="1">
        <v>0</v>
      </c>
    </row>
    <row r="335" spans="1:19" x14ac:dyDescent="0.2">
      <c r="A335" s="1" t="s">
        <v>870</v>
      </c>
      <c r="B335" s="1" t="s">
        <v>871</v>
      </c>
      <c r="C335" s="1">
        <v>1</v>
      </c>
      <c r="D335" s="1" t="s">
        <v>1180</v>
      </c>
      <c r="E335" s="1">
        <v>199</v>
      </c>
      <c r="F335" s="1">
        <v>0</v>
      </c>
      <c r="G335" s="1">
        <v>0</v>
      </c>
      <c r="H335" s="1">
        <v>4.92538E-3</v>
      </c>
      <c r="I335" s="1">
        <v>0</v>
      </c>
      <c r="J335" s="1">
        <v>0</v>
      </c>
      <c r="K335" s="1">
        <v>1.3659197999999999</v>
      </c>
      <c r="L335" s="1">
        <v>0</v>
      </c>
      <c r="M335" s="1">
        <v>0</v>
      </c>
      <c r="N335" s="1">
        <v>579</v>
      </c>
      <c r="O335" s="1">
        <v>0</v>
      </c>
      <c r="P335" s="1">
        <v>0</v>
      </c>
      <c r="Q335" s="3">
        <v>0.374</v>
      </c>
      <c r="R335" s="1">
        <v>0</v>
      </c>
      <c r="S335" s="1">
        <v>0</v>
      </c>
    </row>
    <row r="336" spans="1:19" x14ac:dyDescent="0.2">
      <c r="A336" s="1" t="s">
        <v>872</v>
      </c>
      <c r="B336" s="1" t="s">
        <v>25</v>
      </c>
      <c r="C336" s="1">
        <v>1</v>
      </c>
      <c r="D336" s="1" t="s">
        <v>1180</v>
      </c>
      <c r="E336" s="1">
        <v>3</v>
      </c>
      <c r="F336" s="1">
        <v>0</v>
      </c>
      <c r="G336" s="1">
        <v>0</v>
      </c>
      <c r="H336" s="2">
        <v>6.2399999999999999E-5</v>
      </c>
      <c r="I336" s="1">
        <v>0</v>
      </c>
      <c r="J336" s="1">
        <v>0</v>
      </c>
      <c r="K336" s="1">
        <v>3.2761459999999999E-2</v>
      </c>
      <c r="L336" s="1">
        <v>0</v>
      </c>
      <c r="M336" s="1">
        <v>0</v>
      </c>
      <c r="N336" s="1">
        <v>4</v>
      </c>
      <c r="O336" s="1">
        <v>0</v>
      </c>
      <c r="P336" s="1">
        <v>0</v>
      </c>
      <c r="Q336" s="3">
        <v>1.4E-2</v>
      </c>
      <c r="R336" s="1">
        <v>0</v>
      </c>
      <c r="S336" s="1">
        <v>0</v>
      </c>
    </row>
    <row r="337" spans="1:19" x14ac:dyDescent="0.2">
      <c r="A337" s="1" t="s">
        <v>873</v>
      </c>
      <c r="B337" s="1" t="s">
        <v>28</v>
      </c>
      <c r="C337" s="1">
        <v>1</v>
      </c>
      <c r="D337" s="1" t="s">
        <v>1180</v>
      </c>
      <c r="E337" s="1">
        <v>7</v>
      </c>
      <c r="F337" s="1">
        <v>0</v>
      </c>
      <c r="G337" s="1">
        <v>0</v>
      </c>
      <c r="H337" s="2">
        <v>4.0299999999999998E-4</v>
      </c>
      <c r="I337" s="1">
        <v>0</v>
      </c>
      <c r="J337" s="1">
        <v>0</v>
      </c>
      <c r="K337" s="1">
        <v>0.27643883000000002</v>
      </c>
      <c r="L337" s="1">
        <v>0</v>
      </c>
      <c r="M337" s="1">
        <v>0</v>
      </c>
      <c r="N337" s="1">
        <v>8</v>
      </c>
      <c r="O337" s="1">
        <v>0</v>
      </c>
      <c r="P337" s="1">
        <v>0</v>
      </c>
      <c r="Q337" s="3">
        <v>0.106</v>
      </c>
      <c r="R337" s="1">
        <v>0</v>
      </c>
      <c r="S337" s="1">
        <v>0</v>
      </c>
    </row>
    <row r="338" spans="1:19" x14ac:dyDescent="0.2">
      <c r="A338" s="1" t="s">
        <v>874</v>
      </c>
      <c r="B338" s="1" t="s">
        <v>875</v>
      </c>
      <c r="C338" s="1">
        <v>1</v>
      </c>
      <c r="D338" s="1" t="s">
        <v>1180</v>
      </c>
      <c r="E338" s="1">
        <v>3</v>
      </c>
      <c r="F338" s="1">
        <v>0</v>
      </c>
      <c r="G338" s="1">
        <v>0</v>
      </c>
      <c r="H338" s="2">
        <v>5.6099999999999998E-4</v>
      </c>
      <c r="I338" s="1">
        <v>0</v>
      </c>
      <c r="J338" s="1">
        <v>0</v>
      </c>
      <c r="K338" s="1">
        <v>0.28824949999999999</v>
      </c>
      <c r="L338" s="1">
        <v>0</v>
      </c>
      <c r="M338" s="1">
        <v>0</v>
      </c>
      <c r="N338" s="1">
        <v>5</v>
      </c>
      <c r="O338" s="1">
        <v>0</v>
      </c>
      <c r="P338" s="1">
        <v>0</v>
      </c>
      <c r="Q338" s="3">
        <v>0.11</v>
      </c>
      <c r="R338" s="1">
        <v>0</v>
      </c>
      <c r="S338" s="1">
        <v>0</v>
      </c>
    </row>
    <row r="339" spans="1:19" x14ac:dyDescent="0.2">
      <c r="A339" s="1" t="s">
        <v>876</v>
      </c>
      <c r="B339" s="1" t="s">
        <v>877</v>
      </c>
      <c r="C339" s="1">
        <v>1</v>
      </c>
      <c r="D339" s="1" t="s">
        <v>1180</v>
      </c>
      <c r="E339" s="1">
        <v>26</v>
      </c>
      <c r="F339" s="1">
        <v>0</v>
      </c>
      <c r="G339" s="1">
        <v>0</v>
      </c>
      <c r="H339" s="1">
        <v>4.3540899999999997E-3</v>
      </c>
      <c r="I339" s="1">
        <v>0</v>
      </c>
      <c r="J339" s="1">
        <v>0</v>
      </c>
      <c r="K339" s="1">
        <v>3.9773703</v>
      </c>
      <c r="L339" s="1">
        <v>0</v>
      </c>
      <c r="M339" s="1">
        <v>0</v>
      </c>
      <c r="N339" s="1">
        <v>50</v>
      </c>
      <c r="O339" s="1">
        <v>0</v>
      </c>
      <c r="P339" s="1">
        <v>0</v>
      </c>
      <c r="Q339" s="3">
        <v>0.69699999999999995</v>
      </c>
      <c r="R339" s="1">
        <v>0</v>
      </c>
      <c r="S339" s="1">
        <v>0</v>
      </c>
    </row>
    <row r="340" spans="1:19" x14ac:dyDescent="0.2">
      <c r="A340" s="1" t="s">
        <v>878</v>
      </c>
      <c r="B340" s="1" t="s">
        <v>879</v>
      </c>
      <c r="C340" s="1">
        <v>1</v>
      </c>
      <c r="D340" s="1" t="s">
        <v>1180</v>
      </c>
      <c r="E340" s="1">
        <v>8</v>
      </c>
      <c r="F340" s="1">
        <v>0</v>
      </c>
      <c r="G340" s="1">
        <v>0</v>
      </c>
      <c r="H340" s="2">
        <v>6.9899999999999997E-4</v>
      </c>
      <c r="I340" s="1">
        <v>0</v>
      </c>
      <c r="J340" s="1">
        <v>0</v>
      </c>
      <c r="K340" s="1">
        <v>0.55238699999999996</v>
      </c>
      <c r="L340" s="1">
        <v>0</v>
      </c>
      <c r="M340" s="1">
        <v>0</v>
      </c>
      <c r="N340" s="1">
        <v>13</v>
      </c>
      <c r="O340" s="1">
        <v>0</v>
      </c>
      <c r="P340" s="1">
        <v>0</v>
      </c>
      <c r="Q340" s="3">
        <v>0.191</v>
      </c>
      <c r="R340" s="1">
        <v>0</v>
      </c>
      <c r="S340" s="1">
        <v>0</v>
      </c>
    </row>
    <row r="341" spans="1:19" x14ac:dyDescent="0.2">
      <c r="A341" s="1" t="s">
        <v>880</v>
      </c>
      <c r="B341" s="1" t="s">
        <v>879</v>
      </c>
      <c r="C341" s="1">
        <v>1</v>
      </c>
      <c r="D341" s="1" t="s">
        <v>1180</v>
      </c>
      <c r="E341" s="1">
        <v>7</v>
      </c>
      <c r="F341" s="1">
        <v>0</v>
      </c>
      <c r="G341" s="1">
        <v>0</v>
      </c>
      <c r="H341" s="2">
        <v>5.2400000000000005E-4</v>
      </c>
      <c r="I341" s="1">
        <v>0</v>
      </c>
      <c r="J341" s="1">
        <v>0</v>
      </c>
      <c r="K341" s="1">
        <v>0.27643883000000002</v>
      </c>
      <c r="L341" s="1">
        <v>0</v>
      </c>
      <c r="M341" s="1">
        <v>0</v>
      </c>
      <c r="N341" s="1">
        <v>12</v>
      </c>
      <c r="O341" s="1">
        <v>0</v>
      </c>
      <c r="P341" s="1">
        <v>0</v>
      </c>
      <c r="Q341" s="3">
        <v>0.106</v>
      </c>
      <c r="R341" s="1">
        <v>0</v>
      </c>
      <c r="S341" s="1">
        <v>0</v>
      </c>
    </row>
    <row r="342" spans="1:19" x14ac:dyDescent="0.2">
      <c r="A342" s="1" t="s">
        <v>881</v>
      </c>
      <c r="B342" s="1" t="s">
        <v>882</v>
      </c>
      <c r="C342" s="1">
        <v>1</v>
      </c>
      <c r="D342" s="1" t="s">
        <v>1180</v>
      </c>
      <c r="E342" s="1">
        <v>4</v>
      </c>
      <c r="F342" s="1">
        <v>0</v>
      </c>
      <c r="G342" s="1">
        <v>0</v>
      </c>
      <c r="H342" s="2">
        <v>6.7100000000000005E-4</v>
      </c>
      <c r="I342" s="1">
        <v>0</v>
      </c>
      <c r="J342" s="1">
        <v>0</v>
      </c>
      <c r="K342" s="1">
        <v>0.37404190999999998</v>
      </c>
      <c r="L342" s="1">
        <v>0</v>
      </c>
      <c r="M342" s="1">
        <v>0</v>
      </c>
      <c r="N342" s="1">
        <v>7</v>
      </c>
      <c r="O342" s="1">
        <v>0</v>
      </c>
      <c r="P342" s="1">
        <v>0</v>
      </c>
      <c r="Q342" s="3">
        <v>0.13800000000000001</v>
      </c>
      <c r="R342" s="1">
        <v>0</v>
      </c>
      <c r="S342" s="1">
        <v>0</v>
      </c>
    </row>
    <row r="343" spans="1:19" x14ac:dyDescent="0.2">
      <c r="A343" s="1" t="s">
        <v>883</v>
      </c>
      <c r="B343" s="1" t="s">
        <v>884</v>
      </c>
      <c r="C343" s="1">
        <v>1</v>
      </c>
      <c r="D343" s="1" t="s">
        <v>1180</v>
      </c>
      <c r="E343" s="1">
        <v>3</v>
      </c>
      <c r="F343" s="1">
        <v>0</v>
      </c>
      <c r="G343" s="1">
        <v>0</v>
      </c>
      <c r="H343" s="2">
        <v>7.6600000000000005E-5</v>
      </c>
      <c r="I343" s="1">
        <v>0</v>
      </c>
      <c r="J343" s="1">
        <v>0</v>
      </c>
      <c r="K343" s="1">
        <v>3.5142180000000002E-2</v>
      </c>
      <c r="L343" s="1">
        <v>0</v>
      </c>
      <c r="M343" s="1">
        <v>0</v>
      </c>
      <c r="N343" s="1">
        <v>5</v>
      </c>
      <c r="O343" s="1">
        <v>0</v>
      </c>
      <c r="P343" s="1">
        <v>0</v>
      </c>
      <c r="Q343" s="3">
        <v>1.4999999999999999E-2</v>
      </c>
      <c r="R343" s="1">
        <v>0</v>
      </c>
      <c r="S343" s="1">
        <v>0</v>
      </c>
    </row>
    <row r="344" spans="1:19" x14ac:dyDescent="0.2">
      <c r="A344" s="1" t="s">
        <v>885</v>
      </c>
      <c r="B344" s="1" t="s">
        <v>886</v>
      </c>
      <c r="C344" s="1">
        <v>1</v>
      </c>
      <c r="D344" s="1" t="s">
        <v>1180</v>
      </c>
      <c r="E344" s="1">
        <v>12</v>
      </c>
      <c r="F344" s="1">
        <v>0</v>
      </c>
      <c r="G344" s="1">
        <v>0</v>
      </c>
      <c r="H344" s="2">
        <v>7.0200000000000004E-4</v>
      </c>
      <c r="I344" s="1">
        <v>0</v>
      </c>
      <c r="J344" s="1">
        <v>0</v>
      </c>
      <c r="K344" s="1">
        <v>0.80717410000000001</v>
      </c>
      <c r="L344" s="1">
        <v>0</v>
      </c>
      <c r="M344" s="1">
        <v>0</v>
      </c>
      <c r="N344" s="1">
        <v>13</v>
      </c>
      <c r="O344" s="1">
        <v>0</v>
      </c>
      <c r="P344" s="1">
        <v>0</v>
      </c>
      <c r="Q344" s="3">
        <v>0.25700000000000001</v>
      </c>
      <c r="R344" s="1">
        <v>0</v>
      </c>
      <c r="S344" s="1">
        <v>0</v>
      </c>
    </row>
    <row r="345" spans="1:19" x14ac:dyDescent="0.2">
      <c r="A345" s="1" t="s">
        <v>887</v>
      </c>
      <c r="B345" s="1" t="s">
        <v>888</v>
      </c>
      <c r="C345" s="1">
        <v>1</v>
      </c>
      <c r="D345" s="1" t="s">
        <v>1180</v>
      </c>
      <c r="E345" s="1">
        <v>4</v>
      </c>
      <c r="F345" s="1">
        <v>0</v>
      </c>
      <c r="G345" s="1">
        <v>0</v>
      </c>
      <c r="H345" s="2">
        <v>6.5199999999999999E-5</v>
      </c>
      <c r="I345" s="1">
        <v>0</v>
      </c>
      <c r="J345" s="1">
        <v>0</v>
      </c>
      <c r="K345" s="1">
        <v>0.12719749999999999</v>
      </c>
      <c r="L345" s="1">
        <v>0</v>
      </c>
      <c r="M345" s="1">
        <v>0</v>
      </c>
      <c r="N345" s="1">
        <v>4</v>
      </c>
      <c r="O345" s="1">
        <v>0</v>
      </c>
      <c r="P345" s="1">
        <v>0</v>
      </c>
      <c r="Q345" s="3">
        <v>5.1999999999999998E-2</v>
      </c>
      <c r="R345" s="1">
        <v>0</v>
      </c>
      <c r="S345" s="1">
        <v>0</v>
      </c>
    </row>
    <row r="346" spans="1:19" x14ac:dyDescent="0.2">
      <c r="A346" s="1" t="s">
        <v>889</v>
      </c>
      <c r="B346" s="1" t="s">
        <v>259</v>
      </c>
      <c r="C346" s="1">
        <v>1</v>
      </c>
      <c r="D346" s="1" t="s">
        <v>1180</v>
      </c>
      <c r="E346" s="1">
        <v>3</v>
      </c>
      <c r="F346" s="1">
        <v>0</v>
      </c>
      <c r="G346" s="1">
        <v>0</v>
      </c>
      <c r="H346" s="2">
        <v>4.7600000000000002E-4</v>
      </c>
      <c r="I346" s="1">
        <v>0</v>
      </c>
      <c r="J346" s="1">
        <v>0</v>
      </c>
      <c r="K346" s="1">
        <v>0.21338879999999999</v>
      </c>
      <c r="L346" s="1">
        <v>0</v>
      </c>
      <c r="M346" s="1">
        <v>0</v>
      </c>
      <c r="N346" s="1">
        <v>6</v>
      </c>
      <c r="O346" s="1">
        <v>0</v>
      </c>
      <c r="P346" s="1">
        <v>0</v>
      </c>
      <c r="Q346" s="3">
        <v>8.4000000000000005E-2</v>
      </c>
      <c r="R346" s="1">
        <v>0</v>
      </c>
      <c r="S346" s="1">
        <v>0</v>
      </c>
    </row>
    <row r="347" spans="1:19" x14ac:dyDescent="0.2">
      <c r="A347" s="1" t="s">
        <v>890</v>
      </c>
      <c r="B347" s="1" t="s">
        <v>891</v>
      </c>
      <c r="C347" s="1">
        <v>1</v>
      </c>
      <c r="D347" s="1" t="s">
        <v>1180</v>
      </c>
      <c r="E347" s="1">
        <v>6</v>
      </c>
      <c r="F347" s="1">
        <v>0</v>
      </c>
      <c r="G347" s="1">
        <v>0</v>
      </c>
      <c r="H347" s="2">
        <v>7.8399999999999997E-4</v>
      </c>
      <c r="I347" s="1">
        <v>0</v>
      </c>
      <c r="J347" s="1">
        <v>0</v>
      </c>
      <c r="K347" s="1">
        <v>0.23594749000000001</v>
      </c>
      <c r="L347" s="1">
        <v>0</v>
      </c>
      <c r="M347" s="1">
        <v>0</v>
      </c>
      <c r="N347" s="1">
        <v>9</v>
      </c>
      <c r="O347" s="1">
        <v>0</v>
      </c>
      <c r="P347" s="1">
        <v>0</v>
      </c>
      <c r="Q347" s="3">
        <v>9.1999999999999998E-2</v>
      </c>
      <c r="R347" s="1">
        <v>0</v>
      </c>
      <c r="S347" s="1">
        <v>0</v>
      </c>
    </row>
    <row r="348" spans="1:19" x14ac:dyDescent="0.2">
      <c r="A348" s="1" t="s">
        <v>892</v>
      </c>
      <c r="B348" s="1" t="s">
        <v>893</v>
      </c>
      <c r="C348" s="1">
        <v>1</v>
      </c>
      <c r="D348" s="1" t="s">
        <v>1180</v>
      </c>
      <c r="E348" s="1">
        <v>5</v>
      </c>
      <c r="F348" s="1">
        <v>0</v>
      </c>
      <c r="G348" s="1">
        <v>0</v>
      </c>
      <c r="H348" s="2">
        <v>2.6899999999999998E-4</v>
      </c>
      <c r="I348" s="1">
        <v>0</v>
      </c>
      <c r="J348" s="1">
        <v>0</v>
      </c>
      <c r="K348" s="1">
        <v>0.25314115999999998</v>
      </c>
      <c r="L348" s="1">
        <v>0</v>
      </c>
      <c r="M348" s="1">
        <v>0</v>
      </c>
      <c r="N348" s="1">
        <v>5</v>
      </c>
      <c r="O348" s="1">
        <v>0</v>
      </c>
      <c r="P348" s="1">
        <v>0</v>
      </c>
      <c r="Q348" s="3">
        <v>9.8000000000000004E-2</v>
      </c>
      <c r="R348" s="1">
        <v>0</v>
      </c>
      <c r="S348" s="1">
        <v>0</v>
      </c>
    </row>
    <row r="349" spans="1:19" x14ac:dyDescent="0.2">
      <c r="A349" s="1" t="s">
        <v>894</v>
      </c>
      <c r="B349" s="1" t="s">
        <v>895</v>
      </c>
      <c r="C349" s="1">
        <v>1</v>
      </c>
      <c r="D349" s="1" t="s">
        <v>1180</v>
      </c>
      <c r="E349" s="1">
        <v>3</v>
      </c>
      <c r="F349" s="1">
        <v>0</v>
      </c>
      <c r="G349" s="1">
        <v>0</v>
      </c>
      <c r="H349" s="2">
        <v>2.5500000000000002E-4</v>
      </c>
      <c r="I349" s="1">
        <v>0</v>
      </c>
      <c r="J349" s="1">
        <v>0</v>
      </c>
      <c r="K349" s="1">
        <v>0.19398808000000001</v>
      </c>
      <c r="L349" s="1">
        <v>0</v>
      </c>
      <c r="M349" s="1">
        <v>0</v>
      </c>
      <c r="N349" s="1">
        <v>3</v>
      </c>
      <c r="O349" s="1">
        <v>0</v>
      </c>
      <c r="P349" s="1">
        <v>0</v>
      </c>
      <c r="Q349" s="3">
        <v>7.6999999999999999E-2</v>
      </c>
      <c r="R349" s="1">
        <v>0</v>
      </c>
      <c r="S349" s="1">
        <v>0</v>
      </c>
    </row>
    <row r="350" spans="1:19" x14ac:dyDescent="0.2">
      <c r="A350" s="1" t="s">
        <v>896</v>
      </c>
      <c r="B350" s="1" t="s">
        <v>897</v>
      </c>
      <c r="C350" s="1">
        <v>1</v>
      </c>
      <c r="D350" s="1" t="s">
        <v>1180</v>
      </c>
      <c r="E350" s="1">
        <v>2</v>
      </c>
      <c r="F350" s="1">
        <v>0</v>
      </c>
      <c r="G350" s="1">
        <v>0</v>
      </c>
      <c r="H350" s="2">
        <v>3.1399999999999998E-5</v>
      </c>
      <c r="I350" s="1">
        <v>0</v>
      </c>
      <c r="J350" s="1">
        <v>0</v>
      </c>
      <c r="K350" s="1">
        <v>2.0939470000000002E-2</v>
      </c>
      <c r="L350" s="1">
        <v>0</v>
      </c>
      <c r="M350" s="1">
        <v>0</v>
      </c>
      <c r="N350" s="1">
        <v>2</v>
      </c>
      <c r="O350" s="1">
        <v>0</v>
      </c>
      <c r="P350" s="1">
        <v>0</v>
      </c>
      <c r="Q350" s="3">
        <v>8.9999999999999993E-3</v>
      </c>
      <c r="R350" s="1">
        <v>0</v>
      </c>
      <c r="S350" s="1">
        <v>0</v>
      </c>
    </row>
    <row r="351" spans="1:19" x14ac:dyDescent="0.2">
      <c r="A351" s="1" t="s">
        <v>898</v>
      </c>
      <c r="B351" s="1" t="s">
        <v>899</v>
      </c>
      <c r="C351" s="1">
        <v>1</v>
      </c>
      <c r="D351" s="1" t="s">
        <v>1180</v>
      </c>
      <c r="E351" s="1">
        <v>13</v>
      </c>
      <c r="F351" s="1">
        <v>0</v>
      </c>
      <c r="G351" s="1">
        <v>0</v>
      </c>
      <c r="H351" s="2">
        <v>9.48E-5</v>
      </c>
      <c r="I351" s="1">
        <v>0</v>
      </c>
      <c r="J351" s="1">
        <v>0</v>
      </c>
      <c r="K351" s="1">
        <v>0.14815365999999999</v>
      </c>
      <c r="L351" s="1">
        <v>0</v>
      </c>
      <c r="M351" s="1">
        <v>0</v>
      </c>
      <c r="N351" s="1">
        <v>16</v>
      </c>
      <c r="O351" s="1">
        <v>0</v>
      </c>
      <c r="P351" s="1">
        <v>0</v>
      </c>
      <c r="Q351" s="3">
        <v>0.06</v>
      </c>
      <c r="R351" s="1">
        <v>0</v>
      </c>
      <c r="S351" s="1">
        <v>0</v>
      </c>
    </row>
    <row r="352" spans="1:19" x14ac:dyDescent="0.2">
      <c r="A352" s="1" t="s">
        <v>900</v>
      </c>
      <c r="B352" s="1" t="s">
        <v>901</v>
      </c>
      <c r="C352" s="1">
        <v>1</v>
      </c>
      <c r="D352" s="1" t="s">
        <v>1180</v>
      </c>
      <c r="E352" s="1">
        <v>41</v>
      </c>
      <c r="F352" s="1">
        <v>0</v>
      </c>
      <c r="G352" s="1">
        <v>0</v>
      </c>
      <c r="H352" s="1">
        <v>2.6909199999999999E-3</v>
      </c>
      <c r="I352" s="1">
        <v>0</v>
      </c>
      <c r="J352" s="1">
        <v>0</v>
      </c>
      <c r="K352" s="1">
        <v>2.5645112999999999</v>
      </c>
      <c r="L352" s="1">
        <v>0</v>
      </c>
      <c r="M352" s="1">
        <v>0</v>
      </c>
      <c r="N352" s="1">
        <v>74</v>
      </c>
      <c r="O352" s="1">
        <v>0</v>
      </c>
      <c r="P352" s="1">
        <v>0</v>
      </c>
      <c r="Q352" s="3">
        <v>0.55200000000000005</v>
      </c>
      <c r="R352" s="1">
        <v>0</v>
      </c>
      <c r="S352" s="1">
        <v>0</v>
      </c>
    </row>
    <row r="353" spans="1:19" x14ac:dyDescent="0.2">
      <c r="A353" s="1" t="s">
        <v>902</v>
      </c>
      <c r="B353" s="1" t="s">
        <v>25</v>
      </c>
      <c r="C353" s="1">
        <v>1</v>
      </c>
      <c r="D353" s="1" t="s">
        <v>1180</v>
      </c>
      <c r="E353" s="1">
        <v>8</v>
      </c>
      <c r="F353" s="1">
        <v>0</v>
      </c>
      <c r="G353" s="1">
        <v>0</v>
      </c>
      <c r="H353" s="2">
        <v>8.6700000000000007E-5</v>
      </c>
      <c r="I353" s="1">
        <v>0</v>
      </c>
      <c r="J353" s="1">
        <v>0</v>
      </c>
      <c r="K353" s="1">
        <v>8.3926920000000002E-2</v>
      </c>
      <c r="L353" s="1">
        <v>0</v>
      </c>
      <c r="M353" s="1">
        <v>0</v>
      </c>
      <c r="N353" s="1">
        <v>11</v>
      </c>
      <c r="O353" s="1">
        <v>0</v>
      </c>
      <c r="P353" s="1">
        <v>0</v>
      </c>
      <c r="Q353" s="3">
        <v>3.5000000000000003E-2</v>
      </c>
      <c r="R353" s="1">
        <v>0</v>
      </c>
      <c r="S353" s="1">
        <v>0</v>
      </c>
    </row>
    <row r="354" spans="1:19" x14ac:dyDescent="0.2">
      <c r="A354" s="1" t="s">
        <v>903</v>
      </c>
      <c r="B354" s="1" t="s">
        <v>904</v>
      </c>
      <c r="C354" s="1">
        <v>1</v>
      </c>
      <c r="D354" s="1" t="s">
        <v>1180</v>
      </c>
      <c r="E354" s="1">
        <v>16</v>
      </c>
      <c r="F354" s="1">
        <v>0</v>
      </c>
      <c r="G354" s="1">
        <v>0</v>
      </c>
      <c r="H354" s="2">
        <v>7.6599999999999997E-4</v>
      </c>
      <c r="I354" s="1">
        <v>0</v>
      </c>
      <c r="J354" s="1">
        <v>0</v>
      </c>
      <c r="K354" s="1">
        <v>0.23879659</v>
      </c>
      <c r="L354" s="1">
        <v>0</v>
      </c>
      <c r="M354" s="1">
        <v>0</v>
      </c>
      <c r="N354" s="1">
        <v>31</v>
      </c>
      <c r="O354" s="1">
        <v>0</v>
      </c>
      <c r="P354" s="1">
        <v>0</v>
      </c>
      <c r="Q354" s="3">
        <v>9.2999999999999999E-2</v>
      </c>
      <c r="R354" s="1">
        <v>0</v>
      </c>
      <c r="S354" s="1">
        <v>0</v>
      </c>
    </row>
    <row r="355" spans="1:19" x14ac:dyDescent="0.2">
      <c r="A355" s="1" t="s">
        <v>905</v>
      </c>
      <c r="B355" s="1" t="s">
        <v>906</v>
      </c>
      <c r="C355" s="1">
        <v>1</v>
      </c>
      <c r="D355" s="1" t="s">
        <v>1180</v>
      </c>
      <c r="E355" s="1">
        <v>4</v>
      </c>
      <c r="F355" s="1">
        <v>0</v>
      </c>
      <c r="G355" s="1">
        <v>0</v>
      </c>
      <c r="H355" s="2">
        <v>4.3300000000000001E-4</v>
      </c>
      <c r="I355" s="1">
        <v>0</v>
      </c>
      <c r="J355" s="1">
        <v>0</v>
      </c>
      <c r="K355" s="1">
        <v>0.19674051000000001</v>
      </c>
      <c r="L355" s="1">
        <v>0</v>
      </c>
      <c r="M355" s="1">
        <v>0</v>
      </c>
      <c r="N355" s="1">
        <v>5</v>
      </c>
      <c r="O355" s="1">
        <v>0</v>
      </c>
      <c r="P355" s="1">
        <v>0</v>
      </c>
      <c r="Q355" s="3">
        <v>7.8E-2</v>
      </c>
      <c r="R355" s="1">
        <v>0</v>
      </c>
      <c r="S355" s="1">
        <v>0</v>
      </c>
    </row>
    <row r="356" spans="1:19" x14ac:dyDescent="0.2">
      <c r="A356" s="1" t="s">
        <v>907</v>
      </c>
      <c r="B356" s="1" t="s">
        <v>590</v>
      </c>
      <c r="C356" s="1">
        <v>1</v>
      </c>
      <c r="D356" s="1" t="s">
        <v>1180</v>
      </c>
      <c r="E356" s="1">
        <v>4</v>
      </c>
      <c r="F356" s="1">
        <v>0</v>
      </c>
      <c r="G356" s="1">
        <v>0</v>
      </c>
      <c r="H356" s="2">
        <v>2.7900000000000001E-4</v>
      </c>
      <c r="I356" s="1">
        <v>0</v>
      </c>
      <c r="J356" s="1">
        <v>0</v>
      </c>
      <c r="K356" s="1">
        <v>0.35518944000000002</v>
      </c>
      <c r="L356" s="1">
        <v>0</v>
      </c>
      <c r="M356" s="1">
        <v>0</v>
      </c>
      <c r="N356" s="1">
        <v>4</v>
      </c>
      <c r="O356" s="1">
        <v>0</v>
      </c>
      <c r="P356" s="1">
        <v>0</v>
      </c>
      <c r="Q356" s="3">
        <v>0.13200000000000001</v>
      </c>
      <c r="R356" s="1">
        <v>0</v>
      </c>
      <c r="S356" s="1">
        <v>0</v>
      </c>
    </row>
    <row r="357" spans="1:19" x14ac:dyDescent="0.2">
      <c r="A357" s="1" t="s">
        <v>908</v>
      </c>
      <c r="B357" s="1" t="s">
        <v>25</v>
      </c>
      <c r="C357" s="1">
        <v>1</v>
      </c>
      <c r="D357" s="1" t="s">
        <v>1180</v>
      </c>
      <c r="E357" s="1">
        <v>9</v>
      </c>
      <c r="F357" s="1">
        <v>0</v>
      </c>
      <c r="G357" s="1">
        <v>0</v>
      </c>
      <c r="H357" s="2">
        <v>4.9700000000000005E-4</v>
      </c>
      <c r="I357" s="1">
        <v>0</v>
      </c>
      <c r="J357" s="1">
        <v>0</v>
      </c>
      <c r="K357" s="1">
        <v>0.29717934000000001</v>
      </c>
      <c r="L357" s="1">
        <v>0</v>
      </c>
      <c r="M357" s="1">
        <v>0</v>
      </c>
      <c r="N357" s="1">
        <v>13</v>
      </c>
      <c r="O357" s="1">
        <v>0</v>
      </c>
      <c r="P357" s="1">
        <v>0</v>
      </c>
      <c r="Q357" s="3">
        <v>0.113</v>
      </c>
      <c r="R357" s="1">
        <v>0</v>
      </c>
      <c r="S357" s="1">
        <v>0</v>
      </c>
    </row>
    <row r="358" spans="1:19" x14ac:dyDescent="0.2">
      <c r="A358" s="1" t="s">
        <v>909</v>
      </c>
      <c r="B358" s="1" t="s">
        <v>910</v>
      </c>
      <c r="C358" s="1">
        <v>1</v>
      </c>
      <c r="D358" s="1" t="s">
        <v>1180</v>
      </c>
      <c r="E358" s="1">
        <v>2</v>
      </c>
      <c r="F358" s="1">
        <v>0</v>
      </c>
      <c r="G358" s="1">
        <v>0</v>
      </c>
      <c r="H358" s="2">
        <v>6.2299999999999996E-5</v>
      </c>
      <c r="I358" s="1">
        <v>0</v>
      </c>
      <c r="J358" s="1">
        <v>0</v>
      </c>
      <c r="K358" s="1">
        <v>9.1440320000000005E-2</v>
      </c>
      <c r="L358" s="1">
        <v>0</v>
      </c>
      <c r="M358" s="1">
        <v>0</v>
      </c>
      <c r="N358" s="1">
        <v>2</v>
      </c>
      <c r="O358" s="1">
        <v>0</v>
      </c>
      <c r="P358" s="1">
        <v>0</v>
      </c>
      <c r="Q358" s="3">
        <v>3.7999999999999999E-2</v>
      </c>
      <c r="R358" s="1">
        <v>0</v>
      </c>
      <c r="S358" s="1">
        <v>0</v>
      </c>
    </row>
    <row r="359" spans="1:19" x14ac:dyDescent="0.2">
      <c r="A359" s="1" t="s">
        <v>911</v>
      </c>
      <c r="B359" s="1" t="s">
        <v>40</v>
      </c>
      <c r="C359" s="1">
        <v>1</v>
      </c>
      <c r="D359" s="1" t="s">
        <v>1180</v>
      </c>
      <c r="E359" s="1">
        <v>9</v>
      </c>
      <c r="F359" s="1">
        <v>0</v>
      </c>
      <c r="G359" s="1">
        <v>0</v>
      </c>
      <c r="H359" s="1">
        <v>3.27875E-3</v>
      </c>
      <c r="I359" s="1">
        <v>0</v>
      </c>
      <c r="J359" s="1">
        <v>0</v>
      </c>
      <c r="K359" s="1">
        <v>0.92309176999999998</v>
      </c>
      <c r="L359" s="1">
        <v>0</v>
      </c>
      <c r="M359" s="1">
        <v>0</v>
      </c>
      <c r="N359" s="1">
        <v>27</v>
      </c>
      <c r="O359" s="1">
        <v>0</v>
      </c>
      <c r="P359" s="1">
        <v>0</v>
      </c>
      <c r="Q359" s="3">
        <v>0.28399999999999997</v>
      </c>
      <c r="R359" s="1">
        <v>0</v>
      </c>
      <c r="S359" s="1">
        <v>0</v>
      </c>
    </row>
    <row r="360" spans="1:19" x14ac:dyDescent="0.2">
      <c r="A360" s="1" t="s">
        <v>912</v>
      </c>
      <c r="B360" s="1" t="s">
        <v>665</v>
      </c>
      <c r="C360" s="1">
        <v>1</v>
      </c>
      <c r="D360" s="1" t="s">
        <v>1180</v>
      </c>
      <c r="E360" s="1">
        <v>14</v>
      </c>
      <c r="F360" s="1">
        <v>0</v>
      </c>
      <c r="G360" s="1">
        <v>0</v>
      </c>
      <c r="H360" s="2">
        <v>4.95E-4</v>
      </c>
      <c r="I360" s="1">
        <v>0</v>
      </c>
      <c r="J360" s="1">
        <v>0</v>
      </c>
      <c r="K360" s="1">
        <v>0.86208713000000003</v>
      </c>
      <c r="L360" s="1">
        <v>0</v>
      </c>
      <c r="M360" s="1">
        <v>0</v>
      </c>
      <c r="N360" s="1">
        <v>14</v>
      </c>
      <c r="O360" s="1">
        <v>0</v>
      </c>
      <c r="P360" s="1">
        <v>0</v>
      </c>
      <c r="Q360" s="3">
        <v>0.27</v>
      </c>
      <c r="R360" s="1">
        <v>0</v>
      </c>
      <c r="S360" s="1">
        <v>0</v>
      </c>
    </row>
    <row r="361" spans="1:19" x14ac:dyDescent="0.2">
      <c r="A361" s="1" t="s">
        <v>913</v>
      </c>
      <c r="B361" s="1" t="s">
        <v>914</v>
      </c>
      <c r="C361" s="1">
        <v>1</v>
      </c>
      <c r="D361" s="1" t="s">
        <v>1180</v>
      </c>
      <c r="E361" s="1">
        <v>4</v>
      </c>
      <c r="F361" s="1">
        <v>0</v>
      </c>
      <c r="G361" s="1">
        <v>0</v>
      </c>
      <c r="H361" s="2">
        <v>5.4699999999999996E-4</v>
      </c>
      <c r="I361" s="1">
        <v>0</v>
      </c>
      <c r="J361" s="1">
        <v>0</v>
      </c>
      <c r="K361" s="1">
        <v>0.64058983000000003</v>
      </c>
      <c r="L361" s="1">
        <v>0</v>
      </c>
      <c r="M361" s="1">
        <v>0</v>
      </c>
      <c r="N361" s="1">
        <v>5</v>
      </c>
      <c r="O361" s="1">
        <v>0</v>
      </c>
      <c r="P361" s="1">
        <v>0</v>
      </c>
      <c r="Q361" s="3">
        <v>0.215</v>
      </c>
      <c r="R361" s="1">
        <v>0</v>
      </c>
      <c r="S361" s="1">
        <v>0</v>
      </c>
    </row>
    <row r="362" spans="1:19" x14ac:dyDescent="0.2">
      <c r="A362" s="1" t="s">
        <v>915</v>
      </c>
      <c r="B362" s="1" t="s">
        <v>916</v>
      </c>
      <c r="C362" s="1">
        <v>1</v>
      </c>
      <c r="D362" s="1" t="s">
        <v>1180</v>
      </c>
      <c r="E362" s="1">
        <v>8</v>
      </c>
      <c r="F362" s="1">
        <v>0</v>
      </c>
      <c r="G362" s="1">
        <v>0</v>
      </c>
      <c r="H362" s="2">
        <v>1.2400000000000001E-4</v>
      </c>
      <c r="I362" s="1">
        <v>0</v>
      </c>
      <c r="J362" s="1">
        <v>0</v>
      </c>
      <c r="K362" s="1">
        <v>0.11686325</v>
      </c>
      <c r="L362" s="1">
        <v>0</v>
      </c>
      <c r="M362" s="1">
        <v>0</v>
      </c>
      <c r="N362" s="1">
        <v>10</v>
      </c>
      <c r="O362" s="1">
        <v>0</v>
      </c>
      <c r="P362" s="1">
        <v>0</v>
      </c>
      <c r="Q362" s="3">
        <v>4.8000000000000001E-2</v>
      </c>
      <c r="R362" s="1">
        <v>0</v>
      </c>
      <c r="S362" s="1">
        <v>0</v>
      </c>
    </row>
    <row r="363" spans="1:19" x14ac:dyDescent="0.2">
      <c r="A363" s="1" t="s">
        <v>917</v>
      </c>
      <c r="B363" s="1" t="s">
        <v>918</v>
      </c>
      <c r="C363" s="1">
        <v>1</v>
      </c>
      <c r="D363" s="1" t="s">
        <v>1180</v>
      </c>
      <c r="E363" s="1">
        <v>6</v>
      </c>
      <c r="F363" s="1">
        <v>0</v>
      </c>
      <c r="G363" s="1">
        <v>0</v>
      </c>
      <c r="H363" s="2">
        <v>8.0500000000000005E-4</v>
      </c>
      <c r="I363" s="1">
        <v>0</v>
      </c>
      <c r="J363" s="1">
        <v>0</v>
      </c>
      <c r="K363" s="1">
        <v>0.59587909999999999</v>
      </c>
      <c r="L363" s="1">
        <v>0</v>
      </c>
      <c r="M363" s="1">
        <v>0</v>
      </c>
      <c r="N363" s="1">
        <v>9</v>
      </c>
      <c r="O363" s="1">
        <v>0</v>
      </c>
      <c r="P363" s="1">
        <v>0</v>
      </c>
      <c r="Q363" s="3">
        <v>0.20300000000000001</v>
      </c>
      <c r="R363" s="1">
        <v>0</v>
      </c>
      <c r="S363" s="1">
        <v>0</v>
      </c>
    </row>
    <row r="364" spans="1:19" x14ac:dyDescent="0.2">
      <c r="A364" s="1" t="s">
        <v>919</v>
      </c>
      <c r="B364" s="1" t="s">
        <v>436</v>
      </c>
      <c r="C364" s="1">
        <v>1</v>
      </c>
      <c r="D364" s="1" t="s">
        <v>1180</v>
      </c>
      <c r="E364" s="1">
        <v>6</v>
      </c>
      <c r="F364" s="1">
        <v>0</v>
      </c>
      <c r="G364" s="1">
        <v>0</v>
      </c>
      <c r="H364" s="2">
        <v>3.0899999999999998E-4</v>
      </c>
      <c r="I364" s="1">
        <v>0</v>
      </c>
      <c r="J364" s="1">
        <v>0</v>
      </c>
      <c r="K364" s="1">
        <v>0.19398808000000001</v>
      </c>
      <c r="L364" s="1">
        <v>0</v>
      </c>
      <c r="M364" s="1">
        <v>0</v>
      </c>
      <c r="N364" s="1">
        <v>7</v>
      </c>
      <c r="O364" s="1">
        <v>0</v>
      </c>
      <c r="P364" s="1">
        <v>0</v>
      </c>
      <c r="Q364" s="3">
        <v>7.6999999999999999E-2</v>
      </c>
      <c r="R364" s="1">
        <v>0</v>
      </c>
      <c r="S364" s="1">
        <v>0</v>
      </c>
    </row>
    <row r="365" spans="1:19" x14ac:dyDescent="0.2">
      <c r="A365" s="1" t="s">
        <v>920</v>
      </c>
      <c r="B365" s="1" t="s">
        <v>921</v>
      </c>
      <c r="C365" s="1">
        <v>1</v>
      </c>
      <c r="D365" s="1" t="s">
        <v>1180</v>
      </c>
      <c r="E365" s="1">
        <v>4</v>
      </c>
      <c r="F365" s="1">
        <v>0</v>
      </c>
      <c r="G365" s="1">
        <v>0</v>
      </c>
      <c r="H365" s="2">
        <v>4.6499999999999999E-5</v>
      </c>
      <c r="I365" s="1">
        <v>0</v>
      </c>
      <c r="J365" s="1">
        <v>0</v>
      </c>
      <c r="K365" s="1">
        <v>5.9253689999999998E-2</v>
      </c>
      <c r="L365" s="1">
        <v>0</v>
      </c>
      <c r="M365" s="1">
        <v>0</v>
      </c>
      <c r="N365" s="1">
        <v>4</v>
      </c>
      <c r="O365" s="1">
        <v>0</v>
      </c>
      <c r="P365" s="1">
        <v>0</v>
      </c>
      <c r="Q365" s="3">
        <v>2.5000000000000001E-2</v>
      </c>
      <c r="R365" s="1">
        <v>0</v>
      </c>
      <c r="S365" s="1">
        <v>0</v>
      </c>
    </row>
    <row r="366" spans="1:19" x14ac:dyDescent="0.2">
      <c r="A366" s="1" t="s">
        <v>922</v>
      </c>
      <c r="B366" s="1" t="s">
        <v>41</v>
      </c>
      <c r="C366" s="1">
        <v>1</v>
      </c>
      <c r="D366" s="1" t="s">
        <v>1180</v>
      </c>
      <c r="E366" s="1">
        <v>8</v>
      </c>
      <c r="F366" s="1">
        <v>0</v>
      </c>
      <c r="G366" s="1">
        <v>0</v>
      </c>
      <c r="H366" s="2">
        <v>6.9700000000000003E-4</v>
      </c>
      <c r="I366" s="1">
        <v>0</v>
      </c>
      <c r="J366" s="1">
        <v>0</v>
      </c>
      <c r="K366" s="1">
        <v>0.78237880000000004</v>
      </c>
      <c r="L366" s="1">
        <v>0</v>
      </c>
      <c r="M366" s="1">
        <v>0</v>
      </c>
      <c r="N366" s="1">
        <v>9</v>
      </c>
      <c r="O366" s="1">
        <v>0</v>
      </c>
      <c r="P366" s="1">
        <v>0</v>
      </c>
      <c r="Q366" s="3">
        <v>0.251</v>
      </c>
      <c r="R366" s="1">
        <v>0</v>
      </c>
      <c r="S366" s="1">
        <v>0</v>
      </c>
    </row>
    <row r="367" spans="1:19" x14ac:dyDescent="0.2">
      <c r="A367" s="1" t="s">
        <v>923</v>
      </c>
      <c r="B367" s="1" t="s">
        <v>924</v>
      </c>
      <c r="C367" s="1">
        <v>1</v>
      </c>
      <c r="D367" s="1" t="s">
        <v>1180</v>
      </c>
      <c r="E367" s="1">
        <v>3</v>
      </c>
      <c r="F367" s="1">
        <v>0</v>
      </c>
      <c r="G367" s="1">
        <v>0</v>
      </c>
      <c r="H367" s="2">
        <v>6.5399999999999996E-4</v>
      </c>
      <c r="I367" s="1">
        <v>0</v>
      </c>
      <c r="J367" s="1">
        <v>0</v>
      </c>
      <c r="K367" s="1">
        <v>0.81551563999999999</v>
      </c>
      <c r="L367" s="1">
        <v>0</v>
      </c>
      <c r="M367" s="1">
        <v>0</v>
      </c>
      <c r="N367" s="1">
        <v>4</v>
      </c>
      <c r="O367" s="1">
        <v>0</v>
      </c>
      <c r="P367" s="1">
        <v>0</v>
      </c>
      <c r="Q367" s="3">
        <v>0.25900000000000001</v>
      </c>
      <c r="R367" s="1">
        <v>0</v>
      </c>
      <c r="S367" s="1">
        <v>0</v>
      </c>
    </row>
    <row r="368" spans="1:19" x14ac:dyDescent="0.2">
      <c r="A368" s="1" t="s">
        <v>925</v>
      </c>
      <c r="B368" s="1" t="s">
        <v>926</v>
      </c>
      <c r="C368" s="1">
        <v>1</v>
      </c>
      <c r="D368" s="1" t="s">
        <v>1180</v>
      </c>
      <c r="E368" s="1">
        <v>2</v>
      </c>
      <c r="F368" s="1">
        <v>0</v>
      </c>
      <c r="G368" s="1">
        <v>0</v>
      </c>
      <c r="H368" s="2">
        <v>7.2700000000000005E-5</v>
      </c>
      <c r="I368" s="1">
        <v>0</v>
      </c>
      <c r="J368" s="1">
        <v>0</v>
      </c>
      <c r="K368" s="1">
        <v>0.13501083999999999</v>
      </c>
      <c r="L368" s="1">
        <v>0</v>
      </c>
      <c r="M368" s="1">
        <v>0</v>
      </c>
      <c r="N368" s="1">
        <v>2</v>
      </c>
      <c r="O368" s="1">
        <v>0</v>
      </c>
      <c r="P368" s="1">
        <v>0</v>
      </c>
      <c r="Q368" s="3">
        <v>5.5E-2</v>
      </c>
      <c r="R368" s="1">
        <v>0</v>
      </c>
      <c r="S368" s="1">
        <v>0</v>
      </c>
    </row>
    <row r="369" spans="1:19" x14ac:dyDescent="0.2">
      <c r="A369" s="1" t="s">
        <v>927</v>
      </c>
      <c r="B369" s="1" t="s">
        <v>928</v>
      </c>
      <c r="C369" s="1">
        <v>1</v>
      </c>
      <c r="D369" s="1" t="s">
        <v>1180</v>
      </c>
      <c r="E369" s="1">
        <v>3</v>
      </c>
      <c r="F369" s="1">
        <v>0</v>
      </c>
      <c r="G369" s="1">
        <v>0</v>
      </c>
      <c r="H369" s="1">
        <v>3.0152500000000001E-3</v>
      </c>
      <c r="I369" s="1">
        <v>0</v>
      </c>
      <c r="J369" s="1">
        <v>0</v>
      </c>
      <c r="K369" s="1">
        <v>0.11173176999999999</v>
      </c>
      <c r="L369" s="1">
        <v>0</v>
      </c>
      <c r="M369" s="1">
        <v>0</v>
      </c>
      <c r="N369" s="1">
        <v>59</v>
      </c>
      <c r="O369" s="1">
        <v>0</v>
      </c>
      <c r="P369" s="1">
        <v>0</v>
      </c>
      <c r="Q369" s="3">
        <v>4.5999999999999999E-2</v>
      </c>
      <c r="R369" s="1">
        <v>0</v>
      </c>
      <c r="S369" s="1">
        <v>0</v>
      </c>
    </row>
    <row r="370" spans="1:19" x14ac:dyDescent="0.2">
      <c r="A370" s="1" t="s">
        <v>929</v>
      </c>
      <c r="B370" s="1" t="s">
        <v>930</v>
      </c>
      <c r="C370" s="1">
        <v>1</v>
      </c>
      <c r="D370" s="1" t="s">
        <v>1180</v>
      </c>
      <c r="E370" s="1">
        <v>13</v>
      </c>
      <c r="F370" s="1">
        <v>0</v>
      </c>
      <c r="G370" s="1">
        <v>0</v>
      </c>
      <c r="H370" s="1">
        <v>1.1471599999999999E-3</v>
      </c>
      <c r="I370" s="1">
        <v>0</v>
      </c>
      <c r="J370" s="1">
        <v>0</v>
      </c>
      <c r="K370" s="1">
        <v>0.52405274000000002</v>
      </c>
      <c r="L370" s="1">
        <v>0</v>
      </c>
      <c r="M370" s="1">
        <v>0</v>
      </c>
      <c r="N370" s="1">
        <v>26</v>
      </c>
      <c r="O370" s="1">
        <v>0</v>
      </c>
      <c r="P370" s="1">
        <v>0</v>
      </c>
      <c r="Q370" s="3">
        <v>0.183</v>
      </c>
      <c r="R370" s="1">
        <v>0</v>
      </c>
      <c r="S370" s="1">
        <v>0</v>
      </c>
    </row>
    <row r="371" spans="1:19" x14ac:dyDescent="0.2">
      <c r="A371" s="1" t="s">
        <v>931</v>
      </c>
      <c r="B371" s="1" t="s">
        <v>84</v>
      </c>
      <c r="C371" s="1">
        <v>1</v>
      </c>
      <c r="D371" s="1" t="s">
        <v>1180</v>
      </c>
      <c r="E371" s="1">
        <v>4</v>
      </c>
      <c r="F371" s="1">
        <v>0</v>
      </c>
      <c r="G371" s="1">
        <v>0</v>
      </c>
      <c r="H371" s="2">
        <v>9.0399999999999996E-4</v>
      </c>
      <c r="I371" s="1">
        <v>0</v>
      </c>
      <c r="J371" s="1">
        <v>0</v>
      </c>
      <c r="K371" s="1">
        <v>2.0974192999999999</v>
      </c>
      <c r="L371" s="1">
        <v>0</v>
      </c>
      <c r="M371" s="1">
        <v>0</v>
      </c>
      <c r="N371" s="1">
        <v>11</v>
      </c>
      <c r="O371" s="1">
        <v>0</v>
      </c>
      <c r="P371" s="1">
        <v>0</v>
      </c>
      <c r="Q371" s="3">
        <v>0.49099999999999999</v>
      </c>
      <c r="R371" s="1">
        <v>0</v>
      </c>
      <c r="S371" s="1">
        <v>0</v>
      </c>
    </row>
    <row r="372" spans="1:19" x14ac:dyDescent="0.2">
      <c r="A372" s="1" t="s">
        <v>932</v>
      </c>
      <c r="B372" s="1" t="s">
        <v>84</v>
      </c>
      <c r="C372" s="1">
        <v>1</v>
      </c>
      <c r="D372" s="1" t="s">
        <v>1180</v>
      </c>
      <c r="E372" s="1">
        <v>9</v>
      </c>
      <c r="F372" s="1">
        <v>0</v>
      </c>
      <c r="G372" s="1">
        <v>0</v>
      </c>
      <c r="H372" s="1">
        <v>3.1452899999999998E-3</v>
      </c>
      <c r="I372" s="1">
        <v>0</v>
      </c>
      <c r="J372" s="1">
        <v>0</v>
      </c>
      <c r="K372" s="1">
        <v>4.9156155999999998</v>
      </c>
      <c r="L372" s="1">
        <v>0</v>
      </c>
      <c r="M372" s="1">
        <v>0</v>
      </c>
      <c r="N372" s="1">
        <v>24</v>
      </c>
      <c r="O372" s="1">
        <v>0</v>
      </c>
      <c r="P372" s="1">
        <v>0</v>
      </c>
      <c r="Q372" s="3">
        <v>0.77200000000000002</v>
      </c>
      <c r="R372" s="1">
        <v>0</v>
      </c>
      <c r="S372" s="1">
        <v>0</v>
      </c>
    </row>
    <row r="373" spans="1:19" x14ac:dyDescent="0.2">
      <c r="A373" s="1" t="s">
        <v>933</v>
      </c>
      <c r="B373" s="1" t="s">
        <v>25</v>
      </c>
      <c r="C373" s="1">
        <v>1</v>
      </c>
      <c r="D373" s="1" t="s">
        <v>1180</v>
      </c>
      <c r="E373" s="1">
        <v>5</v>
      </c>
      <c r="F373" s="1">
        <v>0</v>
      </c>
      <c r="G373" s="1">
        <v>0</v>
      </c>
      <c r="H373" s="2">
        <v>2.5700000000000001E-4</v>
      </c>
      <c r="I373" s="1">
        <v>0</v>
      </c>
      <c r="J373" s="1">
        <v>0</v>
      </c>
      <c r="K373" s="1">
        <v>0.27938128000000001</v>
      </c>
      <c r="L373" s="1">
        <v>0</v>
      </c>
      <c r="M373" s="1">
        <v>0</v>
      </c>
      <c r="N373" s="1">
        <v>6</v>
      </c>
      <c r="O373" s="1">
        <v>0</v>
      </c>
      <c r="P373" s="1">
        <v>0</v>
      </c>
      <c r="Q373" s="3">
        <v>0.107</v>
      </c>
      <c r="R373" s="1">
        <v>0</v>
      </c>
      <c r="S373" s="1">
        <v>0</v>
      </c>
    </row>
    <row r="374" spans="1:19" x14ac:dyDescent="0.2">
      <c r="A374" s="1" t="s">
        <v>934</v>
      </c>
      <c r="B374" s="1" t="s">
        <v>41</v>
      </c>
      <c r="C374" s="1">
        <v>1</v>
      </c>
      <c r="D374" s="1" t="s">
        <v>1180</v>
      </c>
      <c r="E374" s="1">
        <v>2</v>
      </c>
      <c r="F374" s="1">
        <v>0</v>
      </c>
      <c r="G374" s="1">
        <v>0</v>
      </c>
      <c r="H374" s="2">
        <v>3.9500000000000001E-4</v>
      </c>
      <c r="I374" s="1">
        <v>0</v>
      </c>
      <c r="J374" s="1">
        <v>0</v>
      </c>
      <c r="K374" s="1">
        <v>0.73380400000000001</v>
      </c>
      <c r="L374" s="1">
        <v>0</v>
      </c>
      <c r="M374" s="1">
        <v>0</v>
      </c>
      <c r="N374" s="1">
        <v>2</v>
      </c>
      <c r="O374" s="1">
        <v>0</v>
      </c>
      <c r="P374" s="1">
        <v>0</v>
      </c>
      <c r="Q374" s="3">
        <v>0.23899999999999999</v>
      </c>
      <c r="R374" s="1">
        <v>0</v>
      </c>
      <c r="S374" s="1">
        <v>0</v>
      </c>
    </row>
    <row r="375" spans="1:19" x14ac:dyDescent="0.2">
      <c r="A375" s="1" t="s">
        <v>935</v>
      </c>
      <c r="B375" s="1" t="s">
        <v>936</v>
      </c>
      <c r="C375" s="1">
        <v>1</v>
      </c>
      <c r="D375" s="1" t="s">
        <v>1180</v>
      </c>
      <c r="E375" s="1">
        <v>3</v>
      </c>
      <c r="F375" s="1">
        <v>0</v>
      </c>
      <c r="G375" s="1">
        <v>0</v>
      </c>
      <c r="H375" s="2">
        <v>9.1299999999999997E-5</v>
      </c>
      <c r="I375" s="1">
        <v>0</v>
      </c>
      <c r="J375" s="1">
        <v>0</v>
      </c>
      <c r="K375" s="1">
        <v>0.19674051000000001</v>
      </c>
      <c r="L375" s="1">
        <v>0</v>
      </c>
      <c r="M375" s="1">
        <v>0</v>
      </c>
      <c r="N375" s="1">
        <v>3</v>
      </c>
      <c r="O375" s="1">
        <v>0</v>
      </c>
      <c r="P375" s="1">
        <v>0</v>
      </c>
      <c r="Q375" s="3">
        <v>7.8E-2</v>
      </c>
      <c r="R375" s="1">
        <v>0</v>
      </c>
      <c r="S375" s="1">
        <v>0</v>
      </c>
    </row>
    <row r="376" spans="1:19" x14ac:dyDescent="0.2">
      <c r="A376" s="1" t="s">
        <v>937</v>
      </c>
      <c r="B376" s="1" t="s">
        <v>761</v>
      </c>
      <c r="C376" s="1">
        <v>1</v>
      </c>
      <c r="D376" s="1" t="s">
        <v>1180</v>
      </c>
      <c r="E376" s="1">
        <v>8</v>
      </c>
      <c r="F376" s="1">
        <v>0</v>
      </c>
      <c r="G376" s="1">
        <v>0</v>
      </c>
      <c r="H376" s="2">
        <v>4.8099999999999998E-4</v>
      </c>
      <c r="I376" s="1">
        <v>0</v>
      </c>
      <c r="J376" s="1">
        <v>0</v>
      </c>
      <c r="K376" s="1">
        <v>0.23310483000000001</v>
      </c>
      <c r="L376" s="1">
        <v>0</v>
      </c>
      <c r="M376" s="1">
        <v>0</v>
      </c>
      <c r="N376" s="1">
        <v>10</v>
      </c>
      <c r="O376" s="1">
        <v>0</v>
      </c>
      <c r="P376" s="1">
        <v>0</v>
      </c>
      <c r="Q376" s="3">
        <v>9.0999999999999998E-2</v>
      </c>
      <c r="R376" s="1">
        <v>0</v>
      </c>
      <c r="S376" s="1">
        <v>0</v>
      </c>
    </row>
    <row r="377" spans="1:19" x14ac:dyDescent="0.2">
      <c r="A377" s="1" t="s">
        <v>938</v>
      </c>
      <c r="B377" s="1" t="s">
        <v>939</v>
      </c>
      <c r="C377" s="1">
        <v>1</v>
      </c>
      <c r="D377" s="1" t="s">
        <v>1180</v>
      </c>
      <c r="E377" s="1">
        <v>5</v>
      </c>
      <c r="F377" s="1">
        <v>0</v>
      </c>
      <c r="G377" s="1">
        <v>0</v>
      </c>
      <c r="H377" s="2">
        <v>1.01E-4</v>
      </c>
      <c r="I377" s="1">
        <v>0</v>
      </c>
      <c r="J377" s="1">
        <v>0</v>
      </c>
      <c r="K377" s="1">
        <v>8.6425660000000001E-2</v>
      </c>
      <c r="L377" s="1">
        <v>0</v>
      </c>
      <c r="M377" s="1">
        <v>0</v>
      </c>
      <c r="N377" s="1">
        <v>7</v>
      </c>
      <c r="O377" s="1">
        <v>0</v>
      </c>
      <c r="P377" s="1">
        <v>0</v>
      </c>
      <c r="Q377" s="3">
        <v>3.5999999999999997E-2</v>
      </c>
      <c r="R377" s="1">
        <v>0</v>
      </c>
      <c r="S377" s="1">
        <v>0</v>
      </c>
    </row>
    <row r="378" spans="1:19" x14ac:dyDescent="0.2">
      <c r="A378" s="1" t="s">
        <v>940</v>
      </c>
      <c r="B378" s="1" t="s">
        <v>941</v>
      </c>
      <c r="C378" s="1">
        <v>1</v>
      </c>
      <c r="D378" s="1" t="s">
        <v>1180</v>
      </c>
      <c r="E378" s="1">
        <v>2</v>
      </c>
      <c r="F378" s="1">
        <v>0</v>
      </c>
      <c r="G378" s="1">
        <v>0</v>
      </c>
      <c r="H378" s="2">
        <v>4.5600000000000003E-4</v>
      </c>
      <c r="I378" s="1">
        <v>0</v>
      </c>
      <c r="J378" s="1">
        <v>0</v>
      </c>
      <c r="K378" s="1">
        <v>0.65196180000000004</v>
      </c>
      <c r="L378" s="1">
        <v>0</v>
      </c>
      <c r="M378" s="1">
        <v>0</v>
      </c>
      <c r="N378" s="1">
        <v>3</v>
      </c>
      <c r="O378" s="1">
        <v>0</v>
      </c>
      <c r="P378" s="1">
        <v>0</v>
      </c>
      <c r="Q378" s="3">
        <v>0.218</v>
      </c>
      <c r="R378" s="1">
        <v>0</v>
      </c>
      <c r="S378" s="1">
        <v>0</v>
      </c>
    </row>
    <row r="379" spans="1:19" x14ac:dyDescent="0.2">
      <c r="A379" s="1" t="s">
        <v>942</v>
      </c>
      <c r="B379" s="1" t="s">
        <v>943</v>
      </c>
      <c r="C379" s="1">
        <v>1</v>
      </c>
      <c r="D379" s="1" t="s">
        <v>1180</v>
      </c>
      <c r="E379" s="1">
        <v>4</v>
      </c>
      <c r="F379" s="1">
        <v>0</v>
      </c>
      <c r="G379" s="1">
        <v>0</v>
      </c>
      <c r="H379" s="2">
        <v>9.9300000000000001E-5</v>
      </c>
      <c r="I379" s="1">
        <v>0</v>
      </c>
      <c r="J379" s="1">
        <v>0</v>
      </c>
      <c r="K379" s="1">
        <v>0.16412604</v>
      </c>
      <c r="L379" s="1">
        <v>0</v>
      </c>
      <c r="M379" s="1">
        <v>0</v>
      </c>
      <c r="N379" s="1">
        <v>4</v>
      </c>
      <c r="O379" s="1">
        <v>0</v>
      </c>
      <c r="P379" s="1">
        <v>0</v>
      </c>
      <c r="Q379" s="3">
        <v>6.6000000000000003E-2</v>
      </c>
      <c r="R379" s="1">
        <v>0</v>
      </c>
      <c r="S379" s="1">
        <v>0</v>
      </c>
    </row>
    <row r="380" spans="1:19" x14ac:dyDescent="0.2">
      <c r="A380" s="1" t="s">
        <v>944</v>
      </c>
      <c r="B380" s="1" t="s">
        <v>945</v>
      </c>
      <c r="C380" s="1">
        <v>1</v>
      </c>
      <c r="D380" s="1" t="s">
        <v>1180</v>
      </c>
      <c r="E380" s="1">
        <v>2</v>
      </c>
      <c r="F380" s="1">
        <v>0</v>
      </c>
      <c r="G380" s="1">
        <v>0</v>
      </c>
      <c r="H380" s="2">
        <v>6.7000000000000002E-5</v>
      </c>
      <c r="I380" s="1">
        <v>0</v>
      </c>
      <c r="J380" s="1">
        <v>0</v>
      </c>
      <c r="K380" s="1">
        <v>5.6817529999999998E-2</v>
      </c>
      <c r="L380" s="1">
        <v>0</v>
      </c>
      <c r="M380" s="1">
        <v>0</v>
      </c>
      <c r="N380" s="1">
        <v>3</v>
      </c>
      <c r="O380" s="1">
        <v>0</v>
      </c>
      <c r="P380" s="1">
        <v>0</v>
      </c>
      <c r="Q380" s="3">
        <v>2.4E-2</v>
      </c>
      <c r="R380" s="1">
        <v>0</v>
      </c>
      <c r="S380" s="1">
        <v>0</v>
      </c>
    </row>
    <row r="381" spans="1:19" x14ac:dyDescent="0.2">
      <c r="A381" s="1" t="s">
        <v>946</v>
      </c>
      <c r="B381" s="1" t="s">
        <v>947</v>
      </c>
      <c r="C381" s="1">
        <v>1</v>
      </c>
      <c r="D381" s="1" t="s">
        <v>1180</v>
      </c>
      <c r="E381" s="1">
        <v>2</v>
      </c>
      <c r="F381" s="1">
        <v>0</v>
      </c>
      <c r="G381" s="1">
        <v>0</v>
      </c>
      <c r="H381" s="2">
        <v>1.01E-4</v>
      </c>
      <c r="I381" s="1">
        <v>0</v>
      </c>
      <c r="J381" s="1">
        <v>0</v>
      </c>
      <c r="K381" s="1">
        <v>0.18576872</v>
      </c>
      <c r="L381" s="1">
        <v>0</v>
      </c>
      <c r="M381" s="1">
        <v>0</v>
      </c>
      <c r="N381" s="1">
        <v>3</v>
      </c>
      <c r="O381" s="1">
        <v>0</v>
      </c>
      <c r="P381" s="1">
        <v>0</v>
      </c>
      <c r="Q381" s="3">
        <v>7.3999999999999996E-2</v>
      </c>
      <c r="R381" s="1">
        <v>0</v>
      </c>
      <c r="S381" s="1">
        <v>0</v>
      </c>
    </row>
    <row r="382" spans="1:19" x14ac:dyDescent="0.2">
      <c r="A382" s="1" t="s">
        <v>948</v>
      </c>
      <c r="B382" s="1" t="s">
        <v>949</v>
      </c>
      <c r="C382" s="1">
        <v>1</v>
      </c>
      <c r="D382" s="1" t="s">
        <v>1180</v>
      </c>
      <c r="E382" s="1">
        <v>2</v>
      </c>
      <c r="F382" s="1">
        <v>0</v>
      </c>
      <c r="G382" s="1">
        <v>0</v>
      </c>
      <c r="H382" s="2">
        <v>9.4199999999999999E-5</v>
      </c>
      <c r="I382" s="1">
        <v>0</v>
      </c>
      <c r="J382" s="1">
        <v>0</v>
      </c>
      <c r="K382" s="1">
        <v>0.22743917</v>
      </c>
      <c r="L382" s="1">
        <v>0</v>
      </c>
      <c r="M382" s="1">
        <v>0</v>
      </c>
      <c r="N382" s="1">
        <v>2</v>
      </c>
      <c r="O382" s="1">
        <v>0</v>
      </c>
      <c r="P382" s="1">
        <v>0</v>
      </c>
      <c r="Q382" s="3">
        <v>8.8999999999999996E-2</v>
      </c>
      <c r="R382" s="1">
        <v>0</v>
      </c>
      <c r="S382" s="1">
        <v>0</v>
      </c>
    </row>
    <row r="383" spans="1:19" x14ac:dyDescent="0.2">
      <c r="A383" s="1" t="s">
        <v>950</v>
      </c>
      <c r="B383" s="1" t="s">
        <v>951</v>
      </c>
      <c r="C383" s="1">
        <v>1</v>
      </c>
      <c r="D383" s="1" t="s">
        <v>1180</v>
      </c>
      <c r="E383" s="1">
        <v>3</v>
      </c>
      <c r="F383" s="1">
        <v>0</v>
      </c>
      <c r="G383" s="1">
        <v>0</v>
      </c>
      <c r="H383" s="2">
        <v>1.64E-4</v>
      </c>
      <c r="I383" s="1">
        <v>0</v>
      </c>
      <c r="J383" s="1">
        <v>0</v>
      </c>
      <c r="K383" s="1">
        <v>0.12201846</v>
      </c>
      <c r="L383" s="1">
        <v>0</v>
      </c>
      <c r="M383" s="1">
        <v>0</v>
      </c>
      <c r="N383" s="1">
        <v>3</v>
      </c>
      <c r="O383" s="1">
        <v>0</v>
      </c>
      <c r="P383" s="1">
        <v>0</v>
      </c>
      <c r="Q383" s="3">
        <v>0.05</v>
      </c>
      <c r="R383" s="1">
        <v>0</v>
      </c>
      <c r="S383" s="1">
        <v>0</v>
      </c>
    </row>
    <row r="384" spans="1:19" x14ac:dyDescent="0.2">
      <c r="A384" s="1" t="s">
        <v>952</v>
      </c>
      <c r="B384" s="1" t="s">
        <v>953</v>
      </c>
      <c r="C384" s="1">
        <v>1</v>
      </c>
      <c r="D384" s="1" t="s">
        <v>1180</v>
      </c>
      <c r="E384" s="1">
        <v>3</v>
      </c>
      <c r="F384" s="1">
        <v>0</v>
      </c>
      <c r="G384" s="1">
        <v>0</v>
      </c>
      <c r="H384" s="2">
        <v>4.9200000000000003E-5</v>
      </c>
      <c r="I384" s="1">
        <v>0</v>
      </c>
      <c r="J384" s="1">
        <v>0</v>
      </c>
      <c r="K384" s="1">
        <v>4.4720169999999997E-2</v>
      </c>
      <c r="L384" s="1">
        <v>0</v>
      </c>
      <c r="M384" s="1">
        <v>0</v>
      </c>
      <c r="N384" s="1">
        <v>3</v>
      </c>
      <c r="O384" s="1">
        <v>0</v>
      </c>
      <c r="P384" s="1">
        <v>0</v>
      </c>
      <c r="Q384" s="3">
        <v>1.9E-2</v>
      </c>
      <c r="R384" s="1">
        <v>0</v>
      </c>
      <c r="S384" s="1">
        <v>0</v>
      </c>
    </row>
    <row r="385" spans="1:19" x14ac:dyDescent="0.2">
      <c r="A385" s="1" t="s">
        <v>954</v>
      </c>
      <c r="B385" s="1" t="s">
        <v>955</v>
      </c>
      <c r="C385" s="1">
        <v>1</v>
      </c>
      <c r="D385" s="1" t="s">
        <v>1180</v>
      </c>
      <c r="E385" s="1">
        <v>2</v>
      </c>
      <c r="F385" s="1">
        <v>0</v>
      </c>
      <c r="G385" s="1">
        <v>0</v>
      </c>
      <c r="H385" s="2">
        <v>1.3899999999999999E-4</v>
      </c>
      <c r="I385" s="1">
        <v>0</v>
      </c>
      <c r="J385" s="1">
        <v>0</v>
      </c>
      <c r="K385" s="1">
        <v>6.9054840000000006E-2</v>
      </c>
      <c r="L385" s="1">
        <v>0</v>
      </c>
      <c r="M385" s="1">
        <v>0</v>
      </c>
      <c r="N385" s="1">
        <v>4</v>
      </c>
      <c r="O385" s="1">
        <v>0</v>
      </c>
      <c r="P385" s="1">
        <v>0</v>
      </c>
      <c r="Q385" s="3">
        <v>2.9000000000000001E-2</v>
      </c>
      <c r="R385" s="1">
        <v>0</v>
      </c>
      <c r="S385" s="1">
        <v>0</v>
      </c>
    </row>
    <row r="386" spans="1:19" x14ac:dyDescent="0.2">
      <c r="A386" s="1" t="s">
        <v>956</v>
      </c>
      <c r="B386" s="1" t="s">
        <v>41</v>
      </c>
      <c r="C386" s="1">
        <v>1</v>
      </c>
      <c r="D386" s="1" t="s">
        <v>1180</v>
      </c>
      <c r="E386" s="1">
        <v>2</v>
      </c>
      <c r="F386" s="1">
        <v>0</v>
      </c>
      <c r="G386" s="1">
        <v>0</v>
      </c>
      <c r="H386" s="2">
        <v>3.9500000000000001E-4</v>
      </c>
      <c r="I386" s="1">
        <v>0</v>
      </c>
      <c r="J386" s="1">
        <v>0</v>
      </c>
      <c r="K386" s="1">
        <v>0.73380400000000001</v>
      </c>
      <c r="L386" s="1">
        <v>0</v>
      </c>
      <c r="M386" s="1">
        <v>0</v>
      </c>
      <c r="N386" s="1">
        <v>2</v>
      </c>
      <c r="O386" s="1">
        <v>0</v>
      </c>
      <c r="P386" s="1">
        <v>0</v>
      </c>
      <c r="Q386" s="3">
        <v>0.23899999999999999</v>
      </c>
      <c r="R386" s="1">
        <v>0</v>
      </c>
      <c r="S386" s="1">
        <v>0</v>
      </c>
    </row>
    <row r="387" spans="1:19" x14ac:dyDescent="0.2">
      <c r="A387" s="1" t="s">
        <v>957</v>
      </c>
      <c r="B387" s="1" t="s">
        <v>25</v>
      </c>
      <c r="C387" s="1">
        <v>1</v>
      </c>
      <c r="D387" s="1" t="s">
        <v>1180</v>
      </c>
      <c r="E387" s="1">
        <v>6</v>
      </c>
      <c r="F387" s="1">
        <v>0</v>
      </c>
      <c r="G387" s="1">
        <v>0</v>
      </c>
      <c r="H387" s="1">
        <v>1.59475E-3</v>
      </c>
      <c r="I387" s="1">
        <v>0</v>
      </c>
      <c r="J387" s="1">
        <v>0</v>
      </c>
      <c r="K387" s="1">
        <v>0.19674051000000001</v>
      </c>
      <c r="L387" s="1">
        <v>0</v>
      </c>
      <c r="M387" s="1">
        <v>0</v>
      </c>
      <c r="N387" s="1">
        <v>20</v>
      </c>
      <c r="O387" s="1">
        <v>0</v>
      </c>
      <c r="P387" s="1">
        <v>0</v>
      </c>
      <c r="Q387" s="3">
        <v>7.8E-2</v>
      </c>
      <c r="R387" s="1">
        <v>0</v>
      </c>
      <c r="S387" s="1">
        <v>0</v>
      </c>
    </row>
    <row r="388" spans="1:19" x14ac:dyDescent="0.2">
      <c r="A388" s="1" t="s">
        <v>958</v>
      </c>
      <c r="B388" s="1" t="s">
        <v>39</v>
      </c>
      <c r="C388" s="1">
        <v>1</v>
      </c>
      <c r="D388" s="1" t="s">
        <v>1180</v>
      </c>
      <c r="E388" s="1">
        <v>4</v>
      </c>
      <c r="F388" s="1">
        <v>0</v>
      </c>
      <c r="G388" s="1">
        <v>0</v>
      </c>
      <c r="H388" s="2">
        <v>3.8499999999999998E-4</v>
      </c>
      <c r="I388" s="1">
        <v>0</v>
      </c>
      <c r="J388" s="1">
        <v>0</v>
      </c>
      <c r="K388" s="1">
        <v>0.43548942000000002</v>
      </c>
      <c r="L388" s="1">
        <v>0</v>
      </c>
      <c r="M388" s="1">
        <v>0</v>
      </c>
      <c r="N388" s="1">
        <v>5</v>
      </c>
      <c r="O388" s="1">
        <v>0</v>
      </c>
      <c r="P388" s="1">
        <v>0</v>
      </c>
      <c r="Q388" s="3">
        <v>0.157</v>
      </c>
      <c r="R388" s="1">
        <v>0</v>
      </c>
      <c r="S388" s="1">
        <v>0</v>
      </c>
    </row>
    <row r="389" spans="1:19" x14ac:dyDescent="0.2">
      <c r="A389" s="1" t="s">
        <v>959</v>
      </c>
      <c r="B389" s="1" t="s">
        <v>960</v>
      </c>
      <c r="C389" s="1">
        <v>1</v>
      </c>
      <c r="D389" s="1" t="s">
        <v>1180</v>
      </c>
      <c r="E389" s="1">
        <v>3</v>
      </c>
      <c r="F389" s="1">
        <v>0</v>
      </c>
      <c r="G389" s="1">
        <v>0</v>
      </c>
      <c r="H389" s="2">
        <v>4.7800000000000002E-4</v>
      </c>
      <c r="I389" s="1">
        <v>0</v>
      </c>
      <c r="J389" s="1">
        <v>0</v>
      </c>
      <c r="K389" s="1">
        <v>0.55955242999999999</v>
      </c>
      <c r="L389" s="1">
        <v>0</v>
      </c>
      <c r="M389" s="1">
        <v>0</v>
      </c>
      <c r="N389" s="1">
        <v>3</v>
      </c>
      <c r="O389" s="1">
        <v>0</v>
      </c>
      <c r="P389" s="1">
        <v>0</v>
      </c>
      <c r="Q389" s="3">
        <v>0.193</v>
      </c>
      <c r="R389" s="1">
        <v>0</v>
      </c>
      <c r="S389" s="1">
        <v>0</v>
      </c>
    </row>
    <row r="390" spans="1:19" x14ac:dyDescent="0.2">
      <c r="A390" s="1" t="s">
        <v>961</v>
      </c>
      <c r="B390" s="1" t="s">
        <v>962</v>
      </c>
      <c r="C390" s="1">
        <v>1</v>
      </c>
      <c r="D390" s="1" t="s">
        <v>1180</v>
      </c>
      <c r="E390" s="1">
        <v>3</v>
      </c>
      <c r="F390" s="1">
        <v>0</v>
      </c>
      <c r="G390" s="1">
        <v>0</v>
      </c>
      <c r="H390" s="2">
        <v>3.4499999999999998E-4</v>
      </c>
      <c r="I390" s="1">
        <v>0</v>
      </c>
      <c r="J390" s="1">
        <v>0</v>
      </c>
      <c r="K390" s="1">
        <v>0.14024972999999999</v>
      </c>
      <c r="L390" s="1">
        <v>0</v>
      </c>
      <c r="M390" s="1">
        <v>0</v>
      </c>
      <c r="N390" s="1">
        <v>6</v>
      </c>
      <c r="O390" s="1">
        <v>0</v>
      </c>
      <c r="P390" s="1">
        <v>0</v>
      </c>
      <c r="Q390" s="3">
        <v>5.7000000000000002E-2</v>
      </c>
      <c r="R390" s="1">
        <v>0</v>
      </c>
      <c r="S390" s="1">
        <v>0</v>
      </c>
    </row>
    <row r="391" spans="1:19" x14ac:dyDescent="0.2">
      <c r="A391" s="1" t="s">
        <v>963</v>
      </c>
      <c r="B391" s="1" t="s">
        <v>964</v>
      </c>
      <c r="C391" s="1">
        <v>1</v>
      </c>
      <c r="D391" s="1" t="s">
        <v>1180</v>
      </c>
      <c r="E391" s="1">
        <v>8</v>
      </c>
      <c r="F391" s="1">
        <v>0</v>
      </c>
      <c r="G391" s="1">
        <v>0</v>
      </c>
      <c r="H391" s="2">
        <v>7.1900000000000002E-4</v>
      </c>
      <c r="I391" s="1">
        <v>0</v>
      </c>
      <c r="J391" s="1">
        <v>0</v>
      </c>
      <c r="K391" s="1">
        <v>0.84926869999999999</v>
      </c>
      <c r="L391" s="1">
        <v>0</v>
      </c>
      <c r="M391" s="1">
        <v>0</v>
      </c>
      <c r="N391" s="1">
        <v>12</v>
      </c>
      <c r="O391" s="1">
        <v>0</v>
      </c>
      <c r="P391" s="1">
        <v>0</v>
      </c>
      <c r="Q391" s="3">
        <v>0.26700000000000002</v>
      </c>
      <c r="R391" s="1">
        <v>0</v>
      </c>
      <c r="S391" s="1">
        <v>0</v>
      </c>
    </row>
    <row r="392" spans="1:19" x14ac:dyDescent="0.2">
      <c r="A392" s="1" t="s">
        <v>965</v>
      </c>
      <c r="B392" s="1" t="s">
        <v>966</v>
      </c>
      <c r="C392" s="1">
        <v>1</v>
      </c>
      <c r="D392" s="1" t="s">
        <v>1180</v>
      </c>
      <c r="E392" s="1">
        <v>6</v>
      </c>
      <c r="F392" s="1">
        <v>0</v>
      </c>
      <c r="G392" s="1">
        <v>0</v>
      </c>
      <c r="H392" s="1">
        <v>1.22182E-3</v>
      </c>
      <c r="I392" s="1">
        <v>0</v>
      </c>
      <c r="J392" s="1">
        <v>0</v>
      </c>
      <c r="K392" s="1">
        <v>0.76197610000000005</v>
      </c>
      <c r="L392" s="1">
        <v>0</v>
      </c>
      <c r="M392" s="1">
        <v>0</v>
      </c>
      <c r="N392" s="1">
        <v>6</v>
      </c>
      <c r="O392" s="1">
        <v>0</v>
      </c>
      <c r="P392" s="1">
        <v>0</v>
      </c>
      <c r="Q392" s="3">
        <v>0.246</v>
      </c>
      <c r="R392" s="1">
        <v>0</v>
      </c>
      <c r="S392" s="1">
        <v>0</v>
      </c>
    </row>
    <row r="393" spans="1:19" x14ac:dyDescent="0.2">
      <c r="A393" s="1" t="s">
        <v>967</v>
      </c>
      <c r="B393" s="1" t="s">
        <v>409</v>
      </c>
      <c r="C393" s="1">
        <v>1</v>
      </c>
      <c r="D393" s="1" t="s">
        <v>1180</v>
      </c>
      <c r="E393" s="1">
        <v>33</v>
      </c>
      <c r="F393" s="1">
        <v>0</v>
      </c>
      <c r="G393" s="1">
        <v>0</v>
      </c>
      <c r="H393" s="1">
        <v>1.42953E-3</v>
      </c>
      <c r="I393" s="1">
        <v>0</v>
      </c>
      <c r="J393" s="1">
        <v>0</v>
      </c>
      <c r="K393" s="1">
        <v>1.2594358999999999</v>
      </c>
      <c r="L393" s="1">
        <v>0</v>
      </c>
      <c r="M393" s="1">
        <v>0</v>
      </c>
      <c r="N393" s="1">
        <v>54</v>
      </c>
      <c r="O393" s="1">
        <v>0</v>
      </c>
      <c r="P393" s="1">
        <v>0</v>
      </c>
      <c r="Q393" s="3">
        <v>0.35399999999999998</v>
      </c>
      <c r="R393" s="1">
        <v>0</v>
      </c>
      <c r="S393" s="1">
        <v>0</v>
      </c>
    </row>
    <row r="394" spans="1:19" x14ac:dyDescent="0.2">
      <c r="A394" s="1" t="s">
        <v>968</v>
      </c>
      <c r="B394" s="1" t="s">
        <v>259</v>
      </c>
      <c r="C394" s="1">
        <v>1</v>
      </c>
      <c r="D394" s="1" t="s">
        <v>1180</v>
      </c>
      <c r="E394" s="1">
        <v>6</v>
      </c>
      <c r="F394" s="1">
        <v>0</v>
      </c>
      <c r="G394" s="1">
        <v>0</v>
      </c>
      <c r="H394" s="2">
        <v>8.1899999999999996E-4</v>
      </c>
      <c r="I394" s="1">
        <v>0</v>
      </c>
      <c r="J394" s="1">
        <v>0</v>
      </c>
      <c r="K394" s="1">
        <v>0.79060580000000003</v>
      </c>
      <c r="L394" s="1">
        <v>0</v>
      </c>
      <c r="M394" s="1">
        <v>0</v>
      </c>
      <c r="N394" s="1">
        <v>12</v>
      </c>
      <c r="O394" s="1">
        <v>0</v>
      </c>
      <c r="P394" s="1">
        <v>0</v>
      </c>
      <c r="Q394" s="3">
        <v>0.253</v>
      </c>
      <c r="R394" s="1">
        <v>0</v>
      </c>
      <c r="S394" s="1">
        <v>0</v>
      </c>
    </row>
    <row r="395" spans="1:19" x14ac:dyDescent="0.2">
      <c r="A395" s="1" t="s">
        <v>969</v>
      </c>
      <c r="B395" s="1" t="s">
        <v>970</v>
      </c>
      <c r="C395" s="1">
        <v>1</v>
      </c>
      <c r="D395" s="1" t="s">
        <v>1180</v>
      </c>
      <c r="E395" s="1">
        <v>2</v>
      </c>
      <c r="F395" s="1">
        <v>0</v>
      </c>
      <c r="G395" s="1">
        <v>0</v>
      </c>
      <c r="H395" s="2">
        <v>2.3200000000000001E-5</v>
      </c>
      <c r="I395" s="1">
        <v>0</v>
      </c>
      <c r="J395" s="1">
        <v>0</v>
      </c>
      <c r="K395" s="1">
        <v>2.8016329999999999E-2</v>
      </c>
      <c r="L395" s="1">
        <v>0</v>
      </c>
      <c r="M395" s="1">
        <v>0</v>
      </c>
      <c r="N395" s="1">
        <v>3</v>
      </c>
      <c r="O395" s="1">
        <v>0</v>
      </c>
      <c r="P395" s="1">
        <v>0</v>
      </c>
      <c r="Q395" s="3">
        <v>1.2E-2</v>
      </c>
      <c r="R395" s="1">
        <v>0</v>
      </c>
      <c r="S395" s="1">
        <v>0</v>
      </c>
    </row>
    <row r="396" spans="1:19" x14ac:dyDescent="0.2">
      <c r="A396" s="1" t="s">
        <v>971</v>
      </c>
      <c r="B396" s="1" t="s">
        <v>39</v>
      </c>
      <c r="C396" s="1">
        <v>1</v>
      </c>
      <c r="D396" s="1" t="s">
        <v>1180</v>
      </c>
      <c r="E396" s="1">
        <v>6</v>
      </c>
      <c r="F396" s="1">
        <v>0</v>
      </c>
      <c r="G396" s="1">
        <v>0</v>
      </c>
      <c r="H396" s="1">
        <v>1.20331E-3</v>
      </c>
      <c r="I396" s="1">
        <v>0</v>
      </c>
      <c r="J396" s="1">
        <v>0</v>
      </c>
      <c r="K396" s="1">
        <v>0.29419577000000002</v>
      </c>
      <c r="L396" s="1">
        <v>0</v>
      </c>
      <c r="M396" s="1">
        <v>0</v>
      </c>
      <c r="N396" s="1">
        <v>17</v>
      </c>
      <c r="O396" s="1">
        <v>0</v>
      </c>
      <c r="P396" s="1">
        <v>0</v>
      </c>
      <c r="Q396" s="3">
        <v>0.112</v>
      </c>
      <c r="R396" s="1">
        <v>0</v>
      </c>
      <c r="S396" s="1">
        <v>0</v>
      </c>
    </row>
    <row r="397" spans="1:19" x14ac:dyDescent="0.2">
      <c r="A397" s="1" t="s">
        <v>972</v>
      </c>
      <c r="B397" s="1" t="s">
        <v>39</v>
      </c>
      <c r="C397" s="1">
        <v>1</v>
      </c>
      <c r="D397" s="1" t="s">
        <v>1180</v>
      </c>
      <c r="E397" s="1">
        <v>3</v>
      </c>
      <c r="F397" s="1">
        <v>0</v>
      </c>
      <c r="G397" s="1">
        <v>0</v>
      </c>
      <c r="H397" s="2">
        <v>8.5800000000000004E-4</v>
      </c>
      <c r="I397" s="1">
        <v>0</v>
      </c>
      <c r="J397" s="1">
        <v>0</v>
      </c>
      <c r="K397" s="1">
        <v>0.77827939999999995</v>
      </c>
      <c r="L397" s="1">
        <v>0</v>
      </c>
      <c r="M397" s="1">
        <v>0</v>
      </c>
      <c r="N397" s="1">
        <v>7</v>
      </c>
      <c r="O397" s="1">
        <v>0</v>
      </c>
      <c r="P397" s="1">
        <v>0</v>
      </c>
      <c r="Q397" s="3">
        <v>0.25</v>
      </c>
      <c r="R397" s="1">
        <v>0</v>
      </c>
      <c r="S397" s="1">
        <v>0</v>
      </c>
    </row>
    <row r="398" spans="1:19" x14ac:dyDescent="0.2">
      <c r="A398" s="1" t="s">
        <v>973</v>
      </c>
      <c r="B398" s="1" t="s">
        <v>974</v>
      </c>
      <c r="C398" s="1">
        <v>1</v>
      </c>
      <c r="D398" s="1" t="s">
        <v>1180</v>
      </c>
      <c r="E398" s="1">
        <v>5</v>
      </c>
      <c r="F398" s="1">
        <v>0</v>
      </c>
      <c r="G398" s="1">
        <v>0</v>
      </c>
      <c r="H398" s="1">
        <v>1.9792799999999999E-3</v>
      </c>
      <c r="I398" s="1">
        <v>0</v>
      </c>
      <c r="J398" s="1">
        <v>0</v>
      </c>
      <c r="K398" s="1">
        <v>2.4119291</v>
      </c>
      <c r="L398" s="1">
        <v>0</v>
      </c>
      <c r="M398" s="1">
        <v>0</v>
      </c>
      <c r="N398" s="1">
        <v>16</v>
      </c>
      <c r="O398" s="1">
        <v>0</v>
      </c>
      <c r="P398" s="1">
        <v>0</v>
      </c>
      <c r="Q398" s="3">
        <v>0.53300000000000003</v>
      </c>
      <c r="R398" s="1">
        <v>0</v>
      </c>
      <c r="S398" s="1">
        <v>0</v>
      </c>
    </row>
    <row r="399" spans="1:19" x14ac:dyDescent="0.2">
      <c r="A399" s="1" t="s">
        <v>975</v>
      </c>
      <c r="B399" s="1" t="s">
        <v>974</v>
      </c>
      <c r="C399" s="1">
        <v>1</v>
      </c>
      <c r="D399" s="1" t="s">
        <v>1180</v>
      </c>
      <c r="E399" s="1">
        <v>5</v>
      </c>
      <c r="F399" s="1">
        <v>0</v>
      </c>
      <c r="G399" s="1">
        <v>0</v>
      </c>
      <c r="H399" s="1">
        <v>2.5977999999999999E-3</v>
      </c>
      <c r="I399" s="1">
        <v>0</v>
      </c>
      <c r="J399" s="1">
        <v>0</v>
      </c>
      <c r="K399" s="1">
        <v>2.4119291</v>
      </c>
      <c r="L399" s="1">
        <v>0</v>
      </c>
      <c r="M399" s="1">
        <v>0</v>
      </c>
      <c r="N399" s="1">
        <v>21</v>
      </c>
      <c r="O399" s="1">
        <v>0</v>
      </c>
      <c r="P399" s="1">
        <v>0</v>
      </c>
      <c r="Q399" s="3">
        <v>0.53300000000000003</v>
      </c>
      <c r="R399" s="1">
        <v>0</v>
      </c>
      <c r="S399" s="1">
        <v>0</v>
      </c>
    </row>
    <row r="400" spans="1:19" x14ac:dyDescent="0.2">
      <c r="A400" s="1" t="s">
        <v>976</v>
      </c>
      <c r="B400" s="1" t="s">
        <v>977</v>
      </c>
      <c r="C400" s="1">
        <v>1</v>
      </c>
      <c r="D400" s="1" t="s">
        <v>1180</v>
      </c>
      <c r="E400" s="1">
        <v>3</v>
      </c>
      <c r="F400" s="1">
        <v>0</v>
      </c>
      <c r="G400" s="1">
        <v>0</v>
      </c>
      <c r="H400" s="2">
        <v>2.0100000000000001E-4</v>
      </c>
      <c r="I400" s="1">
        <v>0</v>
      </c>
      <c r="J400" s="1">
        <v>0</v>
      </c>
      <c r="K400" s="1">
        <v>0.15080035</v>
      </c>
      <c r="L400" s="1">
        <v>0</v>
      </c>
      <c r="M400" s="1">
        <v>0</v>
      </c>
      <c r="N400" s="1">
        <v>3</v>
      </c>
      <c r="O400" s="1">
        <v>0</v>
      </c>
      <c r="P400" s="1">
        <v>0</v>
      </c>
      <c r="Q400" s="3">
        <v>6.0999999999999999E-2</v>
      </c>
      <c r="R400" s="1">
        <v>0</v>
      </c>
      <c r="S400" s="1">
        <v>0</v>
      </c>
    </row>
    <row r="401" spans="1:19" x14ac:dyDescent="0.2">
      <c r="A401" s="1" t="s">
        <v>978</v>
      </c>
      <c r="B401" s="1" t="s">
        <v>84</v>
      </c>
      <c r="C401" s="1">
        <v>1</v>
      </c>
      <c r="D401" s="1" t="s">
        <v>1180</v>
      </c>
      <c r="E401" s="1">
        <v>3</v>
      </c>
      <c r="F401" s="1">
        <v>0</v>
      </c>
      <c r="G401" s="1">
        <v>0</v>
      </c>
      <c r="H401" s="1">
        <v>2.6472800000000001E-3</v>
      </c>
      <c r="I401" s="1">
        <v>0</v>
      </c>
      <c r="J401" s="1">
        <v>0</v>
      </c>
      <c r="K401" s="1">
        <v>0.38995266000000001</v>
      </c>
      <c r="L401" s="1">
        <v>0</v>
      </c>
      <c r="M401" s="1">
        <v>0</v>
      </c>
      <c r="N401" s="1">
        <v>14</v>
      </c>
      <c r="O401" s="1">
        <v>0</v>
      </c>
      <c r="P401" s="1">
        <v>0</v>
      </c>
      <c r="Q401" s="3">
        <v>0.14299999999999999</v>
      </c>
      <c r="R401" s="1">
        <v>0</v>
      </c>
      <c r="S401" s="1">
        <v>0</v>
      </c>
    </row>
    <row r="402" spans="1:19" x14ac:dyDescent="0.2">
      <c r="A402" s="1" t="s">
        <v>979</v>
      </c>
      <c r="B402" s="1" t="s">
        <v>25</v>
      </c>
      <c r="C402" s="1">
        <v>1</v>
      </c>
      <c r="D402" s="1" t="s">
        <v>1180</v>
      </c>
      <c r="E402" s="1">
        <v>3</v>
      </c>
      <c r="F402" s="1">
        <v>0</v>
      </c>
      <c r="G402" s="1">
        <v>0</v>
      </c>
      <c r="H402" s="1">
        <v>2.6472800000000001E-3</v>
      </c>
      <c r="I402" s="1">
        <v>0</v>
      </c>
      <c r="J402" s="1">
        <v>0</v>
      </c>
      <c r="K402" s="1">
        <v>0.38995266000000001</v>
      </c>
      <c r="L402" s="1">
        <v>0</v>
      </c>
      <c r="M402" s="1">
        <v>0</v>
      </c>
      <c r="N402" s="1">
        <v>14</v>
      </c>
      <c r="O402" s="1">
        <v>0</v>
      </c>
      <c r="P402" s="1">
        <v>0</v>
      </c>
      <c r="Q402" s="3">
        <v>0.14299999999999999</v>
      </c>
      <c r="R402" s="1">
        <v>0</v>
      </c>
      <c r="S402" s="1">
        <v>0</v>
      </c>
    </row>
    <row r="403" spans="1:19" x14ac:dyDescent="0.2">
      <c r="A403" s="1" t="s">
        <v>980</v>
      </c>
      <c r="B403" s="1" t="s">
        <v>84</v>
      </c>
      <c r="C403" s="1">
        <v>1</v>
      </c>
      <c r="D403" s="1" t="s">
        <v>1180</v>
      </c>
      <c r="E403" s="1">
        <v>6</v>
      </c>
      <c r="F403" s="1">
        <v>0</v>
      </c>
      <c r="G403" s="1">
        <v>0</v>
      </c>
      <c r="H403" s="1">
        <v>4.1256399999999999E-3</v>
      </c>
      <c r="I403" s="1">
        <v>0</v>
      </c>
      <c r="J403" s="1">
        <v>0</v>
      </c>
      <c r="K403" s="1">
        <v>1.1777097999999999</v>
      </c>
      <c r="L403" s="1">
        <v>0</v>
      </c>
      <c r="M403" s="1">
        <v>0</v>
      </c>
      <c r="N403" s="1">
        <v>24</v>
      </c>
      <c r="O403" s="1">
        <v>0</v>
      </c>
      <c r="P403" s="1">
        <v>0</v>
      </c>
      <c r="Q403" s="3">
        <v>0.33800000000000002</v>
      </c>
      <c r="R403" s="1">
        <v>0</v>
      </c>
      <c r="S403" s="1">
        <v>0</v>
      </c>
    </row>
    <row r="404" spans="1:19" x14ac:dyDescent="0.2">
      <c r="A404" s="1" t="s">
        <v>981</v>
      </c>
      <c r="B404" s="1" t="s">
        <v>982</v>
      </c>
      <c r="C404" s="1">
        <v>1</v>
      </c>
      <c r="D404" s="1" t="s">
        <v>1180</v>
      </c>
      <c r="E404" s="1">
        <v>2</v>
      </c>
      <c r="F404" s="1">
        <v>0</v>
      </c>
      <c r="G404" s="1">
        <v>0</v>
      </c>
      <c r="H404" s="2">
        <v>5.2200000000000002E-5</v>
      </c>
      <c r="I404" s="1">
        <v>0</v>
      </c>
      <c r="J404" s="1">
        <v>0</v>
      </c>
      <c r="K404" s="1">
        <v>0.10407864999999999</v>
      </c>
      <c r="L404" s="1">
        <v>0</v>
      </c>
      <c r="M404" s="1">
        <v>0</v>
      </c>
      <c r="N404" s="1">
        <v>2</v>
      </c>
      <c r="O404" s="1">
        <v>0</v>
      </c>
      <c r="P404" s="1">
        <v>0</v>
      </c>
      <c r="Q404" s="3">
        <v>4.2999999999999997E-2</v>
      </c>
      <c r="R404" s="1">
        <v>0</v>
      </c>
      <c r="S404" s="1">
        <v>0</v>
      </c>
    </row>
    <row r="405" spans="1:19" x14ac:dyDescent="0.2">
      <c r="A405" s="1" t="s">
        <v>983</v>
      </c>
      <c r="B405" s="1" t="s">
        <v>984</v>
      </c>
      <c r="C405" s="1">
        <v>1</v>
      </c>
      <c r="D405" s="1" t="s">
        <v>1180</v>
      </c>
      <c r="E405" s="1">
        <v>2</v>
      </c>
      <c r="F405" s="1">
        <v>0</v>
      </c>
      <c r="G405" s="1">
        <v>0</v>
      </c>
      <c r="H405" s="2">
        <v>1.4100000000000001E-4</v>
      </c>
      <c r="I405" s="1">
        <v>0</v>
      </c>
      <c r="J405" s="1">
        <v>0</v>
      </c>
      <c r="K405" s="1">
        <v>0.21618604999999999</v>
      </c>
      <c r="L405" s="1">
        <v>0</v>
      </c>
      <c r="M405" s="1">
        <v>0</v>
      </c>
      <c r="N405" s="1">
        <v>2</v>
      </c>
      <c r="O405" s="1">
        <v>0</v>
      </c>
      <c r="P405" s="1">
        <v>0</v>
      </c>
      <c r="Q405" s="3">
        <v>8.5000000000000006E-2</v>
      </c>
      <c r="R405" s="1">
        <v>0</v>
      </c>
      <c r="S405" s="1">
        <v>0</v>
      </c>
    </row>
    <row r="406" spans="1:19" x14ac:dyDescent="0.2">
      <c r="A406" s="1" t="s">
        <v>985</v>
      </c>
      <c r="B406" s="1" t="s">
        <v>583</v>
      </c>
      <c r="C406" s="1">
        <v>1</v>
      </c>
      <c r="D406" s="1" t="s">
        <v>1180</v>
      </c>
      <c r="E406" s="1">
        <v>2</v>
      </c>
      <c r="F406" s="1">
        <v>0</v>
      </c>
      <c r="G406" s="1">
        <v>0</v>
      </c>
      <c r="H406" s="2">
        <v>1.6000000000000001E-4</v>
      </c>
      <c r="I406" s="1">
        <v>0</v>
      </c>
      <c r="J406" s="1">
        <v>0</v>
      </c>
      <c r="K406" s="1">
        <v>0.67494284999999998</v>
      </c>
      <c r="L406" s="1">
        <v>0</v>
      </c>
      <c r="M406" s="1">
        <v>0</v>
      </c>
      <c r="N406" s="1">
        <v>2</v>
      </c>
      <c r="O406" s="1">
        <v>0</v>
      </c>
      <c r="P406" s="1">
        <v>0</v>
      </c>
      <c r="Q406" s="3">
        <v>0.224</v>
      </c>
      <c r="R406" s="1">
        <v>0</v>
      </c>
      <c r="S406" s="1">
        <v>0</v>
      </c>
    </row>
    <row r="407" spans="1:19" x14ac:dyDescent="0.2">
      <c r="A407" s="1" t="s">
        <v>986</v>
      </c>
      <c r="B407" s="1" t="s">
        <v>987</v>
      </c>
      <c r="C407" s="1">
        <v>1</v>
      </c>
      <c r="D407" s="1" t="s">
        <v>1180</v>
      </c>
      <c r="E407" s="1">
        <v>8</v>
      </c>
      <c r="F407" s="1">
        <v>0</v>
      </c>
      <c r="G407" s="1">
        <v>0</v>
      </c>
      <c r="H407" s="2">
        <v>2.9100000000000003E-4</v>
      </c>
      <c r="I407" s="1">
        <v>0</v>
      </c>
      <c r="J407" s="1">
        <v>0</v>
      </c>
      <c r="K407" s="1">
        <v>0.45881425999999997</v>
      </c>
      <c r="L407" s="1">
        <v>0</v>
      </c>
      <c r="M407" s="1">
        <v>0</v>
      </c>
      <c r="N407" s="1">
        <v>11</v>
      </c>
      <c r="O407" s="1">
        <v>0</v>
      </c>
      <c r="P407" s="1">
        <v>0</v>
      </c>
      <c r="Q407" s="3">
        <v>0.16400000000000001</v>
      </c>
      <c r="R407" s="1">
        <v>0</v>
      </c>
      <c r="S407" s="1">
        <v>0</v>
      </c>
    </row>
    <row r="408" spans="1:19" x14ac:dyDescent="0.2">
      <c r="A408" s="1" t="s">
        <v>988</v>
      </c>
      <c r="B408" s="1" t="s">
        <v>989</v>
      </c>
      <c r="C408" s="1">
        <v>1</v>
      </c>
      <c r="D408" s="1" t="s">
        <v>1180</v>
      </c>
      <c r="E408" s="1">
        <v>5</v>
      </c>
      <c r="F408" s="1">
        <v>0</v>
      </c>
      <c r="G408" s="1">
        <v>0</v>
      </c>
      <c r="H408" s="2">
        <v>6.0899999999999995E-4</v>
      </c>
      <c r="I408" s="1">
        <v>0</v>
      </c>
      <c r="J408" s="1">
        <v>0</v>
      </c>
      <c r="K408" s="1">
        <v>0.33659554000000003</v>
      </c>
      <c r="L408" s="1">
        <v>0</v>
      </c>
      <c r="M408" s="1">
        <v>0</v>
      </c>
      <c r="N408" s="1">
        <v>11</v>
      </c>
      <c r="O408" s="1">
        <v>0</v>
      </c>
      <c r="P408" s="1">
        <v>0</v>
      </c>
      <c r="Q408" s="3">
        <v>0.126</v>
      </c>
      <c r="R408" s="1">
        <v>0</v>
      </c>
      <c r="S408" s="1">
        <v>0</v>
      </c>
    </row>
    <row r="409" spans="1:19" x14ac:dyDescent="0.2">
      <c r="A409" s="1" t="s">
        <v>990</v>
      </c>
      <c r="B409" s="1" t="s">
        <v>991</v>
      </c>
      <c r="C409" s="1">
        <v>1</v>
      </c>
      <c r="D409" s="1" t="s">
        <v>1180</v>
      </c>
      <c r="E409" s="1">
        <v>5</v>
      </c>
      <c r="F409" s="1">
        <v>0</v>
      </c>
      <c r="G409" s="1">
        <v>0</v>
      </c>
      <c r="H409" s="2">
        <v>3.6499999999999998E-4</v>
      </c>
      <c r="I409" s="1">
        <v>0</v>
      </c>
      <c r="J409" s="1">
        <v>0</v>
      </c>
      <c r="K409" s="1">
        <v>0.39958726999999999</v>
      </c>
      <c r="L409" s="1">
        <v>0</v>
      </c>
      <c r="M409" s="1">
        <v>0</v>
      </c>
      <c r="N409" s="1">
        <v>7</v>
      </c>
      <c r="O409" s="1">
        <v>0</v>
      </c>
      <c r="P409" s="1">
        <v>0</v>
      </c>
      <c r="Q409" s="3">
        <v>0.14599999999999999</v>
      </c>
      <c r="R409" s="1">
        <v>0</v>
      </c>
      <c r="S409" s="1">
        <v>0</v>
      </c>
    </row>
    <row r="410" spans="1:19" x14ac:dyDescent="0.2">
      <c r="A410" s="1" t="s">
        <v>992</v>
      </c>
      <c r="B410" s="1" t="s">
        <v>993</v>
      </c>
      <c r="C410" s="1">
        <v>1</v>
      </c>
      <c r="D410" s="1" t="s">
        <v>1180</v>
      </c>
      <c r="E410" s="1">
        <v>22</v>
      </c>
      <c r="F410" s="1">
        <v>0</v>
      </c>
      <c r="G410" s="1">
        <v>0</v>
      </c>
      <c r="H410" s="1">
        <v>3.72004E-3</v>
      </c>
      <c r="I410" s="1">
        <v>0</v>
      </c>
      <c r="J410" s="1">
        <v>0</v>
      </c>
      <c r="K410" s="1">
        <v>1.9580123</v>
      </c>
      <c r="L410" s="1">
        <v>0</v>
      </c>
      <c r="M410" s="1">
        <v>0</v>
      </c>
      <c r="N410" s="1">
        <v>43</v>
      </c>
      <c r="O410" s="1">
        <v>0</v>
      </c>
      <c r="P410" s="1">
        <v>0</v>
      </c>
      <c r="Q410" s="3">
        <v>0.47099999999999997</v>
      </c>
      <c r="R410" s="1">
        <v>0</v>
      </c>
      <c r="S410" s="1">
        <v>0</v>
      </c>
    </row>
    <row r="411" spans="1:19" x14ac:dyDescent="0.2">
      <c r="A411" s="1" t="s">
        <v>994</v>
      </c>
      <c r="B411" s="1" t="s">
        <v>25</v>
      </c>
      <c r="C411" s="1">
        <v>1</v>
      </c>
      <c r="D411" s="1" t="s">
        <v>1180</v>
      </c>
      <c r="E411" s="1">
        <v>60</v>
      </c>
      <c r="F411" s="1">
        <v>0</v>
      </c>
      <c r="G411" s="1">
        <v>0</v>
      </c>
      <c r="H411" s="1">
        <v>1.3966499999999999E-3</v>
      </c>
      <c r="I411" s="1">
        <v>0</v>
      </c>
      <c r="J411" s="1">
        <v>0</v>
      </c>
      <c r="K411" s="1">
        <v>1.3604782</v>
      </c>
      <c r="L411" s="1">
        <v>0</v>
      </c>
      <c r="M411" s="1">
        <v>0</v>
      </c>
      <c r="N411" s="1">
        <v>88</v>
      </c>
      <c r="O411" s="1">
        <v>0</v>
      </c>
      <c r="P411" s="1">
        <v>0</v>
      </c>
      <c r="Q411" s="3">
        <v>0.373</v>
      </c>
      <c r="R411" s="1">
        <v>0</v>
      </c>
      <c r="S411" s="1">
        <v>0</v>
      </c>
    </row>
    <row r="412" spans="1:19" x14ac:dyDescent="0.2">
      <c r="A412" s="1" t="s">
        <v>995</v>
      </c>
      <c r="B412" s="1" t="s">
        <v>996</v>
      </c>
      <c r="C412" s="1">
        <v>1</v>
      </c>
      <c r="D412" s="1" t="s">
        <v>1180</v>
      </c>
      <c r="E412" s="1">
        <v>2</v>
      </c>
      <c r="F412" s="1">
        <v>0</v>
      </c>
      <c r="G412" s="1">
        <v>0</v>
      </c>
      <c r="H412" s="2">
        <v>1.8599999999999999E-4</v>
      </c>
      <c r="I412" s="1">
        <v>0</v>
      </c>
      <c r="J412" s="1">
        <v>0</v>
      </c>
      <c r="K412" s="1">
        <v>0.19398808000000001</v>
      </c>
      <c r="L412" s="1">
        <v>0</v>
      </c>
      <c r="M412" s="1">
        <v>0</v>
      </c>
      <c r="N412" s="1">
        <v>2</v>
      </c>
      <c r="O412" s="1">
        <v>0</v>
      </c>
      <c r="P412" s="1">
        <v>0</v>
      </c>
      <c r="Q412" s="3">
        <v>7.6999999999999999E-2</v>
      </c>
      <c r="R412" s="1">
        <v>0</v>
      </c>
      <c r="S412" s="1">
        <v>0</v>
      </c>
    </row>
    <row r="413" spans="1:19" x14ac:dyDescent="0.2">
      <c r="A413" s="1" t="s">
        <v>997</v>
      </c>
      <c r="B413" s="1" t="s">
        <v>998</v>
      </c>
      <c r="C413" s="1">
        <v>1</v>
      </c>
      <c r="D413" s="1" t="s">
        <v>1180</v>
      </c>
      <c r="E413" s="1">
        <v>2</v>
      </c>
      <c r="F413" s="1">
        <v>0</v>
      </c>
      <c r="G413" s="1">
        <v>0</v>
      </c>
      <c r="H413" s="2">
        <v>2.2200000000000001E-5</v>
      </c>
      <c r="I413" s="1">
        <v>0</v>
      </c>
      <c r="J413" s="1">
        <v>0</v>
      </c>
      <c r="K413" s="1">
        <v>2.3293020000000001E-2</v>
      </c>
      <c r="L413" s="1">
        <v>0</v>
      </c>
      <c r="M413" s="1">
        <v>0</v>
      </c>
      <c r="N413" s="1">
        <v>2</v>
      </c>
      <c r="O413" s="1">
        <v>0</v>
      </c>
      <c r="P413" s="1">
        <v>0</v>
      </c>
      <c r="Q413" s="3">
        <v>0.01</v>
      </c>
      <c r="R413" s="1">
        <v>0</v>
      </c>
      <c r="S413" s="1">
        <v>0</v>
      </c>
    </row>
    <row r="414" spans="1:19" x14ac:dyDescent="0.2">
      <c r="A414" s="1" t="s">
        <v>999</v>
      </c>
      <c r="B414" s="1" t="s">
        <v>1000</v>
      </c>
      <c r="C414" s="1">
        <v>1</v>
      </c>
      <c r="D414" s="1" t="s">
        <v>1180</v>
      </c>
      <c r="E414" s="1">
        <v>3</v>
      </c>
      <c r="F414" s="1">
        <v>0</v>
      </c>
      <c r="G414" s="1">
        <v>0</v>
      </c>
      <c r="H414" s="2">
        <v>1.26E-4</v>
      </c>
      <c r="I414" s="1">
        <v>0</v>
      </c>
      <c r="J414" s="1">
        <v>0</v>
      </c>
      <c r="K414" s="1">
        <v>9.1440320000000005E-2</v>
      </c>
      <c r="L414" s="1">
        <v>0</v>
      </c>
      <c r="M414" s="1">
        <v>0</v>
      </c>
      <c r="N414" s="1">
        <v>3</v>
      </c>
      <c r="O414" s="1">
        <v>0</v>
      </c>
      <c r="P414" s="1">
        <v>0</v>
      </c>
      <c r="Q414" s="3">
        <v>3.7999999999999999E-2</v>
      </c>
      <c r="R414" s="1">
        <v>0</v>
      </c>
      <c r="S414" s="1">
        <v>0</v>
      </c>
    </row>
    <row r="415" spans="1:19" x14ac:dyDescent="0.2">
      <c r="A415" s="1" t="s">
        <v>1001</v>
      </c>
      <c r="B415" s="1" t="s">
        <v>1002</v>
      </c>
      <c r="C415" s="1">
        <v>1</v>
      </c>
      <c r="D415" s="1" t="s">
        <v>1180</v>
      </c>
      <c r="E415" s="1">
        <v>3</v>
      </c>
      <c r="F415" s="1">
        <v>0</v>
      </c>
      <c r="G415" s="1">
        <v>0</v>
      </c>
      <c r="H415" s="2">
        <v>1.63E-4</v>
      </c>
      <c r="I415" s="1">
        <v>0</v>
      </c>
      <c r="J415" s="1">
        <v>0</v>
      </c>
      <c r="K415" s="1">
        <v>0.10917485</v>
      </c>
      <c r="L415" s="1">
        <v>0</v>
      </c>
      <c r="M415" s="1">
        <v>0</v>
      </c>
      <c r="N415" s="1">
        <v>3</v>
      </c>
      <c r="O415" s="1">
        <v>0</v>
      </c>
      <c r="P415" s="1">
        <v>0</v>
      </c>
      <c r="Q415" s="3">
        <v>4.4999999999999998E-2</v>
      </c>
      <c r="R415" s="1">
        <v>0</v>
      </c>
      <c r="S415" s="1">
        <v>0</v>
      </c>
    </row>
    <row r="416" spans="1:19" x14ac:dyDescent="0.2">
      <c r="A416" s="1" t="s">
        <v>1003</v>
      </c>
      <c r="B416" s="1" t="s">
        <v>84</v>
      </c>
      <c r="C416" s="1">
        <v>1</v>
      </c>
      <c r="D416" s="1" t="s">
        <v>1180</v>
      </c>
      <c r="E416" s="1">
        <v>3</v>
      </c>
      <c r="F416" s="1">
        <v>0</v>
      </c>
      <c r="G416" s="1">
        <v>0</v>
      </c>
      <c r="H416" s="2">
        <v>7.2900000000000005E-4</v>
      </c>
      <c r="I416" s="1">
        <v>0</v>
      </c>
      <c r="J416" s="1">
        <v>0</v>
      </c>
      <c r="K416" s="1">
        <v>0.31522476999999999</v>
      </c>
      <c r="L416" s="1">
        <v>0</v>
      </c>
      <c r="M416" s="1">
        <v>0</v>
      </c>
      <c r="N416" s="1">
        <v>6</v>
      </c>
      <c r="O416" s="1">
        <v>0</v>
      </c>
      <c r="P416" s="1">
        <v>0</v>
      </c>
      <c r="Q416" s="3">
        <v>0.11899999999999999</v>
      </c>
      <c r="R416" s="1">
        <v>0</v>
      </c>
      <c r="S416" s="1">
        <v>0</v>
      </c>
    </row>
    <row r="417" spans="1:19" x14ac:dyDescent="0.2">
      <c r="A417" s="1" t="s">
        <v>1004</v>
      </c>
      <c r="B417" s="1" t="s">
        <v>1005</v>
      </c>
      <c r="C417" s="1">
        <v>1</v>
      </c>
      <c r="D417" s="1" t="s">
        <v>1180</v>
      </c>
      <c r="E417" s="1">
        <v>2</v>
      </c>
      <c r="F417" s="1">
        <v>0</v>
      </c>
      <c r="G417" s="1">
        <v>0</v>
      </c>
      <c r="H417" s="2">
        <v>1.2999999999999999E-4</v>
      </c>
      <c r="I417" s="1">
        <v>0</v>
      </c>
      <c r="J417" s="1">
        <v>0</v>
      </c>
      <c r="K417" s="1">
        <v>0.12719749999999999</v>
      </c>
      <c r="L417" s="1">
        <v>0</v>
      </c>
      <c r="M417" s="1">
        <v>0</v>
      </c>
      <c r="N417" s="1">
        <v>3</v>
      </c>
      <c r="O417" s="1">
        <v>0</v>
      </c>
      <c r="P417" s="1">
        <v>0</v>
      </c>
      <c r="Q417" s="3">
        <v>5.1999999999999998E-2</v>
      </c>
      <c r="R417" s="1">
        <v>0</v>
      </c>
      <c r="S417" s="1">
        <v>0</v>
      </c>
    </row>
    <row r="418" spans="1:19" x14ac:dyDescent="0.2">
      <c r="A418" s="1" t="s">
        <v>1006</v>
      </c>
      <c r="B418" s="1" t="s">
        <v>1007</v>
      </c>
      <c r="C418" s="1">
        <v>1</v>
      </c>
      <c r="D418" s="1" t="s">
        <v>1180</v>
      </c>
      <c r="E418" s="1">
        <v>2</v>
      </c>
      <c r="F418" s="1">
        <v>0</v>
      </c>
      <c r="G418" s="1">
        <v>0</v>
      </c>
      <c r="H418" s="2">
        <v>4.2299999999999998E-5</v>
      </c>
      <c r="I418" s="1">
        <v>0</v>
      </c>
      <c r="J418" s="1">
        <v>0</v>
      </c>
      <c r="K418" s="1">
        <v>5.1961899999999998E-2</v>
      </c>
      <c r="L418" s="1">
        <v>0</v>
      </c>
      <c r="M418" s="1">
        <v>0</v>
      </c>
      <c r="N418" s="1">
        <v>2</v>
      </c>
      <c r="O418" s="1">
        <v>0</v>
      </c>
      <c r="P418" s="1">
        <v>0</v>
      </c>
      <c r="Q418" s="3">
        <v>2.1999999999999999E-2</v>
      </c>
      <c r="R418" s="1">
        <v>0</v>
      </c>
      <c r="S418" s="1">
        <v>0</v>
      </c>
    </row>
    <row r="419" spans="1:19" x14ac:dyDescent="0.2">
      <c r="A419" s="1" t="s">
        <v>1008</v>
      </c>
      <c r="B419" s="1" t="s">
        <v>1009</v>
      </c>
      <c r="C419" s="1">
        <v>1</v>
      </c>
      <c r="D419" s="1" t="s">
        <v>1180</v>
      </c>
      <c r="E419" s="1">
        <v>3</v>
      </c>
      <c r="F419" s="1">
        <v>0</v>
      </c>
      <c r="G419" s="1">
        <v>0</v>
      </c>
      <c r="H419" s="2">
        <v>1.15E-4</v>
      </c>
      <c r="I419" s="1">
        <v>0</v>
      </c>
      <c r="J419" s="1">
        <v>0</v>
      </c>
      <c r="K419" s="1">
        <v>5.6817529999999998E-2</v>
      </c>
      <c r="L419" s="1">
        <v>0</v>
      </c>
      <c r="M419" s="1">
        <v>0</v>
      </c>
      <c r="N419" s="1">
        <v>5</v>
      </c>
      <c r="O419" s="1">
        <v>0</v>
      </c>
      <c r="P419" s="1">
        <v>0</v>
      </c>
      <c r="Q419" s="3">
        <v>2.4E-2</v>
      </c>
      <c r="R419" s="1">
        <v>0</v>
      </c>
      <c r="S419" s="1">
        <v>0</v>
      </c>
    </row>
    <row r="420" spans="1:19" x14ac:dyDescent="0.2">
      <c r="A420" s="1" t="s">
        <v>1010</v>
      </c>
      <c r="B420" s="1" t="s">
        <v>1011</v>
      </c>
      <c r="C420" s="1">
        <v>1</v>
      </c>
      <c r="D420" s="1" t="s">
        <v>1180</v>
      </c>
      <c r="E420" s="1">
        <v>10</v>
      </c>
      <c r="F420" s="1">
        <v>0</v>
      </c>
      <c r="G420" s="1">
        <v>0</v>
      </c>
      <c r="H420" s="1">
        <v>1.82942E-3</v>
      </c>
      <c r="I420" s="1">
        <v>0</v>
      </c>
      <c r="J420" s="1">
        <v>0</v>
      </c>
      <c r="K420" s="1">
        <v>1.1134888999999999</v>
      </c>
      <c r="L420" s="1">
        <v>0</v>
      </c>
      <c r="M420" s="1">
        <v>0</v>
      </c>
      <c r="N420" s="1">
        <v>17</v>
      </c>
      <c r="O420" s="1">
        <v>0</v>
      </c>
      <c r="P420" s="1">
        <v>0</v>
      </c>
      <c r="Q420" s="3">
        <v>0.32500000000000001</v>
      </c>
      <c r="R420" s="1">
        <v>0</v>
      </c>
      <c r="S420" s="1">
        <v>0</v>
      </c>
    </row>
    <row r="421" spans="1:19" x14ac:dyDescent="0.2">
      <c r="A421" s="1" t="s">
        <v>1012</v>
      </c>
      <c r="B421" s="1" t="s">
        <v>440</v>
      </c>
      <c r="C421" s="1">
        <v>1</v>
      </c>
      <c r="D421" s="1" t="s">
        <v>1180</v>
      </c>
      <c r="E421" s="1">
        <v>50</v>
      </c>
      <c r="F421" s="1">
        <v>0</v>
      </c>
      <c r="G421" s="1">
        <v>0</v>
      </c>
      <c r="H421" s="1">
        <v>2.4326399999999998E-3</v>
      </c>
      <c r="I421" s="1">
        <v>0</v>
      </c>
      <c r="J421" s="1">
        <v>0</v>
      </c>
      <c r="K421" s="1">
        <v>1.4490632999999999</v>
      </c>
      <c r="L421" s="1">
        <v>0</v>
      </c>
      <c r="M421" s="1">
        <v>0</v>
      </c>
      <c r="N421" s="1">
        <v>102</v>
      </c>
      <c r="O421" s="1">
        <v>0</v>
      </c>
      <c r="P421" s="1">
        <v>0</v>
      </c>
      <c r="Q421" s="3">
        <v>0.38900000000000001</v>
      </c>
      <c r="R421" s="1">
        <v>0</v>
      </c>
      <c r="S421" s="1">
        <v>0</v>
      </c>
    </row>
    <row r="422" spans="1:19" x14ac:dyDescent="0.2">
      <c r="A422" s="1" t="s">
        <v>1013</v>
      </c>
      <c r="B422" s="1" t="s">
        <v>1014</v>
      </c>
      <c r="C422" s="1">
        <v>1</v>
      </c>
      <c r="D422" s="1" t="s">
        <v>1180</v>
      </c>
      <c r="E422" s="1">
        <v>8</v>
      </c>
      <c r="F422" s="1">
        <v>0</v>
      </c>
      <c r="G422" s="1">
        <v>0</v>
      </c>
      <c r="H422" s="2">
        <v>3.7199999999999999E-4</v>
      </c>
      <c r="I422" s="1">
        <v>0</v>
      </c>
      <c r="J422" s="1">
        <v>0</v>
      </c>
      <c r="K422" s="1">
        <v>0.20781385999999999</v>
      </c>
      <c r="L422" s="1">
        <v>0</v>
      </c>
      <c r="M422" s="1">
        <v>0</v>
      </c>
      <c r="N422" s="1">
        <v>16</v>
      </c>
      <c r="O422" s="1">
        <v>0</v>
      </c>
      <c r="P422" s="1">
        <v>0</v>
      </c>
      <c r="Q422" s="3">
        <v>8.2000000000000003E-2</v>
      </c>
      <c r="R422" s="1">
        <v>0</v>
      </c>
      <c r="S422" s="1">
        <v>0</v>
      </c>
    </row>
    <row r="423" spans="1:19" x14ac:dyDescent="0.2">
      <c r="A423" s="1" t="s">
        <v>1015</v>
      </c>
      <c r="B423" s="1" t="s">
        <v>1016</v>
      </c>
      <c r="C423" s="1">
        <v>1</v>
      </c>
      <c r="D423" s="1" t="s">
        <v>1180</v>
      </c>
      <c r="E423" s="1">
        <v>2</v>
      </c>
      <c r="F423" s="1">
        <v>0</v>
      </c>
      <c r="G423" s="1">
        <v>0</v>
      </c>
      <c r="H423" s="2">
        <v>4.5600000000000003E-4</v>
      </c>
      <c r="I423" s="1">
        <v>0</v>
      </c>
      <c r="J423" s="1">
        <v>0</v>
      </c>
      <c r="K423" s="1">
        <v>1.3933158000000001</v>
      </c>
      <c r="L423" s="1">
        <v>0</v>
      </c>
      <c r="M423" s="1">
        <v>0</v>
      </c>
      <c r="N423" s="1">
        <v>2</v>
      </c>
      <c r="O423" s="1">
        <v>0</v>
      </c>
      <c r="P423" s="1">
        <v>0</v>
      </c>
      <c r="Q423" s="3">
        <v>0.379</v>
      </c>
      <c r="R423" s="1">
        <v>0</v>
      </c>
      <c r="S423" s="1">
        <v>0</v>
      </c>
    </row>
    <row r="424" spans="1:19" x14ac:dyDescent="0.2">
      <c r="A424" s="1" t="s">
        <v>1017</v>
      </c>
      <c r="B424" s="1" t="s">
        <v>1018</v>
      </c>
      <c r="C424" s="1">
        <v>1</v>
      </c>
      <c r="D424" s="1" t="s">
        <v>1180</v>
      </c>
      <c r="E424" s="1">
        <v>2</v>
      </c>
      <c r="F424" s="1">
        <v>0</v>
      </c>
      <c r="G424" s="1">
        <v>0</v>
      </c>
      <c r="H424" s="2">
        <v>1.2300000000000001E-5</v>
      </c>
      <c r="I424" s="1">
        <v>0</v>
      </c>
      <c r="J424" s="1">
        <v>0</v>
      </c>
      <c r="K424" s="1">
        <v>4.2317390000000003E-2</v>
      </c>
      <c r="L424" s="1">
        <v>0</v>
      </c>
      <c r="M424" s="1">
        <v>0</v>
      </c>
      <c r="N424" s="1">
        <v>2</v>
      </c>
      <c r="O424" s="1">
        <v>0</v>
      </c>
      <c r="P424" s="1">
        <v>0</v>
      </c>
      <c r="Q424" s="3">
        <v>1.7999999999999999E-2</v>
      </c>
      <c r="R424" s="1">
        <v>0</v>
      </c>
      <c r="S424" s="1">
        <v>0</v>
      </c>
    </row>
    <row r="425" spans="1:19" x14ac:dyDescent="0.2">
      <c r="A425" s="1" t="s">
        <v>1019</v>
      </c>
      <c r="B425" s="1" t="s">
        <v>259</v>
      </c>
      <c r="C425" s="1">
        <v>1</v>
      </c>
      <c r="D425" s="1" t="s">
        <v>1180</v>
      </c>
      <c r="E425" s="1">
        <v>12</v>
      </c>
      <c r="F425" s="1">
        <v>0</v>
      </c>
      <c r="G425" s="1">
        <v>0</v>
      </c>
      <c r="H425" s="1">
        <v>2.4991800000000002E-3</v>
      </c>
      <c r="I425" s="1">
        <v>0</v>
      </c>
      <c r="J425" s="1">
        <v>0</v>
      </c>
      <c r="K425" s="1">
        <v>0.5205476</v>
      </c>
      <c r="L425" s="1">
        <v>0</v>
      </c>
      <c r="M425" s="1">
        <v>0</v>
      </c>
      <c r="N425" s="1">
        <v>27</v>
      </c>
      <c r="O425" s="1">
        <v>0</v>
      </c>
      <c r="P425" s="1">
        <v>0</v>
      </c>
      <c r="Q425" s="3">
        <v>0.182</v>
      </c>
      <c r="R425" s="1">
        <v>0</v>
      </c>
      <c r="S425" s="1">
        <v>0</v>
      </c>
    </row>
    <row r="426" spans="1:19" x14ac:dyDescent="0.2">
      <c r="A426" s="1" t="s">
        <v>1020</v>
      </c>
      <c r="B426" s="1" t="s">
        <v>126</v>
      </c>
      <c r="C426" s="1">
        <v>1</v>
      </c>
      <c r="D426" s="1" t="s">
        <v>1180</v>
      </c>
      <c r="E426" s="1">
        <v>7</v>
      </c>
      <c r="F426" s="1">
        <v>0</v>
      </c>
      <c r="G426" s="1">
        <v>0</v>
      </c>
      <c r="H426" s="2">
        <v>1.76E-4</v>
      </c>
      <c r="I426" s="1">
        <v>0</v>
      </c>
      <c r="J426" s="1">
        <v>0</v>
      </c>
      <c r="K426" s="1">
        <v>0.24451458000000001</v>
      </c>
      <c r="L426" s="1">
        <v>0</v>
      </c>
      <c r="M426" s="1">
        <v>0</v>
      </c>
      <c r="N426" s="1">
        <v>7</v>
      </c>
      <c r="O426" s="1">
        <v>0</v>
      </c>
      <c r="P426" s="1">
        <v>0</v>
      </c>
      <c r="Q426" s="3">
        <v>9.5000000000000001E-2</v>
      </c>
      <c r="R426" s="1">
        <v>0</v>
      </c>
      <c r="S426" s="1">
        <v>0</v>
      </c>
    </row>
    <row r="427" spans="1:19" x14ac:dyDescent="0.2">
      <c r="A427" s="1" t="s">
        <v>1021</v>
      </c>
      <c r="B427" s="1" t="s">
        <v>41</v>
      </c>
      <c r="C427" s="1">
        <v>1</v>
      </c>
      <c r="D427" s="1" t="s">
        <v>1180</v>
      </c>
      <c r="E427" s="1">
        <v>5</v>
      </c>
      <c r="F427" s="1">
        <v>0</v>
      </c>
      <c r="G427" s="1">
        <v>0</v>
      </c>
      <c r="H427" s="2">
        <v>8.0999999999999996E-4</v>
      </c>
      <c r="I427" s="1">
        <v>0</v>
      </c>
      <c r="J427" s="1">
        <v>0</v>
      </c>
      <c r="K427" s="1">
        <v>0.97696959999999999</v>
      </c>
      <c r="L427" s="1">
        <v>0</v>
      </c>
      <c r="M427" s="1">
        <v>0</v>
      </c>
      <c r="N427" s="1">
        <v>6</v>
      </c>
      <c r="O427" s="1">
        <v>0</v>
      </c>
      <c r="P427" s="1">
        <v>0</v>
      </c>
      <c r="Q427" s="3">
        <v>0.29599999999999999</v>
      </c>
      <c r="R427" s="1">
        <v>0</v>
      </c>
      <c r="S427" s="1">
        <v>0</v>
      </c>
    </row>
    <row r="428" spans="1:19" x14ac:dyDescent="0.2">
      <c r="A428" s="1" t="s">
        <v>1022</v>
      </c>
      <c r="B428" s="1" t="s">
        <v>25</v>
      </c>
      <c r="C428" s="1">
        <v>1</v>
      </c>
      <c r="D428" s="1" t="s">
        <v>1180</v>
      </c>
      <c r="E428" s="1">
        <v>3</v>
      </c>
      <c r="F428" s="1">
        <v>0</v>
      </c>
      <c r="G428" s="1">
        <v>0</v>
      </c>
      <c r="H428" s="2">
        <v>4.35E-4</v>
      </c>
      <c r="I428" s="1">
        <v>0</v>
      </c>
      <c r="J428" s="1">
        <v>0</v>
      </c>
      <c r="K428" s="1">
        <v>0.11429453000000001</v>
      </c>
      <c r="L428" s="1">
        <v>0</v>
      </c>
      <c r="M428" s="1">
        <v>0</v>
      </c>
      <c r="N428" s="1">
        <v>7</v>
      </c>
      <c r="O428" s="1">
        <v>0</v>
      </c>
      <c r="P428" s="1">
        <v>0</v>
      </c>
      <c r="Q428" s="3">
        <v>4.7E-2</v>
      </c>
      <c r="R428" s="1">
        <v>0</v>
      </c>
      <c r="S428" s="1">
        <v>0</v>
      </c>
    </row>
    <row r="429" spans="1:19" x14ac:dyDescent="0.2">
      <c r="A429" s="1" t="s">
        <v>1023</v>
      </c>
      <c r="B429" s="1" t="s">
        <v>893</v>
      </c>
      <c r="C429" s="1">
        <v>1</v>
      </c>
      <c r="D429" s="1" t="s">
        <v>1180</v>
      </c>
      <c r="E429" s="1">
        <v>3</v>
      </c>
      <c r="F429" s="1">
        <v>0</v>
      </c>
      <c r="G429" s="1">
        <v>0</v>
      </c>
      <c r="H429" s="2">
        <v>8.7100000000000003E-4</v>
      </c>
      <c r="I429" s="1">
        <v>0</v>
      </c>
      <c r="J429" s="1">
        <v>0</v>
      </c>
      <c r="K429" s="1">
        <v>0.43879855000000001</v>
      </c>
      <c r="L429" s="1">
        <v>0</v>
      </c>
      <c r="M429" s="1">
        <v>0</v>
      </c>
      <c r="N429" s="1">
        <v>5</v>
      </c>
      <c r="O429" s="1">
        <v>0</v>
      </c>
      <c r="P429" s="1">
        <v>0</v>
      </c>
      <c r="Q429" s="3">
        <v>0.158</v>
      </c>
      <c r="R429" s="1">
        <v>0</v>
      </c>
      <c r="S429" s="1">
        <v>0</v>
      </c>
    </row>
    <row r="430" spans="1:19" x14ac:dyDescent="0.2">
      <c r="A430" s="1" t="s">
        <v>1024</v>
      </c>
      <c r="B430" s="1" t="s">
        <v>1025</v>
      </c>
      <c r="C430" s="1">
        <v>1</v>
      </c>
      <c r="D430" s="1" t="s">
        <v>1180</v>
      </c>
      <c r="E430" s="1">
        <v>5</v>
      </c>
      <c r="F430" s="1">
        <v>0</v>
      </c>
      <c r="G430" s="1">
        <v>0</v>
      </c>
      <c r="H430" s="2">
        <v>4.4900000000000002E-4</v>
      </c>
      <c r="I430" s="1">
        <v>0</v>
      </c>
      <c r="J430" s="1">
        <v>0</v>
      </c>
      <c r="K430" s="1">
        <v>0.23879659</v>
      </c>
      <c r="L430" s="1">
        <v>0</v>
      </c>
      <c r="M430" s="1">
        <v>0</v>
      </c>
      <c r="N430" s="1">
        <v>11</v>
      </c>
      <c r="O430" s="1">
        <v>0</v>
      </c>
      <c r="P430" s="1">
        <v>0</v>
      </c>
      <c r="Q430" s="3">
        <v>9.2999999999999999E-2</v>
      </c>
      <c r="R430" s="1">
        <v>0</v>
      </c>
      <c r="S430" s="1">
        <v>0</v>
      </c>
    </row>
    <row r="431" spans="1:19" x14ac:dyDescent="0.2">
      <c r="A431" s="1" t="s">
        <v>1026</v>
      </c>
      <c r="B431" s="1" t="s">
        <v>39</v>
      </c>
      <c r="C431" s="1">
        <v>1</v>
      </c>
      <c r="D431" s="1" t="s">
        <v>1180</v>
      </c>
      <c r="E431" s="1">
        <v>3</v>
      </c>
      <c r="F431" s="1">
        <v>0</v>
      </c>
      <c r="G431" s="1">
        <v>0</v>
      </c>
      <c r="H431" s="2">
        <v>6.69E-5</v>
      </c>
      <c r="I431" s="1">
        <v>0</v>
      </c>
      <c r="J431" s="1">
        <v>0</v>
      </c>
      <c r="K431" s="1">
        <v>5.6817529999999998E-2</v>
      </c>
      <c r="L431" s="1">
        <v>0</v>
      </c>
      <c r="M431" s="1">
        <v>0</v>
      </c>
      <c r="N431" s="1">
        <v>3</v>
      </c>
      <c r="O431" s="1">
        <v>0</v>
      </c>
      <c r="P431" s="1">
        <v>0</v>
      </c>
      <c r="Q431" s="3">
        <v>2.4E-2</v>
      </c>
      <c r="R431" s="1">
        <v>0</v>
      </c>
      <c r="S431" s="1">
        <v>0</v>
      </c>
    </row>
    <row r="432" spans="1:19" x14ac:dyDescent="0.2">
      <c r="A432" s="1" t="s">
        <v>1027</v>
      </c>
      <c r="B432" s="1" t="s">
        <v>39</v>
      </c>
      <c r="C432" s="1">
        <v>1</v>
      </c>
      <c r="D432" s="1" t="s">
        <v>1180</v>
      </c>
      <c r="E432" s="1">
        <v>2</v>
      </c>
      <c r="F432" s="1">
        <v>0</v>
      </c>
      <c r="G432" s="1">
        <v>0</v>
      </c>
      <c r="H432" s="2">
        <v>5.2099999999999999E-5</v>
      </c>
      <c r="I432" s="1">
        <v>0</v>
      </c>
      <c r="J432" s="1">
        <v>0</v>
      </c>
      <c r="K432" s="1">
        <v>6.6596150000000007E-2</v>
      </c>
      <c r="L432" s="1">
        <v>0</v>
      </c>
      <c r="M432" s="1">
        <v>0</v>
      </c>
      <c r="N432" s="1">
        <v>2</v>
      </c>
      <c r="O432" s="1">
        <v>0</v>
      </c>
      <c r="P432" s="1">
        <v>0</v>
      </c>
      <c r="Q432" s="3">
        <v>2.8000000000000001E-2</v>
      </c>
      <c r="R432" s="1">
        <v>0</v>
      </c>
      <c r="S432" s="1">
        <v>0</v>
      </c>
    </row>
    <row r="433" spans="1:19" x14ac:dyDescent="0.2">
      <c r="A433" s="1" t="s">
        <v>1028</v>
      </c>
      <c r="B433" s="1" t="s">
        <v>39</v>
      </c>
      <c r="C433" s="1">
        <v>1</v>
      </c>
      <c r="D433" s="1" t="s">
        <v>1180</v>
      </c>
      <c r="E433" s="1">
        <v>2</v>
      </c>
      <c r="F433" s="1">
        <v>0</v>
      </c>
      <c r="G433" s="1">
        <v>0</v>
      </c>
      <c r="H433" s="2">
        <v>4.74E-5</v>
      </c>
      <c r="I433" s="1">
        <v>0</v>
      </c>
      <c r="J433" s="1">
        <v>0</v>
      </c>
      <c r="K433" s="1">
        <v>5.9253689999999998E-2</v>
      </c>
      <c r="L433" s="1">
        <v>0</v>
      </c>
      <c r="M433" s="1">
        <v>0</v>
      </c>
      <c r="N433" s="1">
        <v>2</v>
      </c>
      <c r="O433" s="1">
        <v>0</v>
      </c>
      <c r="P433" s="1">
        <v>0</v>
      </c>
      <c r="Q433" s="3">
        <v>2.5000000000000001E-2</v>
      </c>
      <c r="R433" s="1">
        <v>0</v>
      </c>
      <c r="S433" s="1">
        <v>0</v>
      </c>
    </row>
    <row r="434" spans="1:19" x14ac:dyDescent="0.2">
      <c r="A434" s="1" t="s">
        <v>1029</v>
      </c>
      <c r="B434" s="1" t="s">
        <v>25</v>
      </c>
      <c r="C434" s="1">
        <v>1</v>
      </c>
      <c r="D434" s="1" t="s">
        <v>1180</v>
      </c>
      <c r="E434" s="1">
        <v>2</v>
      </c>
      <c r="F434" s="1">
        <v>0</v>
      </c>
      <c r="G434" s="1">
        <v>0</v>
      </c>
      <c r="H434" s="2">
        <v>3.4400000000000001E-4</v>
      </c>
      <c r="I434" s="1">
        <v>0</v>
      </c>
      <c r="J434" s="1">
        <v>0</v>
      </c>
      <c r="K434" s="1">
        <v>0.71395730000000002</v>
      </c>
      <c r="L434" s="1">
        <v>0</v>
      </c>
      <c r="M434" s="1">
        <v>0</v>
      </c>
      <c r="N434" s="1">
        <v>2</v>
      </c>
      <c r="O434" s="1">
        <v>0</v>
      </c>
      <c r="P434" s="1">
        <v>0</v>
      </c>
      <c r="Q434" s="3">
        <v>0.23400000000000001</v>
      </c>
      <c r="R434" s="1">
        <v>0</v>
      </c>
      <c r="S434" s="1">
        <v>0</v>
      </c>
    </row>
    <row r="435" spans="1:19" x14ac:dyDescent="0.2">
      <c r="A435" s="1" t="s">
        <v>1030</v>
      </c>
      <c r="B435" s="1" t="s">
        <v>25</v>
      </c>
      <c r="C435" s="1">
        <v>1</v>
      </c>
      <c r="D435" s="1" t="s">
        <v>1180</v>
      </c>
      <c r="E435" s="1">
        <v>3</v>
      </c>
      <c r="F435" s="1">
        <v>0</v>
      </c>
      <c r="G435" s="1">
        <v>0</v>
      </c>
      <c r="H435" s="1">
        <v>1.20331E-3</v>
      </c>
      <c r="I435" s="1">
        <v>0</v>
      </c>
      <c r="J435" s="1">
        <v>0</v>
      </c>
      <c r="K435" s="1">
        <v>0.87499450000000001</v>
      </c>
      <c r="L435" s="1">
        <v>0</v>
      </c>
      <c r="M435" s="1">
        <v>0</v>
      </c>
      <c r="N435" s="1">
        <v>5</v>
      </c>
      <c r="O435" s="1">
        <v>0</v>
      </c>
      <c r="P435" s="1">
        <v>0</v>
      </c>
      <c r="Q435" s="3">
        <v>0.27300000000000002</v>
      </c>
      <c r="R435" s="1">
        <v>0</v>
      </c>
      <c r="S435" s="1">
        <v>0</v>
      </c>
    </row>
    <row r="436" spans="1:19" x14ac:dyDescent="0.2">
      <c r="A436" s="1" t="s">
        <v>1031</v>
      </c>
      <c r="B436" s="1" t="s">
        <v>1032</v>
      </c>
      <c r="C436" s="1">
        <v>1</v>
      </c>
      <c r="D436" s="1" t="s">
        <v>1180</v>
      </c>
      <c r="E436" s="1">
        <v>3</v>
      </c>
      <c r="F436" s="1">
        <v>0</v>
      </c>
      <c r="G436" s="1">
        <v>0</v>
      </c>
      <c r="H436" s="2">
        <v>2.5300000000000002E-4</v>
      </c>
      <c r="I436" s="1">
        <v>0</v>
      </c>
      <c r="J436" s="1">
        <v>0</v>
      </c>
      <c r="K436" s="1">
        <v>0.18032061999999999</v>
      </c>
      <c r="L436" s="1">
        <v>0</v>
      </c>
      <c r="M436" s="1">
        <v>0</v>
      </c>
      <c r="N436" s="1">
        <v>4</v>
      </c>
      <c r="O436" s="1">
        <v>0</v>
      </c>
      <c r="P436" s="1">
        <v>0</v>
      </c>
      <c r="Q436" s="3">
        <v>7.1999999999999995E-2</v>
      </c>
      <c r="R436" s="1">
        <v>0</v>
      </c>
      <c r="S436" s="1">
        <v>0</v>
      </c>
    </row>
    <row r="437" spans="1:19" x14ac:dyDescent="0.2">
      <c r="A437" s="1" t="s">
        <v>1033</v>
      </c>
      <c r="B437" s="1" t="s">
        <v>39</v>
      </c>
      <c r="C437" s="1">
        <v>1</v>
      </c>
      <c r="D437" s="1" t="s">
        <v>1180</v>
      </c>
      <c r="E437" s="1">
        <v>3</v>
      </c>
      <c r="F437" s="1">
        <v>0</v>
      </c>
      <c r="G437" s="1">
        <v>0</v>
      </c>
      <c r="H437" s="2">
        <v>4.3399999999999998E-4</v>
      </c>
      <c r="I437" s="1">
        <v>0</v>
      </c>
      <c r="J437" s="1">
        <v>0</v>
      </c>
      <c r="K437" s="1">
        <v>0.66341269999999997</v>
      </c>
      <c r="L437" s="1">
        <v>0</v>
      </c>
      <c r="M437" s="1">
        <v>0</v>
      </c>
      <c r="N437" s="1">
        <v>4</v>
      </c>
      <c r="O437" s="1">
        <v>0</v>
      </c>
      <c r="P437" s="1">
        <v>0</v>
      </c>
      <c r="Q437" s="3">
        <v>0.221</v>
      </c>
      <c r="R437" s="1">
        <v>0</v>
      </c>
      <c r="S437" s="1">
        <v>0</v>
      </c>
    </row>
    <row r="438" spans="1:19" x14ac:dyDescent="0.2">
      <c r="A438" s="1" t="s">
        <v>1034</v>
      </c>
      <c r="B438" s="1" t="s">
        <v>1035</v>
      </c>
      <c r="C438" s="1">
        <v>1</v>
      </c>
      <c r="D438" s="1" t="s">
        <v>1180</v>
      </c>
      <c r="E438" s="1">
        <v>4</v>
      </c>
      <c r="F438" s="1">
        <v>0</v>
      </c>
      <c r="G438" s="1">
        <v>0</v>
      </c>
      <c r="H438" s="2">
        <v>1.9799999999999999E-4</v>
      </c>
      <c r="I438" s="1">
        <v>0</v>
      </c>
      <c r="J438" s="1">
        <v>0</v>
      </c>
      <c r="K438" s="1">
        <v>0.11943793</v>
      </c>
      <c r="L438" s="1">
        <v>0</v>
      </c>
      <c r="M438" s="1">
        <v>0</v>
      </c>
      <c r="N438" s="1">
        <v>4</v>
      </c>
      <c r="O438" s="1">
        <v>0</v>
      </c>
      <c r="P438" s="1">
        <v>0</v>
      </c>
      <c r="Q438" s="3">
        <v>4.9000000000000002E-2</v>
      </c>
      <c r="R438" s="1">
        <v>0</v>
      </c>
      <c r="S438" s="1">
        <v>0</v>
      </c>
    </row>
    <row r="439" spans="1:19" x14ac:dyDescent="0.2">
      <c r="A439" s="1" t="s">
        <v>1036</v>
      </c>
      <c r="B439" s="1" t="s">
        <v>583</v>
      </c>
      <c r="C439" s="1">
        <v>1</v>
      </c>
      <c r="D439" s="1" t="s">
        <v>1180</v>
      </c>
      <c r="E439" s="1">
        <v>2</v>
      </c>
      <c r="F439" s="1">
        <v>0</v>
      </c>
      <c r="G439" s="1">
        <v>0</v>
      </c>
      <c r="H439" s="2">
        <v>1.74E-4</v>
      </c>
      <c r="I439" s="1">
        <v>0</v>
      </c>
      <c r="J439" s="1">
        <v>0</v>
      </c>
      <c r="K439" s="1">
        <v>0.45881425999999997</v>
      </c>
      <c r="L439" s="1">
        <v>0</v>
      </c>
      <c r="M439" s="1">
        <v>0</v>
      </c>
      <c r="N439" s="1">
        <v>2</v>
      </c>
      <c r="O439" s="1">
        <v>0</v>
      </c>
      <c r="P439" s="1">
        <v>0</v>
      </c>
      <c r="Q439" s="3">
        <v>0.16400000000000001</v>
      </c>
      <c r="R439" s="1">
        <v>0</v>
      </c>
      <c r="S439" s="1">
        <v>0</v>
      </c>
    </row>
    <row r="440" spans="1:19" x14ac:dyDescent="0.2">
      <c r="A440" s="1" t="s">
        <v>1037</v>
      </c>
      <c r="B440" s="1" t="s">
        <v>1038</v>
      </c>
      <c r="C440" s="1">
        <v>1</v>
      </c>
      <c r="D440" s="1" t="s">
        <v>1180</v>
      </c>
      <c r="E440" s="1">
        <v>17</v>
      </c>
      <c r="F440" s="1">
        <v>0</v>
      </c>
      <c r="G440" s="1">
        <v>0</v>
      </c>
      <c r="H440" s="1">
        <v>9.2654899999999995E-3</v>
      </c>
      <c r="I440" s="1">
        <v>0</v>
      </c>
      <c r="J440" s="1">
        <v>0</v>
      </c>
      <c r="K440" s="1">
        <v>4.4075436999999997</v>
      </c>
      <c r="L440" s="1">
        <v>0</v>
      </c>
      <c r="M440" s="1">
        <v>0</v>
      </c>
      <c r="N440" s="1">
        <v>42</v>
      </c>
      <c r="O440" s="1">
        <v>0</v>
      </c>
      <c r="P440" s="1">
        <v>0</v>
      </c>
      <c r="Q440" s="3">
        <v>0.73299999999999998</v>
      </c>
      <c r="R440" s="1">
        <v>0</v>
      </c>
      <c r="S440" s="1">
        <v>0</v>
      </c>
    </row>
    <row r="441" spans="1:19" x14ac:dyDescent="0.2">
      <c r="A441" s="1" t="s">
        <v>1039</v>
      </c>
      <c r="B441" s="1" t="s">
        <v>1040</v>
      </c>
      <c r="C441" s="1">
        <v>1</v>
      </c>
      <c r="D441" s="1" t="s">
        <v>1180</v>
      </c>
      <c r="E441" s="1">
        <v>2</v>
      </c>
      <c r="F441" s="1">
        <v>0</v>
      </c>
      <c r="G441" s="1">
        <v>0</v>
      </c>
      <c r="H441" s="2">
        <v>3.7299999999999999E-5</v>
      </c>
      <c r="I441" s="1">
        <v>0</v>
      </c>
      <c r="J441" s="1">
        <v>0</v>
      </c>
      <c r="K441" s="1">
        <v>3.7528400000000003E-2</v>
      </c>
      <c r="L441" s="1">
        <v>0</v>
      </c>
      <c r="M441" s="1">
        <v>0</v>
      </c>
      <c r="N441" s="1">
        <v>4</v>
      </c>
      <c r="O441" s="1">
        <v>0</v>
      </c>
      <c r="P441" s="1">
        <v>0</v>
      </c>
      <c r="Q441" s="3">
        <v>1.6E-2</v>
      </c>
      <c r="R441" s="1">
        <v>0</v>
      </c>
      <c r="S441" s="1">
        <v>0</v>
      </c>
    </row>
    <row r="442" spans="1:19" x14ac:dyDescent="0.2">
      <c r="A442" s="1" t="s">
        <v>1041</v>
      </c>
      <c r="B442" s="1" t="s">
        <v>1042</v>
      </c>
      <c r="C442" s="1">
        <v>1</v>
      </c>
      <c r="D442" s="1" t="s">
        <v>1180</v>
      </c>
      <c r="E442" s="1">
        <v>16</v>
      </c>
      <c r="F442" s="1">
        <v>0</v>
      </c>
      <c r="G442" s="1">
        <v>0</v>
      </c>
      <c r="H442" s="2">
        <v>4.5800000000000002E-4</v>
      </c>
      <c r="I442" s="1">
        <v>0</v>
      </c>
      <c r="J442" s="1">
        <v>0</v>
      </c>
      <c r="K442" s="1">
        <v>0.54170050000000003</v>
      </c>
      <c r="L442" s="1">
        <v>0</v>
      </c>
      <c r="M442" s="1">
        <v>0</v>
      </c>
      <c r="N442" s="1">
        <v>18</v>
      </c>
      <c r="O442" s="1">
        <v>0</v>
      </c>
      <c r="P442" s="1">
        <v>0</v>
      </c>
      <c r="Q442" s="3">
        <v>0.188</v>
      </c>
      <c r="R442" s="1">
        <v>0</v>
      </c>
      <c r="S442" s="1">
        <v>0</v>
      </c>
    </row>
    <row r="443" spans="1:19" x14ac:dyDescent="0.2">
      <c r="A443" s="1" t="s">
        <v>1043</v>
      </c>
      <c r="B443" s="1" t="s">
        <v>39</v>
      </c>
      <c r="C443" s="1">
        <v>1</v>
      </c>
      <c r="D443" s="1" t="s">
        <v>1180</v>
      </c>
      <c r="E443" s="1">
        <v>6</v>
      </c>
      <c r="F443" s="1">
        <v>0</v>
      </c>
      <c r="G443" s="1">
        <v>0</v>
      </c>
      <c r="H443" s="2">
        <v>2.52E-4</v>
      </c>
      <c r="I443" s="1">
        <v>0</v>
      </c>
      <c r="J443" s="1">
        <v>0</v>
      </c>
      <c r="K443" s="1">
        <v>0.10153925</v>
      </c>
      <c r="L443" s="1">
        <v>0</v>
      </c>
      <c r="M443" s="1">
        <v>0</v>
      </c>
      <c r="N443" s="1">
        <v>9</v>
      </c>
      <c r="O443" s="1">
        <v>0</v>
      </c>
      <c r="P443" s="1">
        <v>0</v>
      </c>
      <c r="Q443" s="3">
        <v>4.2000000000000003E-2</v>
      </c>
      <c r="R443" s="1">
        <v>0</v>
      </c>
      <c r="S443" s="1">
        <v>0</v>
      </c>
    </row>
    <row r="444" spans="1:19" x14ac:dyDescent="0.2">
      <c r="A444" s="1" t="s">
        <v>1044</v>
      </c>
      <c r="B444" s="1" t="s">
        <v>1045</v>
      </c>
      <c r="C444" s="1">
        <v>1</v>
      </c>
      <c r="D444" s="1" t="s">
        <v>1180</v>
      </c>
      <c r="E444" s="1">
        <v>3</v>
      </c>
      <c r="F444" s="1">
        <v>0</v>
      </c>
      <c r="G444" s="1">
        <v>0</v>
      </c>
      <c r="H444" s="2">
        <v>4.8099999999999998E-4</v>
      </c>
      <c r="I444" s="1">
        <v>0</v>
      </c>
      <c r="J444" s="1">
        <v>0</v>
      </c>
      <c r="K444" s="1">
        <v>0.28528666000000003</v>
      </c>
      <c r="L444" s="1">
        <v>0</v>
      </c>
      <c r="M444" s="1">
        <v>0</v>
      </c>
      <c r="N444" s="1">
        <v>4</v>
      </c>
      <c r="O444" s="1">
        <v>0</v>
      </c>
      <c r="P444" s="1">
        <v>0</v>
      </c>
      <c r="Q444" s="3">
        <v>0.109</v>
      </c>
      <c r="R444" s="1">
        <v>0</v>
      </c>
      <c r="S444" s="1">
        <v>0</v>
      </c>
    </row>
    <row r="445" spans="1:19" x14ac:dyDescent="0.2">
      <c r="A445" s="1" t="s">
        <v>1046</v>
      </c>
      <c r="B445" s="1" t="s">
        <v>1047</v>
      </c>
      <c r="C445" s="1">
        <v>1</v>
      </c>
      <c r="D445" s="1" t="s">
        <v>1180</v>
      </c>
      <c r="E445" s="1">
        <v>6</v>
      </c>
      <c r="F445" s="1">
        <v>0</v>
      </c>
      <c r="G445" s="1">
        <v>0</v>
      </c>
      <c r="H445" s="1">
        <v>1.42746E-3</v>
      </c>
      <c r="I445" s="1">
        <v>0</v>
      </c>
      <c r="J445" s="1">
        <v>0</v>
      </c>
      <c r="K445" s="1">
        <v>0.88364909999999997</v>
      </c>
      <c r="L445" s="1">
        <v>0</v>
      </c>
      <c r="M445" s="1">
        <v>0</v>
      </c>
      <c r="N445" s="1">
        <v>11</v>
      </c>
      <c r="O445" s="1">
        <v>0</v>
      </c>
      <c r="P445" s="1">
        <v>0</v>
      </c>
      <c r="Q445" s="3">
        <v>0.27500000000000002</v>
      </c>
      <c r="R445" s="1">
        <v>0</v>
      </c>
      <c r="S445" s="1">
        <v>0</v>
      </c>
    </row>
    <row r="446" spans="1:19" x14ac:dyDescent="0.2">
      <c r="A446" s="1" t="s">
        <v>1048</v>
      </c>
      <c r="B446" s="1" t="s">
        <v>1049</v>
      </c>
      <c r="C446" s="1">
        <v>1</v>
      </c>
      <c r="D446" s="1" t="s">
        <v>1180</v>
      </c>
      <c r="E446" s="1">
        <v>2</v>
      </c>
      <c r="F446" s="1">
        <v>0</v>
      </c>
      <c r="G446" s="1">
        <v>0</v>
      </c>
      <c r="H446" s="2">
        <v>1.66E-5</v>
      </c>
      <c r="I446" s="1">
        <v>0</v>
      </c>
      <c r="J446" s="1">
        <v>0</v>
      </c>
      <c r="K446" s="1">
        <v>2.0939470000000002E-2</v>
      </c>
      <c r="L446" s="1">
        <v>0</v>
      </c>
      <c r="M446" s="1">
        <v>0</v>
      </c>
      <c r="N446" s="1">
        <v>2</v>
      </c>
      <c r="O446" s="1">
        <v>0</v>
      </c>
      <c r="P446" s="1">
        <v>0</v>
      </c>
      <c r="Q446" s="3">
        <v>8.9999999999999993E-3</v>
      </c>
      <c r="R446" s="1">
        <v>0</v>
      </c>
      <c r="S446" s="1">
        <v>0</v>
      </c>
    </row>
    <row r="447" spans="1:19" x14ac:dyDescent="0.2">
      <c r="A447" s="1" t="s">
        <v>1050</v>
      </c>
      <c r="B447" s="1" t="s">
        <v>1051</v>
      </c>
      <c r="C447" s="1">
        <v>1</v>
      </c>
      <c r="D447" s="1" t="s">
        <v>1180</v>
      </c>
      <c r="E447" s="1">
        <v>12</v>
      </c>
      <c r="F447" s="1">
        <v>0</v>
      </c>
      <c r="G447" s="1">
        <v>0</v>
      </c>
      <c r="H447" s="1">
        <v>2.7123799999999999E-3</v>
      </c>
      <c r="I447" s="1">
        <v>0</v>
      </c>
      <c r="J447" s="1">
        <v>0</v>
      </c>
      <c r="K447" s="1">
        <v>2.2809526999999998</v>
      </c>
      <c r="L447" s="1">
        <v>0</v>
      </c>
      <c r="M447" s="1">
        <v>0</v>
      </c>
      <c r="N447" s="1">
        <v>25</v>
      </c>
      <c r="O447" s="1">
        <v>0</v>
      </c>
      <c r="P447" s="1">
        <v>0</v>
      </c>
      <c r="Q447" s="3">
        <v>0.51600000000000001</v>
      </c>
      <c r="R447" s="1">
        <v>0</v>
      </c>
      <c r="S447" s="1">
        <v>0</v>
      </c>
    </row>
    <row r="448" spans="1:19" x14ac:dyDescent="0.2">
      <c r="A448" s="1" t="s">
        <v>1052</v>
      </c>
      <c r="B448" s="1" t="s">
        <v>871</v>
      </c>
      <c r="C448" s="1">
        <v>1</v>
      </c>
      <c r="D448" s="1" t="s">
        <v>1180</v>
      </c>
      <c r="E448" s="1">
        <v>46</v>
      </c>
      <c r="F448" s="1">
        <v>0</v>
      </c>
      <c r="G448" s="1">
        <v>0</v>
      </c>
      <c r="H448" s="1">
        <v>1.08417E-3</v>
      </c>
      <c r="I448" s="1">
        <v>0</v>
      </c>
      <c r="J448" s="1">
        <v>0</v>
      </c>
      <c r="K448" s="1">
        <v>0.43218790000000001</v>
      </c>
      <c r="L448" s="1">
        <v>0</v>
      </c>
      <c r="M448" s="1">
        <v>0</v>
      </c>
      <c r="N448" s="1">
        <v>91</v>
      </c>
      <c r="O448" s="1">
        <v>0</v>
      </c>
      <c r="P448" s="1">
        <v>0</v>
      </c>
      <c r="Q448" s="3">
        <v>0.156</v>
      </c>
      <c r="R448" s="1">
        <v>0</v>
      </c>
      <c r="S448" s="1">
        <v>0</v>
      </c>
    </row>
    <row r="449" spans="1:19" x14ac:dyDescent="0.2">
      <c r="A449" s="1" t="s">
        <v>1053</v>
      </c>
      <c r="B449" s="1" t="s">
        <v>619</v>
      </c>
      <c r="C449" s="1">
        <v>1</v>
      </c>
      <c r="D449" s="1" t="s">
        <v>1180</v>
      </c>
      <c r="E449" s="1">
        <v>87</v>
      </c>
      <c r="F449" s="1">
        <v>0</v>
      </c>
      <c r="G449" s="1">
        <v>0</v>
      </c>
      <c r="H449" s="1">
        <v>2.6173099999999999E-3</v>
      </c>
      <c r="I449" s="1">
        <v>0</v>
      </c>
      <c r="J449" s="1">
        <v>0</v>
      </c>
      <c r="K449" s="1">
        <v>0.68267405000000003</v>
      </c>
      <c r="L449" s="1">
        <v>0</v>
      </c>
      <c r="M449" s="1">
        <v>0</v>
      </c>
      <c r="N449" s="1">
        <v>262</v>
      </c>
      <c r="O449" s="1">
        <v>0</v>
      </c>
      <c r="P449" s="1">
        <v>0</v>
      </c>
      <c r="Q449" s="3">
        <v>0.22600000000000001</v>
      </c>
      <c r="R449" s="1">
        <v>0</v>
      </c>
      <c r="S449" s="1">
        <v>0</v>
      </c>
    </row>
    <row r="450" spans="1:19" x14ac:dyDescent="0.2">
      <c r="A450" s="1" t="s">
        <v>1054</v>
      </c>
      <c r="B450" s="1" t="s">
        <v>1055</v>
      </c>
      <c r="C450" s="1">
        <v>1</v>
      </c>
      <c r="D450" s="1" t="s">
        <v>1180</v>
      </c>
      <c r="E450" s="1">
        <v>22</v>
      </c>
      <c r="F450" s="1">
        <v>0</v>
      </c>
      <c r="G450" s="1">
        <v>0</v>
      </c>
      <c r="H450" s="2">
        <v>7.6900000000000004E-4</v>
      </c>
      <c r="I450" s="1">
        <v>0</v>
      </c>
      <c r="J450" s="1">
        <v>0</v>
      </c>
      <c r="K450" s="1">
        <v>1.5644841</v>
      </c>
      <c r="L450" s="1">
        <v>0</v>
      </c>
      <c r="M450" s="1">
        <v>0</v>
      </c>
      <c r="N450" s="1">
        <v>24</v>
      </c>
      <c r="O450" s="1">
        <v>0</v>
      </c>
      <c r="P450" s="1">
        <v>0</v>
      </c>
      <c r="Q450" s="3">
        <v>0.40899999999999997</v>
      </c>
      <c r="R450" s="1">
        <v>0</v>
      </c>
      <c r="S450" s="1">
        <v>0</v>
      </c>
    </row>
    <row r="451" spans="1:19" x14ac:dyDescent="0.2">
      <c r="A451" s="1" t="s">
        <v>1056</v>
      </c>
      <c r="B451" s="1" t="s">
        <v>25</v>
      </c>
      <c r="C451" s="1">
        <v>1</v>
      </c>
      <c r="D451" s="1" t="s">
        <v>1180</v>
      </c>
      <c r="E451" s="1">
        <v>2</v>
      </c>
      <c r="F451" s="1">
        <v>0</v>
      </c>
      <c r="G451" s="1">
        <v>0</v>
      </c>
      <c r="H451" s="2">
        <v>9.6299999999999993E-6</v>
      </c>
      <c r="I451" s="1">
        <v>0</v>
      </c>
      <c r="J451" s="1">
        <v>0</v>
      </c>
      <c r="K451" s="1">
        <v>1.1579509999999999E-2</v>
      </c>
      <c r="L451" s="1">
        <v>0</v>
      </c>
      <c r="M451" s="1">
        <v>0</v>
      </c>
      <c r="N451" s="1">
        <v>2</v>
      </c>
      <c r="O451" s="1">
        <v>0</v>
      </c>
      <c r="P451" s="1">
        <v>0</v>
      </c>
      <c r="Q451" s="3">
        <v>5.0000000000000001E-3</v>
      </c>
      <c r="R451" s="1">
        <v>0</v>
      </c>
      <c r="S451" s="1">
        <v>0</v>
      </c>
    </row>
    <row r="452" spans="1:19" x14ac:dyDescent="0.2">
      <c r="A452" s="1" t="s">
        <v>1057</v>
      </c>
      <c r="B452" s="1" t="s">
        <v>611</v>
      </c>
      <c r="C452" s="1">
        <v>1</v>
      </c>
      <c r="D452" s="1" t="s">
        <v>1180</v>
      </c>
      <c r="E452" s="1">
        <v>9</v>
      </c>
      <c r="F452" s="1">
        <v>0</v>
      </c>
      <c r="G452" s="1">
        <v>0</v>
      </c>
      <c r="H452" s="1">
        <v>1.0090500000000001E-3</v>
      </c>
      <c r="I452" s="1">
        <v>0</v>
      </c>
      <c r="J452" s="1">
        <v>0</v>
      </c>
      <c r="K452" s="1">
        <v>0.67494284999999998</v>
      </c>
      <c r="L452" s="1">
        <v>0</v>
      </c>
      <c r="M452" s="1">
        <v>0</v>
      </c>
      <c r="N452" s="1">
        <v>17</v>
      </c>
      <c r="O452" s="1">
        <v>0</v>
      </c>
      <c r="P452" s="1">
        <v>0</v>
      </c>
      <c r="Q452" s="3">
        <v>0.224</v>
      </c>
      <c r="R452" s="1">
        <v>0</v>
      </c>
      <c r="S452" s="1">
        <v>0</v>
      </c>
    </row>
    <row r="453" spans="1:19" x14ac:dyDescent="0.2">
      <c r="A453" s="1" t="s">
        <v>1058</v>
      </c>
      <c r="B453" s="1" t="s">
        <v>1059</v>
      </c>
      <c r="C453" s="1">
        <v>1</v>
      </c>
      <c r="D453" s="1" t="s">
        <v>1180</v>
      </c>
      <c r="E453" s="1">
        <v>10</v>
      </c>
      <c r="F453" s="1">
        <v>0</v>
      </c>
      <c r="G453" s="1">
        <v>0</v>
      </c>
      <c r="H453" s="2">
        <v>4.1399999999999998E-4</v>
      </c>
      <c r="I453" s="1">
        <v>0</v>
      </c>
      <c r="J453" s="1">
        <v>0</v>
      </c>
      <c r="K453" s="1">
        <v>0.53108750000000005</v>
      </c>
      <c r="L453" s="1">
        <v>0</v>
      </c>
      <c r="M453" s="1">
        <v>0</v>
      </c>
      <c r="N453" s="1">
        <v>13</v>
      </c>
      <c r="O453" s="1">
        <v>0</v>
      </c>
      <c r="P453" s="1">
        <v>0</v>
      </c>
      <c r="Q453" s="3">
        <v>0.185</v>
      </c>
      <c r="R453" s="1">
        <v>0</v>
      </c>
      <c r="S453" s="1">
        <v>0</v>
      </c>
    </row>
    <row r="454" spans="1:19" x14ac:dyDescent="0.2">
      <c r="A454" s="1" t="s">
        <v>1060</v>
      </c>
      <c r="B454" s="1" t="s">
        <v>1061</v>
      </c>
      <c r="C454" s="1">
        <v>1</v>
      </c>
      <c r="D454" s="1" t="s">
        <v>1180</v>
      </c>
      <c r="E454" s="1">
        <v>3</v>
      </c>
      <c r="F454" s="1">
        <v>0</v>
      </c>
      <c r="G454" s="1">
        <v>0</v>
      </c>
      <c r="H454" s="2">
        <v>4.2200000000000001E-4</v>
      </c>
      <c r="I454" s="1">
        <v>0</v>
      </c>
      <c r="J454" s="1">
        <v>0</v>
      </c>
      <c r="K454" s="1">
        <v>0.32434153999999998</v>
      </c>
      <c r="L454" s="1">
        <v>0</v>
      </c>
      <c r="M454" s="1">
        <v>0</v>
      </c>
      <c r="N454" s="1">
        <v>6</v>
      </c>
      <c r="O454" s="1">
        <v>0</v>
      </c>
      <c r="P454" s="1">
        <v>0</v>
      </c>
      <c r="Q454" s="3">
        <v>0.122</v>
      </c>
      <c r="R454" s="1">
        <v>0</v>
      </c>
      <c r="S454" s="1">
        <v>0</v>
      </c>
    </row>
    <row r="455" spans="1:19" x14ac:dyDescent="0.2">
      <c r="A455" s="1" t="s">
        <v>1062</v>
      </c>
      <c r="B455" s="1" t="s">
        <v>1063</v>
      </c>
      <c r="C455" s="1">
        <v>1</v>
      </c>
      <c r="D455" s="1" t="s">
        <v>1180</v>
      </c>
      <c r="E455" s="1">
        <v>9</v>
      </c>
      <c r="F455" s="1">
        <v>0</v>
      </c>
      <c r="G455" s="1">
        <v>0</v>
      </c>
      <c r="H455" s="1">
        <v>1.44159E-3</v>
      </c>
      <c r="I455" s="1">
        <v>0</v>
      </c>
      <c r="J455" s="1">
        <v>0</v>
      </c>
      <c r="K455" s="1">
        <v>0.84926869999999999</v>
      </c>
      <c r="L455" s="1">
        <v>0</v>
      </c>
      <c r="M455" s="1">
        <v>0</v>
      </c>
      <c r="N455" s="1">
        <v>11</v>
      </c>
      <c r="O455" s="1">
        <v>0</v>
      </c>
      <c r="P455" s="1">
        <v>0</v>
      </c>
      <c r="Q455" s="3">
        <v>0.26700000000000002</v>
      </c>
      <c r="R455" s="1">
        <v>0</v>
      </c>
      <c r="S455" s="1">
        <v>0</v>
      </c>
    </row>
    <row r="456" spans="1:19" x14ac:dyDescent="0.2">
      <c r="A456" s="1" t="s">
        <v>1064</v>
      </c>
      <c r="B456" s="1" t="s">
        <v>1065</v>
      </c>
      <c r="C456" s="1">
        <v>1</v>
      </c>
      <c r="D456" s="1" t="s">
        <v>1180</v>
      </c>
      <c r="E456" s="1">
        <v>6</v>
      </c>
      <c r="F456" s="1">
        <v>0</v>
      </c>
      <c r="G456" s="1">
        <v>0</v>
      </c>
      <c r="H456" s="2">
        <v>6.8300000000000001E-4</v>
      </c>
      <c r="I456" s="1">
        <v>0</v>
      </c>
      <c r="J456" s="1">
        <v>0</v>
      </c>
      <c r="K456" s="1">
        <v>1.0701413</v>
      </c>
      <c r="L456" s="1">
        <v>0</v>
      </c>
      <c r="M456" s="1">
        <v>0</v>
      </c>
      <c r="N456" s="1">
        <v>8</v>
      </c>
      <c r="O456" s="1">
        <v>0</v>
      </c>
      <c r="P456" s="1">
        <v>0</v>
      </c>
      <c r="Q456" s="3">
        <v>0.316</v>
      </c>
      <c r="R456" s="1">
        <v>0</v>
      </c>
      <c r="S456" s="1">
        <v>0</v>
      </c>
    </row>
    <row r="457" spans="1:19" x14ac:dyDescent="0.2">
      <c r="A457" s="1" t="s">
        <v>1066</v>
      </c>
      <c r="B457" s="1" t="s">
        <v>39</v>
      </c>
      <c r="C457" s="1">
        <v>1</v>
      </c>
      <c r="D457" s="1" t="s">
        <v>1180</v>
      </c>
      <c r="E457" s="1">
        <v>12</v>
      </c>
      <c r="F457" s="1">
        <v>0</v>
      </c>
      <c r="G457" s="1">
        <v>0</v>
      </c>
      <c r="H457" s="1">
        <v>1.5314899999999999E-3</v>
      </c>
      <c r="I457" s="1">
        <v>0</v>
      </c>
      <c r="J457" s="1">
        <v>0</v>
      </c>
      <c r="K457" s="1">
        <v>0.53461694999999998</v>
      </c>
      <c r="L457" s="1">
        <v>0</v>
      </c>
      <c r="M457" s="1">
        <v>0</v>
      </c>
      <c r="N457" s="1">
        <v>28</v>
      </c>
      <c r="O457" s="1">
        <v>0</v>
      </c>
      <c r="P457" s="1">
        <v>0</v>
      </c>
      <c r="Q457" s="3">
        <v>0.186</v>
      </c>
      <c r="R457" s="1">
        <v>0</v>
      </c>
      <c r="S457" s="1">
        <v>0</v>
      </c>
    </row>
    <row r="458" spans="1:19" x14ac:dyDescent="0.2">
      <c r="A458" s="1" t="s">
        <v>1067</v>
      </c>
      <c r="B458" s="1" t="s">
        <v>1068</v>
      </c>
      <c r="C458" s="1">
        <v>1</v>
      </c>
      <c r="D458" s="1" t="s">
        <v>1180</v>
      </c>
      <c r="E458" s="1">
        <v>2</v>
      </c>
      <c r="F458" s="1">
        <v>0</v>
      </c>
      <c r="G458" s="1">
        <v>0</v>
      </c>
      <c r="H458" s="2">
        <v>1.22E-4</v>
      </c>
      <c r="I458" s="1">
        <v>0</v>
      </c>
      <c r="J458" s="1">
        <v>0</v>
      </c>
      <c r="K458" s="1">
        <v>0.13501083999999999</v>
      </c>
      <c r="L458" s="1">
        <v>0</v>
      </c>
      <c r="M458" s="1">
        <v>0</v>
      </c>
      <c r="N458" s="1">
        <v>2</v>
      </c>
      <c r="O458" s="1">
        <v>0</v>
      </c>
      <c r="P458" s="1">
        <v>0</v>
      </c>
      <c r="Q458" s="3">
        <v>5.5E-2</v>
      </c>
      <c r="R458" s="1">
        <v>0</v>
      </c>
      <c r="S458" s="1">
        <v>0</v>
      </c>
    </row>
    <row r="459" spans="1:19" x14ac:dyDescent="0.2">
      <c r="A459" s="1" t="s">
        <v>1069</v>
      </c>
      <c r="B459" s="1" t="s">
        <v>41</v>
      </c>
      <c r="C459" s="1">
        <v>1</v>
      </c>
      <c r="D459" s="1" t="s">
        <v>1180</v>
      </c>
      <c r="E459" s="1">
        <v>2</v>
      </c>
      <c r="F459" s="1">
        <v>0</v>
      </c>
      <c r="G459" s="1">
        <v>0</v>
      </c>
      <c r="H459" s="2">
        <v>1.1E-4</v>
      </c>
      <c r="I459" s="1">
        <v>0</v>
      </c>
      <c r="J459" s="1">
        <v>0</v>
      </c>
      <c r="K459" s="1">
        <v>0.21059811000000001</v>
      </c>
      <c r="L459" s="1">
        <v>0</v>
      </c>
      <c r="M459" s="1">
        <v>0</v>
      </c>
      <c r="N459" s="1">
        <v>2</v>
      </c>
      <c r="O459" s="1">
        <v>0</v>
      </c>
      <c r="P459" s="1">
        <v>0</v>
      </c>
      <c r="Q459" s="3">
        <v>8.3000000000000004E-2</v>
      </c>
      <c r="R459" s="1">
        <v>0</v>
      </c>
      <c r="S459" s="1">
        <v>0</v>
      </c>
    </row>
    <row r="460" spans="1:19" x14ac:dyDescent="0.2">
      <c r="A460" s="1" t="s">
        <v>1070</v>
      </c>
      <c r="B460" s="1" t="s">
        <v>1071</v>
      </c>
      <c r="C460" s="1">
        <v>1</v>
      </c>
      <c r="D460" s="1" t="s">
        <v>1180</v>
      </c>
      <c r="E460" s="1">
        <v>7</v>
      </c>
      <c r="F460" s="1">
        <v>0</v>
      </c>
      <c r="G460" s="1">
        <v>0</v>
      </c>
      <c r="H460" s="2">
        <v>5.53E-4</v>
      </c>
      <c r="I460" s="1">
        <v>0</v>
      </c>
      <c r="J460" s="1">
        <v>0</v>
      </c>
      <c r="K460" s="1">
        <v>0.31522476999999999</v>
      </c>
      <c r="L460" s="1">
        <v>0</v>
      </c>
      <c r="M460" s="1">
        <v>0</v>
      </c>
      <c r="N460" s="1">
        <v>13</v>
      </c>
      <c r="O460" s="1">
        <v>0</v>
      </c>
      <c r="P460" s="1">
        <v>0</v>
      </c>
      <c r="Q460" s="3">
        <v>0.11899999999999999</v>
      </c>
      <c r="R460" s="1">
        <v>0</v>
      </c>
      <c r="S460" s="1">
        <v>0</v>
      </c>
    </row>
    <row r="461" spans="1:19" x14ac:dyDescent="0.2">
      <c r="A461" s="1" t="s">
        <v>1072</v>
      </c>
      <c r="B461" s="1" t="s">
        <v>39</v>
      </c>
      <c r="C461" s="1">
        <v>1</v>
      </c>
      <c r="D461" s="1" t="s">
        <v>1180</v>
      </c>
      <c r="E461" s="1">
        <v>2</v>
      </c>
      <c r="F461" s="1">
        <v>0</v>
      </c>
      <c r="G461" s="1">
        <v>0</v>
      </c>
      <c r="H461" s="2">
        <v>1.06E-4</v>
      </c>
      <c r="I461" s="1">
        <v>0</v>
      </c>
      <c r="J461" s="1">
        <v>0</v>
      </c>
      <c r="K461" s="1">
        <v>0.33045447</v>
      </c>
      <c r="L461" s="1">
        <v>0</v>
      </c>
      <c r="M461" s="1">
        <v>0</v>
      </c>
      <c r="N461" s="1">
        <v>2</v>
      </c>
      <c r="O461" s="1">
        <v>0</v>
      </c>
      <c r="P461" s="1">
        <v>0</v>
      </c>
      <c r="Q461" s="3">
        <v>0.124</v>
      </c>
      <c r="R461" s="1">
        <v>0</v>
      </c>
      <c r="S461" s="1">
        <v>0</v>
      </c>
    </row>
    <row r="462" spans="1:19" x14ac:dyDescent="0.2">
      <c r="A462" s="1" t="s">
        <v>1073</v>
      </c>
      <c r="B462" s="1" t="s">
        <v>1074</v>
      </c>
      <c r="C462" s="1">
        <v>1</v>
      </c>
      <c r="D462" s="1" t="s">
        <v>1180</v>
      </c>
      <c r="E462" s="1">
        <v>5</v>
      </c>
      <c r="F462" s="1">
        <v>0</v>
      </c>
      <c r="G462" s="1">
        <v>0</v>
      </c>
      <c r="H462" s="1">
        <v>1.6177800000000001E-3</v>
      </c>
      <c r="I462" s="1">
        <v>0</v>
      </c>
      <c r="J462" s="1">
        <v>0</v>
      </c>
      <c r="K462" s="1">
        <v>0.62554883999999999</v>
      </c>
      <c r="L462" s="1">
        <v>0</v>
      </c>
      <c r="M462" s="1">
        <v>0</v>
      </c>
      <c r="N462" s="1">
        <v>11</v>
      </c>
      <c r="O462" s="1">
        <v>0</v>
      </c>
      <c r="P462" s="1">
        <v>0</v>
      </c>
      <c r="Q462" s="3">
        <v>0.21099999999999999</v>
      </c>
      <c r="R462" s="1">
        <v>0</v>
      </c>
      <c r="S462" s="1">
        <v>0</v>
      </c>
    </row>
    <row r="463" spans="1:19" x14ac:dyDescent="0.2">
      <c r="A463" s="1" t="s">
        <v>1075</v>
      </c>
      <c r="B463" s="1" t="s">
        <v>41</v>
      </c>
      <c r="C463" s="1">
        <v>1</v>
      </c>
      <c r="D463" s="1" t="s">
        <v>1180</v>
      </c>
      <c r="E463" s="1">
        <v>3</v>
      </c>
      <c r="F463" s="1">
        <v>0</v>
      </c>
      <c r="G463" s="1">
        <v>0</v>
      </c>
      <c r="H463" s="2">
        <v>2.5500000000000002E-4</v>
      </c>
      <c r="I463" s="1">
        <v>0</v>
      </c>
      <c r="J463" s="1">
        <v>0</v>
      </c>
      <c r="K463" s="1">
        <v>0.24738347999999999</v>
      </c>
      <c r="L463" s="1">
        <v>0</v>
      </c>
      <c r="M463" s="1">
        <v>0</v>
      </c>
      <c r="N463" s="1">
        <v>3</v>
      </c>
      <c r="O463" s="1">
        <v>0</v>
      </c>
      <c r="P463" s="1">
        <v>0</v>
      </c>
      <c r="Q463" s="3">
        <v>9.6000000000000002E-2</v>
      </c>
      <c r="R463" s="1">
        <v>0</v>
      </c>
      <c r="S463" s="1">
        <v>0</v>
      </c>
    </row>
    <row r="464" spans="1:19" x14ac:dyDescent="0.2">
      <c r="A464" s="1" t="s">
        <v>1076</v>
      </c>
      <c r="B464" s="1" t="s">
        <v>1077</v>
      </c>
      <c r="C464" s="1">
        <v>1</v>
      </c>
      <c r="D464" s="1" t="s">
        <v>1180</v>
      </c>
      <c r="E464" s="1">
        <v>6</v>
      </c>
      <c r="F464" s="1">
        <v>0</v>
      </c>
      <c r="G464" s="1">
        <v>0</v>
      </c>
      <c r="H464" s="1">
        <v>1.01819E-3</v>
      </c>
      <c r="I464" s="1">
        <v>0</v>
      </c>
      <c r="J464" s="1">
        <v>0</v>
      </c>
      <c r="K464" s="1">
        <v>0.5848932</v>
      </c>
      <c r="L464" s="1">
        <v>0</v>
      </c>
      <c r="M464" s="1">
        <v>0</v>
      </c>
      <c r="N464" s="1">
        <v>10</v>
      </c>
      <c r="O464" s="1">
        <v>0</v>
      </c>
      <c r="P464" s="1">
        <v>0</v>
      </c>
      <c r="Q464" s="3">
        <v>0.2</v>
      </c>
      <c r="R464" s="1">
        <v>0</v>
      </c>
      <c r="S464" s="1">
        <v>0</v>
      </c>
    </row>
    <row r="465" spans="1:19" x14ac:dyDescent="0.2">
      <c r="A465" s="1" t="s">
        <v>1078</v>
      </c>
      <c r="B465" s="1" t="s">
        <v>41</v>
      </c>
      <c r="C465" s="1">
        <v>1</v>
      </c>
      <c r="D465" s="1" t="s">
        <v>1180</v>
      </c>
      <c r="E465" s="1">
        <v>2</v>
      </c>
      <c r="F465" s="1">
        <v>0</v>
      </c>
      <c r="G465" s="1">
        <v>0</v>
      </c>
      <c r="H465" s="2">
        <v>1.6100000000000001E-4</v>
      </c>
      <c r="I465" s="1">
        <v>0</v>
      </c>
      <c r="J465" s="1">
        <v>0</v>
      </c>
      <c r="K465" s="1">
        <v>0.36144470000000001</v>
      </c>
      <c r="L465" s="1">
        <v>0</v>
      </c>
      <c r="M465" s="1">
        <v>0</v>
      </c>
      <c r="N465" s="1">
        <v>2</v>
      </c>
      <c r="O465" s="1">
        <v>0</v>
      </c>
      <c r="P465" s="1">
        <v>0</v>
      </c>
      <c r="Q465" s="3">
        <v>0.13400000000000001</v>
      </c>
      <c r="R465" s="1">
        <v>0</v>
      </c>
      <c r="S465" s="1">
        <v>0</v>
      </c>
    </row>
    <row r="466" spans="1:19" x14ac:dyDescent="0.2">
      <c r="A466" s="1" t="s">
        <v>1079</v>
      </c>
      <c r="B466" s="1" t="s">
        <v>1080</v>
      </c>
      <c r="C466" s="1">
        <v>1</v>
      </c>
      <c r="D466" s="1" t="s">
        <v>1180</v>
      </c>
      <c r="E466" s="1">
        <v>6</v>
      </c>
      <c r="F466" s="1">
        <v>0</v>
      </c>
      <c r="G466" s="1">
        <v>0</v>
      </c>
      <c r="H466" s="2">
        <v>6.4700000000000001E-4</v>
      </c>
      <c r="I466" s="1">
        <v>0</v>
      </c>
      <c r="J466" s="1">
        <v>0</v>
      </c>
      <c r="K466" s="1">
        <v>0.40281367000000001</v>
      </c>
      <c r="L466" s="1">
        <v>0</v>
      </c>
      <c r="M466" s="1">
        <v>0</v>
      </c>
      <c r="N466" s="1">
        <v>9</v>
      </c>
      <c r="O466" s="1">
        <v>0</v>
      </c>
      <c r="P466" s="1">
        <v>0</v>
      </c>
      <c r="Q466" s="3">
        <v>0.14699999999999999</v>
      </c>
      <c r="R466" s="1">
        <v>0</v>
      </c>
      <c r="S466" s="1">
        <v>0</v>
      </c>
    </row>
    <row r="467" spans="1:19" x14ac:dyDescent="0.2">
      <c r="A467" s="1" t="s">
        <v>1081</v>
      </c>
      <c r="B467" s="1" t="s">
        <v>1082</v>
      </c>
      <c r="C467" s="1">
        <v>1</v>
      </c>
      <c r="D467" s="1" t="s">
        <v>1180</v>
      </c>
      <c r="E467" s="1">
        <v>6</v>
      </c>
      <c r="F467" s="1">
        <v>0</v>
      </c>
      <c r="G467" s="1">
        <v>0</v>
      </c>
      <c r="H467" s="2">
        <v>5.9699999999999998E-4</v>
      </c>
      <c r="I467" s="1">
        <v>0</v>
      </c>
      <c r="J467" s="1">
        <v>0</v>
      </c>
      <c r="K467" s="1">
        <v>0.27938128000000001</v>
      </c>
      <c r="L467" s="1">
        <v>0</v>
      </c>
      <c r="M467" s="1">
        <v>0</v>
      </c>
      <c r="N467" s="1">
        <v>11</v>
      </c>
      <c r="O467" s="1">
        <v>0</v>
      </c>
      <c r="P467" s="1">
        <v>0</v>
      </c>
      <c r="Q467" s="3">
        <v>0.107</v>
      </c>
      <c r="R467" s="1">
        <v>0</v>
      </c>
      <c r="S467" s="1">
        <v>0</v>
      </c>
    </row>
    <row r="468" spans="1:19" x14ac:dyDescent="0.2">
      <c r="A468" s="1" t="s">
        <v>1083</v>
      </c>
      <c r="B468" s="1" t="s">
        <v>1084</v>
      </c>
      <c r="C468" s="1">
        <v>1</v>
      </c>
      <c r="D468" s="1" t="s">
        <v>1180</v>
      </c>
      <c r="E468" s="1">
        <v>3</v>
      </c>
      <c r="F468" s="1">
        <v>0</v>
      </c>
      <c r="G468" s="1">
        <v>0</v>
      </c>
      <c r="H468" s="2">
        <v>1.3200000000000001E-4</v>
      </c>
      <c r="I468" s="1">
        <v>0</v>
      </c>
      <c r="J468" s="1">
        <v>0</v>
      </c>
      <c r="K468" s="1">
        <v>7.6465249999999998E-2</v>
      </c>
      <c r="L468" s="1">
        <v>0</v>
      </c>
      <c r="M468" s="1">
        <v>0</v>
      </c>
      <c r="N468" s="1">
        <v>4</v>
      </c>
      <c r="O468" s="1">
        <v>0</v>
      </c>
      <c r="P468" s="1">
        <v>0</v>
      </c>
      <c r="Q468" s="3">
        <v>3.2000000000000001E-2</v>
      </c>
      <c r="R468" s="1">
        <v>0</v>
      </c>
      <c r="S468" s="1">
        <v>0</v>
      </c>
    </row>
    <row r="469" spans="1:19" x14ac:dyDescent="0.2">
      <c r="A469" s="1" t="s">
        <v>1085</v>
      </c>
      <c r="B469" s="1" t="s">
        <v>891</v>
      </c>
      <c r="C469" s="1">
        <v>1</v>
      </c>
      <c r="D469" s="1" t="s">
        <v>1180</v>
      </c>
      <c r="E469" s="1">
        <v>6</v>
      </c>
      <c r="F469" s="1">
        <v>0</v>
      </c>
      <c r="G469" s="1">
        <v>0</v>
      </c>
      <c r="H469" s="2">
        <v>5.3899999999999998E-4</v>
      </c>
      <c r="I469" s="1">
        <v>0</v>
      </c>
      <c r="J469" s="1">
        <v>0</v>
      </c>
      <c r="K469" s="1">
        <v>0.15611220000000001</v>
      </c>
      <c r="L469" s="1">
        <v>0</v>
      </c>
      <c r="M469" s="1">
        <v>0</v>
      </c>
      <c r="N469" s="1">
        <v>9</v>
      </c>
      <c r="O469" s="1">
        <v>0</v>
      </c>
      <c r="P469" s="1">
        <v>0</v>
      </c>
      <c r="Q469" s="3">
        <v>6.3E-2</v>
      </c>
      <c r="R469" s="1">
        <v>0</v>
      </c>
      <c r="S469" s="1">
        <v>0</v>
      </c>
    </row>
    <row r="470" spans="1:19" x14ac:dyDescent="0.2">
      <c r="A470" s="1" t="s">
        <v>1086</v>
      </c>
      <c r="B470" s="1" t="s">
        <v>1087</v>
      </c>
      <c r="C470" s="1">
        <v>1</v>
      </c>
      <c r="D470" s="1" t="s">
        <v>1180</v>
      </c>
      <c r="E470" s="1">
        <v>10</v>
      </c>
      <c r="F470" s="1">
        <v>0</v>
      </c>
      <c r="G470" s="1">
        <v>0</v>
      </c>
      <c r="H470" s="1">
        <v>1.43096E-3</v>
      </c>
      <c r="I470" s="1">
        <v>0</v>
      </c>
      <c r="J470" s="1">
        <v>0</v>
      </c>
      <c r="K470" s="1">
        <v>2.0619632999999999</v>
      </c>
      <c r="L470" s="1">
        <v>0</v>
      </c>
      <c r="M470" s="1">
        <v>0</v>
      </c>
      <c r="N470" s="1">
        <v>16</v>
      </c>
      <c r="O470" s="1">
        <v>0</v>
      </c>
      <c r="P470" s="1">
        <v>0</v>
      </c>
      <c r="Q470" s="3">
        <v>0.48599999999999999</v>
      </c>
      <c r="R470" s="1">
        <v>0</v>
      </c>
      <c r="S470" s="1">
        <v>0</v>
      </c>
    </row>
    <row r="471" spans="1:19" x14ac:dyDescent="0.2">
      <c r="A471" s="1" t="s">
        <v>1088</v>
      </c>
      <c r="B471" s="1" t="s">
        <v>1089</v>
      </c>
      <c r="C471" s="1">
        <v>1</v>
      </c>
      <c r="D471" s="1" t="s">
        <v>1180</v>
      </c>
      <c r="E471" s="1">
        <v>10</v>
      </c>
      <c r="F471" s="1">
        <v>0</v>
      </c>
      <c r="G471" s="1">
        <v>0</v>
      </c>
      <c r="H471" s="2">
        <v>6.2100000000000002E-4</v>
      </c>
      <c r="I471" s="1">
        <v>0</v>
      </c>
      <c r="J471" s="1">
        <v>0</v>
      </c>
      <c r="K471" s="1">
        <v>0.58124803999999997</v>
      </c>
      <c r="L471" s="1">
        <v>0</v>
      </c>
      <c r="M471" s="1">
        <v>0</v>
      </c>
      <c r="N471" s="1">
        <v>16</v>
      </c>
      <c r="O471" s="1">
        <v>0</v>
      </c>
      <c r="P471" s="1">
        <v>0</v>
      </c>
      <c r="Q471" s="3">
        <v>0.19900000000000001</v>
      </c>
      <c r="R471" s="1">
        <v>0</v>
      </c>
      <c r="S471" s="1">
        <v>0</v>
      </c>
    </row>
    <row r="472" spans="1:19" x14ac:dyDescent="0.2">
      <c r="A472" s="1" t="s">
        <v>1090</v>
      </c>
      <c r="B472" s="1" t="s">
        <v>1091</v>
      </c>
      <c r="C472" s="1">
        <v>1</v>
      </c>
      <c r="D472" s="1" t="s">
        <v>1180</v>
      </c>
      <c r="E472" s="1">
        <v>2</v>
      </c>
      <c r="F472" s="1">
        <v>0</v>
      </c>
      <c r="G472" s="1">
        <v>0</v>
      </c>
      <c r="H472" s="2">
        <v>7.2899999999999997E-5</v>
      </c>
      <c r="I472" s="1">
        <v>0</v>
      </c>
      <c r="J472" s="1">
        <v>0</v>
      </c>
      <c r="K472" s="1">
        <v>0.13501083999999999</v>
      </c>
      <c r="L472" s="1">
        <v>0</v>
      </c>
      <c r="M472" s="1">
        <v>0</v>
      </c>
      <c r="N472" s="1">
        <v>2</v>
      </c>
      <c r="O472" s="1">
        <v>0</v>
      </c>
      <c r="P472" s="1">
        <v>0</v>
      </c>
      <c r="Q472" s="3">
        <v>5.5E-2</v>
      </c>
      <c r="R472" s="1">
        <v>0</v>
      </c>
      <c r="S472" s="1">
        <v>0</v>
      </c>
    </row>
    <row r="473" spans="1:19" x14ac:dyDescent="0.2">
      <c r="A473" s="1" t="s">
        <v>1092</v>
      </c>
      <c r="B473" s="1" t="s">
        <v>619</v>
      </c>
      <c r="C473" s="1">
        <v>1</v>
      </c>
      <c r="D473" s="1" t="s">
        <v>1180</v>
      </c>
      <c r="E473" s="1">
        <v>20</v>
      </c>
      <c r="F473" s="1">
        <v>0</v>
      </c>
      <c r="G473" s="1">
        <v>0</v>
      </c>
      <c r="H473" s="2">
        <v>4.7100000000000001E-4</v>
      </c>
      <c r="I473" s="1">
        <v>0</v>
      </c>
      <c r="J473" s="1">
        <v>0</v>
      </c>
      <c r="K473" s="1">
        <v>0.1324004</v>
      </c>
      <c r="L473" s="1">
        <v>0</v>
      </c>
      <c r="M473" s="1">
        <v>0</v>
      </c>
      <c r="N473" s="1">
        <v>54</v>
      </c>
      <c r="O473" s="1">
        <v>0</v>
      </c>
      <c r="P473" s="1">
        <v>0</v>
      </c>
      <c r="Q473" s="3">
        <v>5.3999999999999999E-2</v>
      </c>
      <c r="R473" s="1">
        <v>0</v>
      </c>
      <c r="S473" s="1">
        <v>0</v>
      </c>
    </row>
    <row r="474" spans="1:19" x14ac:dyDescent="0.2">
      <c r="A474" s="1" t="s">
        <v>1093</v>
      </c>
      <c r="B474" s="1" t="s">
        <v>1094</v>
      </c>
      <c r="C474" s="1">
        <v>1</v>
      </c>
      <c r="D474" s="1" t="s">
        <v>1180</v>
      </c>
      <c r="E474" s="1">
        <v>3</v>
      </c>
      <c r="F474" s="1">
        <v>0</v>
      </c>
      <c r="G474" s="1">
        <v>0</v>
      </c>
      <c r="H474" s="2">
        <v>5.9799999999999997E-5</v>
      </c>
      <c r="I474" s="1">
        <v>0</v>
      </c>
      <c r="J474" s="1">
        <v>0</v>
      </c>
      <c r="K474" s="1">
        <v>3.5142180000000002E-2</v>
      </c>
      <c r="L474" s="1">
        <v>0</v>
      </c>
      <c r="M474" s="1">
        <v>0</v>
      </c>
      <c r="N474" s="1">
        <v>4</v>
      </c>
      <c r="O474" s="1">
        <v>0</v>
      </c>
      <c r="P474" s="1">
        <v>0</v>
      </c>
      <c r="Q474" s="3">
        <v>1.4999999999999999E-2</v>
      </c>
      <c r="R474" s="1">
        <v>0</v>
      </c>
      <c r="S474" s="1">
        <v>0</v>
      </c>
    </row>
    <row r="475" spans="1:19" x14ac:dyDescent="0.2">
      <c r="A475" s="1" t="s">
        <v>1095</v>
      </c>
      <c r="B475" s="1" t="s">
        <v>799</v>
      </c>
      <c r="C475" s="1">
        <v>1</v>
      </c>
      <c r="D475" s="1" t="s">
        <v>1180</v>
      </c>
      <c r="E475" s="1">
        <v>3</v>
      </c>
      <c r="F475" s="1">
        <v>0</v>
      </c>
      <c r="G475" s="1">
        <v>0</v>
      </c>
      <c r="H475" s="2">
        <v>7.64E-5</v>
      </c>
      <c r="I475" s="1">
        <v>0</v>
      </c>
      <c r="J475" s="1">
        <v>0</v>
      </c>
      <c r="K475" s="1">
        <v>0.12201846</v>
      </c>
      <c r="L475" s="1">
        <v>0</v>
      </c>
      <c r="M475" s="1">
        <v>0</v>
      </c>
      <c r="N475" s="1">
        <v>3</v>
      </c>
      <c r="O475" s="1">
        <v>0</v>
      </c>
      <c r="P475" s="1">
        <v>0</v>
      </c>
      <c r="Q475" s="3">
        <v>0.05</v>
      </c>
      <c r="R475" s="1">
        <v>0</v>
      </c>
      <c r="S475" s="1">
        <v>0</v>
      </c>
    </row>
    <row r="476" spans="1:19" x14ac:dyDescent="0.2">
      <c r="A476" s="1" t="s">
        <v>1096</v>
      </c>
      <c r="B476" s="1" t="s">
        <v>753</v>
      </c>
      <c r="C476" s="1">
        <v>1</v>
      </c>
      <c r="D476" s="1" t="s">
        <v>1180</v>
      </c>
      <c r="E476" s="1">
        <v>2</v>
      </c>
      <c r="F476" s="1">
        <v>0</v>
      </c>
      <c r="G476" s="1">
        <v>0</v>
      </c>
      <c r="H476" s="2">
        <v>1.3899999999999999E-4</v>
      </c>
      <c r="I476" s="1">
        <v>0</v>
      </c>
      <c r="J476" s="1">
        <v>0</v>
      </c>
      <c r="K476" s="1">
        <v>0.29121923</v>
      </c>
      <c r="L476" s="1">
        <v>0</v>
      </c>
      <c r="M476" s="1">
        <v>0</v>
      </c>
      <c r="N476" s="1">
        <v>2</v>
      </c>
      <c r="O476" s="1">
        <v>0</v>
      </c>
      <c r="P476" s="1">
        <v>0</v>
      </c>
      <c r="Q476" s="3">
        <v>0.111</v>
      </c>
      <c r="R476" s="1">
        <v>0</v>
      </c>
      <c r="S476" s="1">
        <v>0</v>
      </c>
    </row>
    <row r="477" spans="1:19" x14ac:dyDescent="0.2">
      <c r="A477" s="1" t="s">
        <v>1097</v>
      </c>
      <c r="B477" s="1" t="s">
        <v>1098</v>
      </c>
      <c r="C477" s="1">
        <v>1</v>
      </c>
      <c r="D477" s="1" t="s">
        <v>1180</v>
      </c>
      <c r="E477" s="1">
        <v>4</v>
      </c>
      <c r="F477" s="1">
        <v>0</v>
      </c>
      <c r="G477" s="1">
        <v>0</v>
      </c>
      <c r="H477" s="2">
        <v>2.13E-4</v>
      </c>
      <c r="I477" s="1">
        <v>0</v>
      </c>
      <c r="J477" s="1">
        <v>0</v>
      </c>
      <c r="K477" s="1">
        <v>0.25025903999999999</v>
      </c>
      <c r="L477" s="1">
        <v>0</v>
      </c>
      <c r="M477" s="1">
        <v>0</v>
      </c>
      <c r="N477" s="1">
        <v>5</v>
      </c>
      <c r="O477" s="1">
        <v>0</v>
      </c>
      <c r="P477" s="1">
        <v>0</v>
      </c>
      <c r="Q477" s="3">
        <v>9.7000000000000003E-2</v>
      </c>
      <c r="R477" s="1">
        <v>0</v>
      </c>
      <c r="S477" s="1">
        <v>0</v>
      </c>
    </row>
    <row r="478" spans="1:19" x14ac:dyDescent="0.2">
      <c r="A478" s="1" t="s">
        <v>1099</v>
      </c>
      <c r="B478" s="1" t="s">
        <v>799</v>
      </c>
      <c r="C478" s="1">
        <v>1</v>
      </c>
      <c r="D478" s="1" t="s">
        <v>1180</v>
      </c>
      <c r="E478" s="1">
        <v>3</v>
      </c>
      <c r="F478" s="1">
        <v>0</v>
      </c>
      <c r="G478" s="1">
        <v>0</v>
      </c>
      <c r="H478" s="2">
        <v>1.07E-4</v>
      </c>
      <c r="I478" s="1">
        <v>0</v>
      </c>
      <c r="J478" s="1">
        <v>0</v>
      </c>
      <c r="K478" s="1">
        <v>7.1519260000000001E-2</v>
      </c>
      <c r="L478" s="1">
        <v>0</v>
      </c>
      <c r="M478" s="1">
        <v>0</v>
      </c>
      <c r="N478" s="1">
        <v>4</v>
      </c>
      <c r="O478" s="1">
        <v>0</v>
      </c>
      <c r="P478" s="1">
        <v>0</v>
      </c>
      <c r="Q478" s="3">
        <v>0.03</v>
      </c>
      <c r="R478" s="1">
        <v>0</v>
      </c>
      <c r="S478" s="1">
        <v>0</v>
      </c>
    </row>
    <row r="479" spans="1:19" x14ac:dyDescent="0.2">
      <c r="A479" s="1" t="s">
        <v>1100</v>
      </c>
      <c r="B479" s="1" t="s">
        <v>1101</v>
      </c>
      <c r="C479" s="1">
        <v>1</v>
      </c>
      <c r="D479" s="1" t="s">
        <v>1180</v>
      </c>
      <c r="E479" s="1">
        <v>8</v>
      </c>
      <c r="F479" s="1">
        <v>0</v>
      </c>
      <c r="G479" s="1">
        <v>0</v>
      </c>
      <c r="H479" s="2">
        <v>2.6200000000000003E-4</v>
      </c>
      <c r="I479" s="1">
        <v>0</v>
      </c>
      <c r="J479" s="1">
        <v>0</v>
      </c>
      <c r="K479" s="1">
        <v>0.20781385999999999</v>
      </c>
      <c r="L479" s="1">
        <v>0</v>
      </c>
      <c r="M479" s="1">
        <v>0</v>
      </c>
      <c r="N479" s="1">
        <v>13</v>
      </c>
      <c r="O479" s="1">
        <v>0</v>
      </c>
      <c r="P479" s="1">
        <v>0</v>
      </c>
      <c r="Q479" s="3">
        <v>8.2000000000000003E-2</v>
      </c>
      <c r="R479" s="1">
        <v>0</v>
      </c>
      <c r="S479" s="1">
        <v>0</v>
      </c>
    </row>
    <row r="480" spans="1:19" x14ac:dyDescent="0.2">
      <c r="A480" s="1" t="s">
        <v>1102</v>
      </c>
      <c r="B480" s="1" t="s">
        <v>25</v>
      </c>
      <c r="C480" s="1">
        <v>1</v>
      </c>
      <c r="D480" s="1" t="s">
        <v>1180</v>
      </c>
      <c r="E480" s="1">
        <v>4</v>
      </c>
      <c r="F480" s="1">
        <v>0</v>
      </c>
      <c r="G480" s="1">
        <v>0</v>
      </c>
      <c r="H480" s="2">
        <v>2.8600000000000001E-4</v>
      </c>
      <c r="I480" s="1">
        <v>0</v>
      </c>
      <c r="J480" s="1">
        <v>0</v>
      </c>
      <c r="K480" s="1">
        <v>0.26765191999999999</v>
      </c>
      <c r="L480" s="1">
        <v>0</v>
      </c>
      <c r="M480" s="1">
        <v>0</v>
      </c>
      <c r="N480" s="1">
        <v>4</v>
      </c>
      <c r="O480" s="1">
        <v>0</v>
      </c>
      <c r="P480" s="1">
        <v>0</v>
      </c>
      <c r="Q480" s="3">
        <v>0.10299999999999999</v>
      </c>
      <c r="R480" s="1">
        <v>0</v>
      </c>
      <c r="S480" s="1">
        <v>0</v>
      </c>
    </row>
    <row r="481" spans="1:19" x14ac:dyDescent="0.2">
      <c r="A481" s="1" t="s">
        <v>1103</v>
      </c>
      <c r="B481" s="1" t="s">
        <v>1104</v>
      </c>
      <c r="C481" s="1">
        <v>1</v>
      </c>
      <c r="D481" s="1" t="s">
        <v>1180</v>
      </c>
      <c r="E481" s="1">
        <v>3</v>
      </c>
      <c r="F481" s="1">
        <v>0</v>
      </c>
      <c r="G481" s="1">
        <v>0</v>
      </c>
      <c r="H481" s="2">
        <v>5.8100000000000003E-4</v>
      </c>
      <c r="I481" s="1">
        <v>0</v>
      </c>
      <c r="J481" s="1">
        <v>0</v>
      </c>
      <c r="K481" s="1">
        <v>0.35518944000000002</v>
      </c>
      <c r="L481" s="1">
        <v>0</v>
      </c>
      <c r="M481" s="1">
        <v>0</v>
      </c>
      <c r="N481" s="1">
        <v>5</v>
      </c>
      <c r="O481" s="1">
        <v>0</v>
      </c>
      <c r="P481" s="1">
        <v>0</v>
      </c>
      <c r="Q481" s="3">
        <v>0.13200000000000001</v>
      </c>
      <c r="R481" s="1">
        <v>0</v>
      </c>
      <c r="S481" s="1">
        <v>0</v>
      </c>
    </row>
    <row r="482" spans="1:19" x14ac:dyDescent="0.2">
      <c r="A482" s="1" t="s">
        <v>1105</v>
      </c>
      <c r="B482" s="1" t="s">
        <v>1106</v>
      </c>
      <c r="C482" s="1">
        <v>1</v>
      </c>
      <c r="D482" s="1" t="s">
        <v>1180</v>
      </c>
      <c r="E482" s="1">
        <v>3</v>
      </c>
      <c r="F482" s="1">
        <v>0</v>
      </c>
      <c r="G482" s="1">
        <v>0</v>
      </c>
      <c r="H482" s="2">
        <v>8.7299999999999994E-5</v>
      </c>
      <c r="I482" s="1">
        <v>0</v>
      </c>
      <c r="J482" s="1">
        <v>0</v>
      </c>
      <c r="K482" s="1">
        <v>0.19949937000000001</v>
      </c>
      <c r="L482" s="1">
        <v>0</v>
      </c>
      <c r="M482" s="1">
        <v>0</v>
      </c>
      <c r="N482" s="1">
        <v>3</v>
      </c>
      <c r="O482" s="1">
        <v>0</v>
      </c>
      <c r="P482" s="1">
        <v>0</v>
      </c>
      <c r="Q482" s="3">
        <v>7.9000000000000001E-2</v>
      </c>
      <c r="R482" s="1">
        <v>0</v>
      </c>
      <c r="S482" s="1">
        <v>0</v>
      </c>
    </row>
    <row r="483" spans="1:19" x14ac:dyDescent="0.2">
      <c r="A483" s="1" t="s">
        <v>1107</v>
      </c>
      <c r="B483" s="1" t="s">
        <v>1108</v>
      </c>
      <c r="C483" s="1">
        <v>1</v>
      </c>
      <c r="D483" s="1" t="s">
        <v>1180</v>
      </c>
      <c r="E483" s="1">
        <v>5</v>
      </c>
      <c r="F483" s="1">
        <v>0</v>
      </c>
      <c r="G483" s="1">
        <v>0</v>
      </c>
      <c r="H483" s="2">
        <v>1.15E-4</v>
      </c>
      <c r="I483" s="1">
        <v>0</v>
      </c>
      <c r="J483" s="1">
        <v>0</v>
      </c>
      <c r="K483" s="1">
        <v>4.2317390000000003E-2</v>
      </c>
      <c r="L483" s="1">
        <v>0</v>
      </c>
      <c r="M483" s="1">
        <v>0</v>
      </c>
      <c r="N483" s="1">
        <v>9</v>
      </c>
      <c r="O483" s="1">
        <v>0</v>
      </c>
      <c r="P483" s="1">
        <v>0</v>
      </c>
      <c r="Q483" s="3">
        <v>1.7999999999999999E-2</v>
      </c>
      <c r="R483" s="1">
        <v>0</v>
      </c>
      <c r="S483" s="1">
        <v>0</v>
      </c>
    </row>
    <row r="484" spans="1:19" x14ac:dyDescent="0.2">
      <c r="A484" s="1" t="s">
        <v>1109</v>
      </c>
      <c r="B484" s="1" t="s">
        <v>1110</v>
      </c>
      <c r="C484" s="1">
        <v>1</v>
      </c>
      <c r="D484" s="1" t="s">
        <v>1180</v>
      </c>
      <c r="E484" s="1">
        <v>47</v>
      </c>
      <c r="F484" s="1">
        <v>0</v>
      </c>
      <c r="G484" s="1">
        <v>0</v>
      </c>
      <c r="H484" s="1">
        <v>1.6288299999999999E-3</v>
      </c>
      <c r="I484" s="1">
        <v>0</v>
      </c>
      <c r="J484" s="1">
        <v>0</v>
      </c>
      <c r="K484" s="1">
        <v>0.9633602</v>
      </c>
      <c r="L484" s="1">
        <v>0</v>
      </c>
      <c r="M484" s="1">
        <v>0</v>
      </c>
      <c r="N484" s="1">
        <v>95</v>
      </c>
      <c r="O484" s="1">
        <v>0</v>
      </c>
      <c r="P484" s="1">
        <v>0</v>
      </c>
      <c r="Q484" s="3">
        <v>0.29299999999999998</v>
      </c>
      <c r="R484" s="1">
        <v>0</v>
      </c>
      <c r="S484" s="1">
        <v>0</v>
      </c>
    </row>
    <row r="485" spans="1:19" x14ac:dyDescent="0.2">
      <c r="A485" s="1" t="s">
        <v>1111</v>
      </c>
      <c r="B485" s="1" t="s">
        <v>1112</v>
      </c>
      <c r="C485" s="1">
        <v>1</v>
      </c>
      <c r="D485" s="1" t="s">
        <v>1180</v>
      </c>
      <c r="E485" s="1">
        <v>9</v>
      </c>
      <c r="F485" s="1">
        <v>0</v>
      </c>
      <c r="G485" s="1">
        <v>0</v>
      </c>
      <c r="H485" s="2">
        <v>5.5400000000000002E-4</v>
      </c>
      <c r="I485" s="1">
        <v>0</v>
      </c>
      <c r="J485" s="1">
        <v>0</v>
      </c>
      <c r="K485" s="1">
        <v>0.34276497</v>
      </c>
      <c r="L485" s="1">
        <v>0</v>
      </c>
      <c r="M485" s="1">
        <v>0</v>
      </c>
      <c r="N485" s="1">
        <v>20</v>
      </c>
      <c r="O485" s="1">
        <v>0</v>
      </c>
      <c r="P485" s="1">
        <v>0</v>
      </c>
      <c r="Q485" s="3">
        <v>0.128</v>
      </c>
      <c r="R485" s="1">
        <v>0</v>
      </c>
      <c r="S485" s="1">
        <v>0</v>
      </c>
    </row>
    <row r="486" spans="1:19" x14ac:dyDescent="0.2">
      <c r="A486" s="1" t="s">
        <v>1113</v>
      </c>
      <c r="B486" s="1" t="s">
        <v>178</v>
      </c>
      <c r="C486" s="1">
        <v>1</v>
      </c>
      <c r="D486" s="1" t="s">
        <v>1180</v>
      </c>
      <c r="E486" s="1">
        <v>16</v>
      </c>
      <c r="F486" s="1">
        <v>0</v>
      </c>
      <c r="G486" s="1">
        <v>0</v>
      </c>
      <c r="H486" s="1">
        <v>2.28692E-3</v>
      </c>
      <c r="I486" s="1">
        <v>0</v>
      </c>
      <c r="J486" s="1">
        <v>0</v>
      </c>
      <c r="K486" s="1">
        <v>0.94088579999999999</v>
      </c>
      <c r="L486" s="1">
        <v>0</v>
      </c>
      <c r="M486" s="1">
        <v>0</v>
      </c>
      <c r="N486" s="1">
        <v>33</v>
      </c>
      <c r="O486" s="1">
        <v>0</v>
      </c>
      <c r="P486" s="1">
        <v>0</v>
      </c>
      <c r="Q486" s="3">
        <v>0.28799999999999998</v>
      </c>
      <c r="R486" s="1">
        <v>0</v>
      </c>
      <c r="S486" s="1">
        <v>0</v>
      </c>
    </row>
    <row r="487" spans="1:19" x14ac:dyDescent="0.2">
      <c r="A487" s="1" t="s">
        <v>1114</v>
      </c>
      <c r="B487" s="1" t="s">
        <v>1115</v>
      </c>
      <c r="C487" s="1">
        <v>1</v>
      </c>
      <c r="D487" s="1" t="s">
        <v>1180</v>
      </c>
      <c r="E487" s="1">
        <v>2</v>
      </c>
      <c r="F487" s="1">
        <v>0</v>
      </c>
      <c r="G487" s="1">
        <v>0</v>
      </c>
      <c r="H487" s="2">
        <v>8.4300000000000003E-5</v>
      </c>
      <c r="I487" s="1">
        <v>0</v>
      </c>
      <c r="J487" s="1">
        <v>0</v>
      </c>
      <c r="K487" s="1">
        <v>0.11686325</v>
      </c>
      <c r="L487" s="1">
        <v>0</v>
      </c>
      <c r="M487" s="1">
        <v>0</v>
      </c>
      <c r="N487" s="1">
        <v>2</v>
      </c>
      <c r="O487" s="1">
        <v>0</v>
      </c>
      <c r="P487" s="1">
        <v>0</v>
      </c>
      <c r="Q487" s="3">
        <v>4.8000000000000001E-2</v>
      </c>
      <c r="R487" s="1">
        <v>0</v>
      </c>
      <c r="S487" s="1">
        <v>0</v>
      </c>
    </row>
    <row r="488" spans="1:19" x14ac:dyDescent="0.2">
      <c r="A488" s="1" t="s">
        <v>1116</v>
      </c>
      <c r="B488" s="1" t="s">
        <v>1117</v>
      </c>
      <c r="C488" s="1">
        <v>1</v>
      </c>
      <c r="D488" s="1" t="s">
        <v>1180</v>
      </c>
      <c r="E488" s="1">
        <v>2</v>
      </c>
      <c r="F488" s="1">
        <v>0</v>
      </c>
      <c r="G488" s="1">
        <v>0</v>
      </c>
      <c r="H488" s="2">
        <v>4.5600000000000003E-4</v>
      </c>
      <c r="I488" s="1">
        <v>0</v>
      </c>
      <c r="J488" s="1">
        <v>0</v>
      </c>
      <c r="K488" s="1">
        <v>0.45881425999999997</v>
      </c>
      <c r="L488" s="1">
        <v>0</v>
      </c>
      <c r="M488" s="1">
        <v>0</v>
      </c>
      <c r="N488" s="1">
        <v>4</v>
      </c>
      <c r="O488" s="1">
        <v>0</v>
      </c>
      <c r="P488" s="1">
        <v>0</v>
      </c>
      <c r="Q488" s="3">
        <v>0.16400000000000001</v>
      </c>
      <c r="R488" s="1">
        <v>0</v>
      </c>
      <c r="S488" s="1">
        <v>0</v>
      </c>
    </row>
    <row r="489" spans="1:19" x14ac:dyDescent="0.2">
      <c r="A489" s="1" t="s">
        <v>1118</v>
      </c>
      <c r="B489" s="1" t="s">
        <v>1119</v>
      </c>
      <c r="C489" s="1">
        <v>1</v>
      </c>
      <c r="D489" s="1" t="s">
        <v>1180</v>
      </c>
      <c r="E489" s="1">
        <v>19</v>
      </c>
      <c r="F489" s="1">
        <v>0</v>
      </c>
      <c r="G489" s="1">
        <v>0</v>
      </c>
      <c r="H489" s="1">
        <v>2.7642299999999999E-3</v>
      </c>
      <c r="I489" s="1">
        <v>0</v>
      </c>
      <c r="J489" s="1">
        <v>0</v>
      </c>
      <c r="K489" s="1">
        <v>0.50314199999999998</v>
      </c>
      <c r="L489" s="1">
        <v>0</v>
      </c>
      <c r="M489" s="1">
        <v>0</v>
      </c>
      <c r="N489" s="1">
        <v>52</v>
      </c>
      <c r="O489" s="1">
        <v>0</v>
      </c>
      <c r="P489" s="1">
        <v>0</v>
      </c>
      <c r="Q489" s="3">
        <v>0.17699999999999999</v>
      </c>
      <c r="R489" s="1">
        <v>0</v>
      </c>
      <c r="S489" s="1">
        <v>0</v>
      </c>
    </row>
    <row r="490" spans="1:19" x14ac:dyDescent="0.2">
      <c r="A490" s="1" t="s">
        <v>1120</v>
      </c>
      <c r="B490" s="1" t="s">
        <v>1121</v>
      </c>
      <c r="C490" s="1">
        <v>1</v>
      </c>
      <c r="D490" s="1" t="s">
        <v>1180</v>
      </c>
      <c r="E490" s="1">
        <v>3</v>
      </c>
      <c r="F490" s="1">
        <v>0</v>
      </c>
      <c r="G490" s="1">
        <v>0</v>
      </c>
      <c r="H490" s="2">
        <v>9.4499999999999998E-4</v>
      </c>
      <c r="I490" s="1">
        <v>0</v>
      </c>
      <c r="J490" s="1">
        <v>0</v>
      </c>
      <c r="K490" s="1">
        <v>1.0137240999999999</v>
      </c>
      <c r="L490" s="1">
        <v>0</v>
      </c>
      <c r="M490" s="1">
        <v>0</v>
      </c>
      <c r="N490" s="1">
        <v>4</v>
      </c>
      <c r="O490" s="1">
        <v>0</v>
      </c>
      <c r="P490" s="1">
        <v>0</v>
      </c>
      <c r="Q490" s="3">
        <v>0.30399999999999999</v>
      </c>
      <c r="R490" s="1">
        <v>0</v>
      </c>
      <c r="S490" s="1">
        <v>0</v>
      </c>
    </row>
    <row r="491" spans="1:19" x14ac:dyDescent="0.2">
      <c r="A491" s="1" t="s">
        <v>1122</v>
      </c>
      <c r="B491" s="1" t="s">
        <v>1123</v>
      </c>
      <c r="C491" s="1">
        <v>1</v>
      </c>
      <c r="D491" s="1" t="s">
        <v>1180</v>
      </c>
      <c r="E491" s="1">
        <v>34</v>
      </c>
      <c r="F491" s="1">
        <v>0</v>
      </c>
      <c r="G491" s="1">
        <v>0</v>
      </c>
      <c r="H491" s="1">
        <v>3.58486E-3</v>
      </c>
      <c r="I491" s="1">
        <v>0</v>
      </c>
      <c r="J491" s="1">
        <v>0</v>
      </c>
      <c r="K491" s="1">
        <v>1.4888573000000001</v>
      </c>
      <c r="L491" s="1">
        <v>0</v>
      </c>
      <c r="M491" s="1">
        <v>0</v>
      </c>
      <c r="N491" s="1">
        <v>52</v>
      </c>
      <c r="O491" s="1">
        <v>0</v>
      </c>
      <c r="P491" s="1">
        <v>0</v>
      </c>
      <c r="Q491" s="3">
        <v>0.39600000000000002</v>
      </c>
      <c r="R491" s="1">
        <v>0</v>
      </c>
      <c r="S491" s="1">
        <v>0</v>
      </c>
    </row>
    <row r="492" spans="1:19" x14ac:dyDescent="0.2">
      <c r="A492" s="1" t="s">
        <v>1124</v>
      </c>
      <c r="B492" s="1" t="s">
        <v>1125</v>
      </c>
      <c r="C492" s="1">
        <v>1</v>
      </c>
      <c r="D492" s="1" t="s">
        <v>1180</v>
      </c>
      <c r="E492" s="1">
        <v>5</v>
      </c>
      <c r="F492" s="1">
        <v>0</v>
      </c>
      <c r="G492" s="1">
        <v>0</v>
      </c>
      <c r="H492" s="2">
        <v>1.7000000000000001E-4</v>
      </c>
      <c r="I492" s="1">
        <v>0</v>
      </c>
      <c r="J492" s="1">
        <v>0</v>
      </c>
      <c r="K492" s="1">
        <v>0.25892544000000001</v>
      </c>
      <c r="L492" s="1">
        <v>0</v>
      </c>
      <c r="M492" s="1">
        <v>0</v>
      </c>
      <c r="N492" s="1">
        <v>5</v>
      </c>
      <c r="O492" s="1">
        <v>0</v>
      </c>
      <c r="P492" s="1">
        <v>0</v>
      </c>
      <c r="Q492" s="3">
        <v>0.1</v>
      </c>
      <c r="R492" s="1">
        <v>0</v>
      </c>
      <c r="S492" s="1">
        <v>0</v>
      </c>
    </row>
    <row r="493" spans="1:19" x14ac:dyDescent="0.2">
      <c r="A493" s="1" t="s">
        <v>1126</v>
      </c>
      <c r="B493" s="1" t="s">
        <v>84</v>
      </c>
      <c r="C493" s="1">
        <v>1</v>
      </c>
      <c r="D493" s="1" t="s">
        <v>1180</v>
      </c>
      <c r="E493" s="1">
        <v>23</v>
      </c>
      <c r="F493" s="1">
        <v>0</v>
      </c>
      <c r="G493" s="1">
        <v>0</v>
      </c>
      <c r="H493" s="1">
        <v>1.78506E-3</v>
      </c>
      <c r="I493" s="1">
        <v>0</v>
      </c>
      <c r="J493" s="1">
        <v>0</v>
      </c>
      <c r="K493" s="1">
        <v>1.2961484999999999</v>
      </c>
      <c r="L493" s="1">
        <v>0</v>
      </c>
      <c r="M493" s="1">
        <v>0</v>
      </c>
      <c r="N493" s="1">
        <v>53</v>
      </c>
      <c r="O493" s="1">
        <v>0</v>
      </c>
      <c r="P493" s="1">
        <v>0</v>
      </c>
      <c r="Q493" s="3">
        <v>0.36099999999999999</v>
      </c>
      <c r="R493" s="1">
        <v>0</v>
      </c>
      <c r="S493" s="1">
        <v>0</v>
      </c>
    </row>
    <row r="494" spans="1:19" x14ac:dyDescent="0.2">
      <c r="A494" s="1" t="s">
        <v>1127</v>
      </c>
      <c r="B494" s="1" t="s">
        <v>84</v>
      </c>
      <c r="C494" s="1">
        <v>1</v>
      </c>
      <c r="D494" s="1" t="s">
        <v>1180</v>
      </c>
      <c r="E494" s="1">
        <v>45</v>
      </c>
      <c r="F494" s="1">
        <v>0</v>
      </c>
      <c r="G494" s="1">
        <v>0</v>
      </c>
      <c r="H494" s="1">
        <v>4.3510700000000003E-3</v>
      </c>
      <c r="I494" s="1">
        <v>0</v>
      </c>
      <c r="J494" s="1">
        <v>0</v>
      </c>
      <c r="K494" s="1">
        <v>2.491403</v>
      </c>
      <c r="L494" s="1">
        <v>0</v>
      </c>
      <c r="M494" s="1">
        <v>0</v>
      </c>
      <c r="N494" s="1">
        <v>95</v>
      </c>
      <c r="O494" s="1">
        <v>0</v>
      </c>
      <c r="P494" s="1">
        <v>0</v>
      </c>
      <c r="Q494" s="3">
        <v>0.54300000000000004</v>
      </c>
      <c r="R494" s="1">
        <v>0</v>
      </c>
      <c r="S494" s="1">
        <v>0</v>
      </c>
    </row>
    <row r="495" spans="1:19" x14ac:dyDescent="0.2">
      <c r="A495" s="1" t="s">
        <v>1128</v>
      </c>
      <c r="B495" s="1" t="s">
        <v>1129</v>
      </c>
      <c r="C495" s="1">
        <v>1</v>
      </c>
      <c r="D495" s="1" t="s">
        <v>1180</v>
      </c>
      <c r="E495" s="1">
        <v>4</v>
      </c>
      <c r="F495" s="1">
        <v>0</v>
      </c>
      <c r="G495" s="1">
        <v>0</v>
      </c>
      <c r="H495" s="2">
        <v>3.0400000000000002E-4</v>
      </c>
      <c r="I495" s="1">
        <v>0</v>
      </c>
      <c r="J495" s="1">
        <v>0</v>
      </c>
      <c r="K495" s="1">
        <v>9.9005819999999994E-2</v>
      </c>
      <c r="L495" s="1">
        <v>0</v>
      </c>
      <c r="M495" s="1">
        <v>0</v>
      </c>
      <c r="N495" s="1">
        <v>9</v>
      </c>
      <c r="O495" s="1">
        <v>0</v>
      </c>
      <c r="P495" s="1">
        <v>0</v>
      </c>
      <c r="Q495" s="3">
        <v>4.1000000000000002E-2</v>
      </c>
      <c r="R495" s="1">
        <v>0</v>
      </c>
      <c r="S495" s="1">
        <v>0</v>
      </c>
    </row>
    <row r="496" spans="1:19" x14ac:dyDescent="0.2">
      <c r="A496" s="1" t="s">
        <v>1130</v>
      </c>
      <c r="B496" s="1" t="s">
        <v>1129</v>
      </c>
      <c r="C496" s="1">
        <v>1</v>
      </c>
      <c r="D496" s="1" t="s">
        <v>1180</v>
      </c>
      <c r="E496" s="1">
        <v>24</v>
      </c>
      <c r="F496" s="1">
        <v>0</v>
      </c>
      <c r="G496" s="1">
        <v>0</v>
      </c>
      <c r="H496" s="1">
        <v>1.98715E-3</v>
      </c>
      <c r="I496" s="1">
        <v>0</v>
      </c>
      <c r="J496" s="1">
        <v>0</v>
      </c>
      <c r="K496" s="1">
        <v>0.69433783999999998</v>
      </c>
      <c r="L496" s="1">
        <v>0</v>
      </c>
      <c r="M496" s="1">
        <v>0</v>
      </c>
      <c r="N496" s="1">
        <v>59</v>
      </c>
      <c r="O496" s="1">
        <v>0</v>
      </c>
      <c r="P496" s="1">
        <v>0</v>
      </c>
      <c r="Q496" s="3">
        <v>0.22900000000000001</v>
      </c>
      <c r="R496" s="1">
        <v>0</v>
      </c>
      <c r="S496" s="1">
        <v>0</v>
      </c>
    </row>
    <row r="497" spans="1:19" x14ac:dyDescent="0.2">
      <c r="A497" s="1" t="s">
        <v>1131</v>
      </c>
      <c r="B497" s="1" t="s">
        <v>1132</v>
      </c>
      <c r="C497" s="1">
        <v>1</v>
      </c>
      <c r="D497" s="1" t="s">
        <v>1180</v>
      </c>
      <c r="E497" s="1">
        <v>2</v>
      </c>
      <c r="F497" s="1">
        <v>0</v>
      </c>
      <c r="G497" s="1">
        <v>0</v>
      </c>
      <c r="H497" s="2">
        <v>5.4400000000000001E-5</v>
      </c>
      <c r="I497" s="1">
        <v>0</v>
      </c>
      <c r="J497" s="1">
        <v>0</v>
      </c>
      <c r="K497" s="1">
        <v>0.18032061999999999</v>
      </c>
      <c r="L497" s="1">
        <v>0</v>
      </c>
      <c r="M497" s="1">
        <v>0</v>
      </c>
      <c r="N497" s="1">
        <v>2</v>
      </c>
      <c r="O497" s="1">
        <v>0</v>
      </c>
      <c r="P497" s="1">
        <v>0</v>
      </c>
      <c r="Q497" s="3">
        <v>7.1999999999999995E-2</v>
      </c>
      <c r="R497" s="1">
        <v>0</v>
      </c>
      <c r="S497" s="1">
        <v>0</v>
      </c>
    </row>
    <row r="498" spans="1:19" x14ac:dyDescent="0.2">
      <c r="A498" s="1" t="s">
        <v>1133</v>
      </c>
      <c r="B498" s="1" t="s">
        <v>1134</v>
      </c>
      <c r="C498" s="1">
        <v>1</v>
      </c>
      <c r="D498" s="1" t="s">
        <v>1180</v>
      </c>
      <c r="E498" s="1">
        <v>3</v>
      </c>
      <c r="F498" s="1">
        <v>0</v>
      </c>
      <c r="G498" s="1">
        <v>0</v>
      </c>
      <c r="H498" s="2">
        <v>4.6999999999999999E-4</v>
      </c>
      <c r="I498" s="1">
        <v>0</v>
      </c>
      <c r="J498" s="1">
        <v>0</v>
      </c>
      <c r="K498" s="1">
        <v>0.36772883000000001</v>
      </c>
      <c r="L498" s="1">
        <v>0</v>
      </c>
      <c r="M498" s="1">
        <v>0</v>
      </c>
      <c r="N498" s="1">
        <v>6</v>
      </c>
      <c r="O498" s="1">
        <v>0</v>
      </c>
      <c r="P498" s="1">
        <v>0</v>
      </c>
      <c r="Q498" s="3">
        <v>0.13600000000000001</v>
      </c>
      <c r="R498" s="1">
        <v>0</v>
      </c>
      <c r="S498" s="1">
        <v>0</v>
      </c>
    </row>
    <row r="499" spans="1:19" x14ac:dyDescent="0.2">
      <c r="A499" s="1" t="s">
        <v>1135</v>
      </c>
      <c r="B499" s="1" t="s">
        <v>1136</v>
      </c>
      <c r="C499" s="1">
        <v>1</v>
      </c>
      <c r="D499" s="1" t="s">
        <v>1180</v>
      </c>
      <c r="E499" s="1">
        <v>6</v>
      </c>
      <c r="F499" s="1">
        <v>0</v>
      </c>
      <c r="G499" s="1">
        <v>0</v>
      </c>
      <c r="H499" s="2">
        <v>2.41E-4</v>
      </c>
      <c r="I499" s="1">
        <v>0</v>
      </c>
      <c r="J499" s="1">
        <v>0</v>
      </c>
      <c r="K499" s="1">
        <v>9.3956349999999994E-2</v>
      </c>
      <c r="L499" s="1">
        <v>0</v>
      </c>
      <c r="M499" s="1">
        <v>0</v>
      </c>
      <c r="N499" s="1">
        <v>6</v>
      </c>
      <c r="O499" s="1">
        <v>0</v>
      </c>
      <c r="P499" s="1">
        <v>0</v>
      </c>
      <c r="Q499" s="3">
        <v>3.9E-2</v>
      </c>
      <c r="R499" s="1">
        <v>0</v>
      </c>
      <c r="S499" s="1">
        <v>0</v>
      </c>
    </row>
    <row r="500" spans="1:19" x14ac:dyDescent="0.2">
      <c r="A500" s="1" t="s">
        <v>1137</v>
      </c>
      <c r="B500" s="1" t="s">
        <v>1138</v>
      </c>
      <c r="C500" s="1">
        <v>1</v>
      </c>
      <c r="D500" s="1" t="s">
        <v>1180</v>
      </c>
      <c r="E500" s="1">
        <v>22</v>
      </c>
      <c r="F500" s="1">
        <v>0</v>
      </c>
      <c r="G500" s="1">
        <v>0</v>
      </c>
      <c r="H500" s="1">
        <v>2.4436499999999999E-3</v>
      </c>
      <c r="I500" s="1">
        <v>0</v>
      </c>
      <c r="J500" s="1">
        <v>0</v>
      </c>
      <c r="K500" s="1">
        <v>1.2080047</v>
      </c>
      <c r="L500" s="1">
        <v>0</v>
      </c>
      <c r="M500" s="1">
        <v>0</v>
      </c>
      <c r="N500" s="1">
        <v>36</v>
      </c>
      <c r="O500" s="1">
        <v>0</v>
      </c>
      <c r="P500" s="1">
        <v>0</v>
      </c>
      <c r="Q500" s="3">
        <v>0.34399999999999997</v>
      </c>
      <c r="R500" s="1">
        <v>0</v>
      </c>
      <c r="S500" s="1">
        <v>0</v>
      </c>
    </row>
    <row r="501" spans="1:19" x14ac:dyDescent="0.2">
      <c r="A501" s="1" t="s">
        <v>1139</v>
      </c>
      <c r="B501" s="1" t="s">
        <v>28</v>
      </c>
      <c r="C501" s="1">
        <v>1</v>
      </c>
      <c r="D501" s="1" t="s">
        <v>1180</v>
      </c>
      <c r="E501" s="1">
        <v>2</v>
      </c>
      <c r="F501" s="1">
        <v>0</v>
      </c>
      <c r="G501" s="1">
        <v>0</v>
      </c>
      <c r="H501" s="2">
        <v>1.9000000000000001E-4</v>
      </c>
      <c r="I501" s="1">
        <v>0</v>
      </c>
      <c r="J501" s="1">
        <v>0</v>
      </c>
      <c r="K501" s="1">
        <v>0.18032061999999999</v>
      </c>
      <c r="L501" s="1">
        <v>0</v>
      </c>
      <c r="M501" s="1">
        <v>0</v>
      </c>
      <c r="N501" s="1">
        <v>2</v>
      </c>
      <c r="O501" s="1">
        <v>0</v>
      </c>
      <c r="P501" s="1">
        <v>0</v>
      </c>
      <c r="Q501" s="3">
        <v>7.1999999999999995E-2</v>
      </c>
      <c r="R501" s="1">
        <v>0</v>
      </c>
      <c r="S501" s="1">
        <v>0</v>
      </c>
    </row>
    <row r="502" spans="1:19" x14ac:dyDescent="0.2">
      <c r="A502" s="1" t="s">
        <v>1140</v>
      </c>
      <c r="B502" s="1" t="s">
        <v>753</v>
      </c>
      <c r="C502" s="1">
        <v>1</v>
      </c>
      <c r="D502" s="1" t="s">
        <v>1180</v>
      </c>
      <c r="E502" s="1">
        <v>5</v>
      </c>
      <c r="F502" s="1">
        <v>0</v>
      </c>
      <c r="G502" s="1">
        <v>0</v>
      </c>
      <c r="H502" s="2">
        <v>3.7800000000000003E-4</v>
      </c>
      <c r="I502" s="1">
        <v>0</v>
      </c>
      <c r="J502" s="1">
        <v>0</v>
      </c>
      <c r="K502" s="1">
        <v>0.38995266000000001</v>
      </c>
      <c r="L502" s="1">
        <v>0</v>
      </c>
      <c r="M502" s="1">
        <v>0</v>
      </c>
      <c r="N502" s="1">
        <v>5</v>
      </c>
      <c r="O502" s="1">
        <v>0</v>
      </c>
      <c r="P502" s="1">
        <v>0</v>
      </c>
      <c r="Q502" s="3">
        <v>0.14299999999999999</v>
      </c>
      <c r="R502" s="1">
        <v>0</v>
      </c>
      <c r="S502" s="1">
        <v>0</v>
      </c>
    </row>
    <row r="503" spans="1:19" x14ac:dyDescent="0.2">
      <c r="A503" s="1" t="s">
        <v>1141</v>
      </c>
      <c r="B503" s="1" t="s">
        <v>1142</v>
      </c>
      <c r="C503" s="1">
        <v>1</v>
      </c>
      <c r="D503" s="1" t="s">
        <v>1180</v>
      </c>
      <c r="E503" s="1">
        <v>2</v>
      </c>
      <c r="F503" s="1">
        <v>0</v>
      </c>
      <c r="G503" s="1">
        <v>0</v>
      </c>
      <c r="H503" s="2">
        <v>1.05E-4</v>
      </c>
      <c r="I503" s="1">
        <v>0</v>
      </c>
      <c r="J503" s="1">
        <v>0</v>
      </c>
      <c r="K503" s="1">
        <v>0.29121923</v>
      </c>
      <c r="L503" s="1">
        <v>0</v>
      </c>
      <c r="M503" s="1">
        <v>0</v>
      </c>
      <c r="N503" s="1">
        <v>2</v>
      </c>
      <c r="O503" s="1">
        <v>0</v>
      </c>
      <c r="P503" s="1">
        <v>0</v>
      </c>
      <c r="Q503" s="3">
        <v>0.111</v>
      </c>
      <c r="R503" s="1">
        <v>0</v>
      </c>
      <c r="S503" s="1">
        <v>0</v>
      </c>
    </row>
    <row r="504" spans="1:19" x14ac:dyDescent="0.2">
      <c r="A504" s="1" t="s">
        <v>1143</v>
      </c>
      <c r="B504" s="1" t="s">
        <v>1144</v>
      </c>
      <c r="C504" s="1">
        <v>1</v>
      </c>
      <c r="D504" s="1" t="s">
        <v>1180</v>
      </c>
      <c r="E504" s="1">
        <v>8</v>
      </c>
      <c r="F504" s="1">
        <v>0</v>
      </c>
      <c r="G504" s="1">
        <v>0</v>
      </c>
      <c r="H504" s="2">
        <v>6.9700000000000003E-4</v>
      </c>
      <c r="I504" s="1">
        <v>0</v>
      </c>
      <c r="J504" s="1">
        <v>0</v>
      </c>
      <c r="K504" s="1">
        <v>0.64816236000000005</v>
      </c>
      <c r="L504" s="1">
        <v>0</v>
      </c>
      <c r="M504" s="1">
        <v>0</v>
      </c>
      <c r="N504" s="1">
        <v>8</v>
      </c>
      <c r="O504" s="1">
        <v>0</v>
      </c>
      <c r="P504" s="1">
        <v>0</v>
      </c>
      <c r="Q504" s="3">
        <v>0.217</v>
      </c>
      <c r="R504" s="1">
        <v>0</v>
      </c>
      <c r="S504" s="1">
        <v>0</v>
      </c>
    </row>
    <row r="505" spans="1:19" x14ac:dyDescent="0.2">
      <c r="A505" s="1" t="s">
        <v>1145</v>
      </c>
      <c r="B505" s="1" t="s">
        <v>1146</v>
      </c>
      <c r="C505" s="1">
        <v>1</v>
      </c>
      <c r="D505" s="1" t="s">
        <v>1180</v>
      </c>
      <c r="E505" s="1">
        <v>5</v>
      </c>
      <c r="F505" s="1">
        <v>0</v>
      </c>
      <c r="G505" s="1">
        <v>0</v>
      </c>
      <c r="H505" s="2">
        <v>8.2200000000000003E-4</v>
      </c>
      <c r="I505" s="1">
        <v>0</v>
      </c>
      <c r="J505" s="1">
        <v>0</v>
      </c>
      <c r="K505" s="1">
        <v>0.44877182999999998</v>
      </c>
      <c r="L505" s="1">
        <v>0</v>
      </c>
      <c r="M505" s="1">
        <v>0</v>
      </c>
      <c r="N505" s="1">
        <v>10</v>
      </c>
      <c r="O505" s="1">
        <v>0</v>
      </c>
      <c r="P505" s="1">
        <v>0</v>
      </c>
      <c r="Q505" s="3">
        <v>0.161</v>
      </c>
      <c r="R505" s="1">
        <v>0</v>
      </c>
      <c r="S505" s="1">
        <v>0</v>
      </c>
    </row>
    <row r="506" spans="1:19" x14ac:dyDescent="0.2">
      <c r="A506" s="1" t="s">
        <v>1147</v>
      </c>
      <c r="B506" s="1" t="s">
        <v>1148</v>
      </c>
      <c r="C506" s="1">
        <v>1</v>
      </c>
      <c r="D506" s="1" t="s">
        <v>1180</v>
      </c>
      <c r="E506" s="1">
        <v>2</v>
      </c>
      <c r="F506" s="1">
        <v>0</v>
      </c>
      <c r="G506" s="1">
        <v>0</v>
      </c>
      <c r="H506" s="2">
        <v>2.7599999999999999E-4</v>
      </c>
      <c r="I506" s="1">
        <v>0</v>
      </c>
      <c r="J506" s="1">
        <v>0</v>
      </c>
      <c r="K506" s="1">
        <v>0.23026884</v>
      </c>
      <c r="L506" s="1">
        <v>0</v>
      </c>
      <c r="M506" s="1">
        <v>0</v>
      </c>
      <c r="N506" s="1">
        <v>3</v>
      </c>
      <c r="O506" s="1">
        <v>0</v>
      </c>
      <c r="P506" s="1">
        <v>0</v>
      </c>
      <c r="Q506" s="3">
        <v>0.09</v>
      </c>
      <c r="R506" s="1">
        <v>0</v>
      </c>
      <c r="S506" s="1">
        <v>0</v>
      </c>
    </row>
    <row r="507" spans="1:19" x14ac:dyDescent="0.2">
      <c r="A507" s="1" t="s">
        <v>1149</v>
      </c>
      <c r="B507" s="1" t="s">
        <v>1150</v>
      </c>
      <c r="C507" s="1">
        <v>1</v>
      </c>
      <c r="D507" s="1" t="s">
        <v>1180</v>
      </c>
      <c r="E507" s="1">
        <v>19</v>
      </c>
      <c r="F507" s="1">
        <v>0</v>
      </c>
      <c r="G507" s="1">
        <v>0</v>
      </c>
      <c r="H507" s="1">
        <v>3.1801799999999999E-3</v>
      </c>
      <c r="I507" s="1">
        <v>0</v>
      </c>
      <c r="J507" s="1">
        <v>0</v>
      </c>
      <c r="K507" s="1">
        <v>1.6061535</v>
      </c>
      <c r="L507" s="1">
        <v>0</v>
      </c>
      <c r="M507" s="1">
        <v>0</v>
      </c>
      <c r="N507" s="1">
        <v>37</v>
      </c>
      <c r="O507" s="1">
        <v>0</v>
      </c>
      <c r="P507" s="1">
        <v>0</v>
      </c>
      <c r="Q507" s="3">
        <v>0.41599999999999998</v>
      </c>
      <c r="R507" s="1">
        <v>0</v>
      </c>
      <c r="S507" s="1">
        <v>0</v>
      </c>
    </row>
    <row r="508" spans="1:19" x14ac:dyDescent="0.2">
      <c r="A508" s="1" t="s">
        <v>1151</v>
      </c>
      <c r="B508" s="1" t="s">
        <v>1152</v>
      </c>
      <c r="C508" s="1">
        <v>1</v>
      </c>
      <c r="D508" s="1" t="s">
        <v>1180</v>
      </c>
      <c r="E508" s="1">
        <v>29</v>
      </c>
      <c r="F508" s="1">
        <v>0</v>
      </c>
      <c r="G508" s="1">
        <v>0</v>
      </c>
      <c r="H508" s="2">
        <v>1.83E-4</v>
      </c>
      <c r="I508" s="1">
        <v>0</v>
      </c>
      <c r="J508" s="1">
        <v>0</v>
      </c>
      <c r="K508" s="1">
        <v>0.21059811000000001</v>
      </c>
      <c r="L508" s="1">
        <v>0</v>
      </c>
      <c r="M508" s="1">
        <v>0</v>
      </c>
      <c r="N508" s="1">
        <v>36</v>
      </c>
      <c r="O508" s="1">
        <v>0</v>
      </c>
      <c r="P508" s="1">
        <v>0</v>
      </c>
      <c r="Q508" s="3">
        <v>8.3000000000000004E-2</v>
      </c>
      <c r="R508" s="1">
        <v>0</v>
      </c>
      <c r="S508" s="1">
        <v>0</v>
      </c>
    </row>
    <row r="509" spans="1:19" x14ac:dyDescent="0.2">
      <c r="A509" s="1" t="s">
        <v>1153</v>
      </c>
      <c r="B509" s="1" t="s">
        <v>739</v>
      </c>
      <c r="C509" s="1">
        <v>1</v>
      </c>
      <c r="D509" s="1" t="s">
        <v>1180</v>
      </c>
      <c r="E509" s="1">
        <v>61</v>
      </c>
      <c r="F509" s="1">
        <v>0</v>
      </c>
      <c r="G509" s="1">
        <v>0</v>
      </c>
      <c r="H509" s="1">
        <v>1.3333399999999999E-3</v>
      </c>
      <c r="I509" s="1">
        <v>0</v>
      </c>
      <c r="J509" s="1">
        <v>0</v>
      </c>
      <c r="K509" s="1">
        <v>1.1379621</v>
      </c>
      <c r="L509" s="1">
        <v>0</v>
      </c>
      <c r="M509" s="1">
        <v>0</v>
      </c>
      <c r="N509" s="1">
        <v>110</v>
      </c>
      <c r="O509" s="1">
        <v>0</v>
      </c>
      <c r="P509" s="1">
        <v>0</v>
      </c>
      <c r="Q509" s="3">
        <v>0.33</v>
      </c>
      <c r="R509" s="1">
        <v>0</v>
      </c>
      <c r="S509" s="1">
        <v>0</v>
      </c>
    </row>
    <row r="510" spans="1:19" x14ac:dyDescent="0.2">
      <c r="A510" s="1" t="s">
        <v>1154</v>
      </c>
      <c r="B510" s="1" t="s">
        <v>1155</v>
      </c>
      <c r="C510" s="1">
        <v>1</v>
      </c>
      <c r="D510" s="1" t="s">
        <v>1180</v>
      </c>
      <c r="E510" s="1">
        <v>6</v>
      </c>
      <c r="F510" s="1">
        <v>0</v>
      </c>
      <c r="G510" s="1">
        <v>0</v>
      </c>
      <c r="H510" s="2">
        <v>5.44E-4</v>
      </c>
      <c r="I510" s="1">
        <v>0</v>
      </c>
      <c r="J510" s="1">
        <v>0</v>
      </c>
      <c r="K510" s="1">
        <v>0.32739449999999998</v>
      </c>
      <c r="L510" s="1">
        <v>0</v>
      </c>
      <c r="M510" s="1">
        <v>0</v>
      </c>
      <c r="N510" s="1">
        <v>9</v>
      </c>
      <c r="O510" s="1">
        <v>0</v>
      </c>
      <c r="P510" s="1">
        <v>0</v>
      </c>
      <c r="Q510" s="3">
        <v>0.123</v>
      </c>
      <c r="R510" s="1">
        <v>0</v>
      </c>
      <c r="S510" s="1">
        <v>0</v>
      </c>
    </row>
    <row r="511" spans="1:19" x14ac:dyDescent="0.2">
      <c r="A511" s="1" t="s">
        <v>1156</v>
      </c>
      <c r="B511" s="1" t="s">
        <v>1157</v>
      </c>
      <c r="C511" s="1">
        <v>1</v>
      </c>
      <c r="D511" s="1" t="s">
        <v>1180</v>
      </c>
      <c r="E511" s="1">
        <v>2</v>
      </c>
      <c r="F511" s="1">
        <v>0</v>
      </c>
      <c r="G511" s="1">
        <v>0</v>
      </c>
      <c r="H511" s="2">
        <v>3.8999999999999999E-5</v>
      </c>
      <c r="I511" s="1">
        <v>0</v>
      </c>
      <c r="J511" s="1">
        <v>0</v>
      </c>
      <c r="K511" s="1">
        <v>3.2761459999999999E-2</v>
      </c>
      <c r="L511" s="1">
        <v>0</v>
      </c>
      <c r="M511" s="1">
        <v>0</v>
      </c>
      <c r="N511" s="1">
        <v>3</v>
      </c>
      <c r="O511" s="1">
        <v>0</v>
      </c>
      <c r="P511" s="1">
        <v>0</v>
      </c>
      <c r="Q511" s="3">
        <v>1.4E-2</v>
      </c>
      <c r="R511" s="1">
        <v>0</v>
      </c>
      <c r="S511" s="1">
        <v>0</v>
      </c>
    </row>
    <row r="512" spans="1:19" x14ac:dyDescent="0.2">
      <c r="A512" s="1" t="s">
        <v>1158</v>
      </c>
      <c r="B512" s="1" t="s">
        <v>25</v>
      </c>
      <c r="C512" s="1">
        <v>1</v>
      </c>
      <c r="D512" s="1" t="s">
        <v>1180</v>
      </c>
      <c r="E512" s="1">
        <v>6</v>
      </c>
      <c r="F512" s="1">
        <v>0</v>
      </c>
      <c r="G512" s="1">
        <v>0</v>
      </c>
      <c r="H512" s="1">
        <v>1.87182E-3</v>
      </c>
      <c r="I512" s="1">
        <v>0</v>
      </c>
      <c r="J512" s="1">
        <v>0</v>
      </c>
      <c r="K512" s="1">
        <v>0.62929606000000005</v>
      </c>
      <c r="L512" s="1">
        <v>0</v>
      </c>
      <c r="M512" s="1">
        <v>0</v>
      </c>
      <c r="N512" s="1">
        <v>14</v>
      </c>
      <c r="O512" s="1">
        <v>0</v>
      </c>
      <c r="P512" s="1">
        <v>0</v>
      </c>
      <c r="Q512" s="3">
        <v>0.21199999999999999</v>
      </c>
      <c r="R512" s="1">
        <v>0</v>
      </c>
      <c r="S512" s="1">
        <v>0</v>
      </c>
    </row>
    <row r="513" spans="1:19" x14ac:dyDescent="0.2">
      <c r="A513" s="1" t="s">
        <v>1159</v>
      </c>
      <c r="B513" s="1" t="s">
        <v>1160</v>
      </c>
      <c r="C513" s="1">
        <v>1</v>
      </c>
      <c r="D513" s="1" t="s">
        <v>1180</v>
      </c>
      <c r="E513" s="1">
        <v>7</v>
      </c>
      <c r="F513" s="1">
        <v>0</v>
      </c>
      <c r="G513" s="1">
        <v>0</v>
      </c>
      <c r="H513" s="2">
        <v>6.2699999999999995E-4</v>
      </c>
      <c r="I513" s="1">
        <v>0</v>
      </c>
      <c r="J513" s="1">
        <v>0</v>
      </c>
      <c r="K513" s="1">
        <v>0.27350307000000001</v>
      </c>
      <c r="L513" s="1">
        <v>0</v>
      </c>
      <c r="M513" s="1">
        <v>0</v>
      </c>
      <c r="N513" s="1">
        <v>9</v>
      </c>
      <c r="O513" s="1">
        <v>0</v>
      </c>
      <c r="P513" s="1">
        <v>0</v>
      </c>
      <c r="Q513" s="3">
        <v>0.105</v>
      </c>
      <c r="R513" s="1">
        <v>0</v>
      </c>
      <c r="S513" s="1">
        <v>0</v>
      </c>
    </row>
    <row r="514" spans="1:19" x14ac:dyDescent="0.2">
      <c r="A514" s="1" t="s">
        <v>1161</v>
      </c>
      <c r="B514" s="1" t="s">
        <v>1162</v>
      </c>
      <c r="C514" s="1">
        <v>1</v>
      </c>
      <c r="D514" s="1" t="s">
        <v>1180</v>
      </c>
      <c r="E514" s="1">
        <v>11</v>
      </c>
      <c r="F514" s="1">
        <v>0</v>
      </c>
      <c r="G514" s="1">
        <v>0</v>
      </c>
      <c r="H514" s="2">
        <v>2.61E-4</v>
      </c>
      <c r="I514" s="1">
        <v>0</v>
      </c>
      <c r="J514" s="1">
        <v>0</v>
      </c>
      <c r="K514" s="1">
        <v>0.42232882999999999</v>
      </c>
      <c r="L514" s="1">
        <v>0</v>
      </c>
      <c r="M514" s="1">
        <v>0</v>
      </c>
      <c r="N514" s="1">
        <v>14</v>
      </c>
      <c r="O514" s="1">
        <v>0</v>
      </c>
      <c r="P514" s="1">
        <v>0</v>
      </c>
      <c r="Q514" s="3">
        <v>0.153</v>
      </c>
      <c r="R514" s="1">
        <v>0</v>
      </c>
      <c r="S514" s="1">
        <v>0</v>
      </c>
    </row>
    <row r="515" spans="1:19" x14ac:dyDescent="0.2">
      <c r="A515" s="1" t="s">
        <v>1163</v>
      </c>
      <c r="B515" s="1" t="s">
        <v>1164</v>
      </c>
      <c r="C515" s="1">
        <v>1</v>
      </c>
      <c r="D515" s="1" t="s">
        <v>1180</v>
      </c>
      <c r="E515" s="1">
        <v>16</v>
      </c>
      <c r="F515" s="1">
        <v>0</v>
      </c>
      <c r="G515" s="1">
        <v>0</v>
      </c>
      <c r="H515" s="1">
        <v>3.0082799999999999E-3</v>
      </c>
      <c r="I515" s="1">
        <v>0</v>
      </c>
      <c r="J515" s="1">
        <v>0</v>
      </c>
      <c r="K515" s="1">
        <v>1.6121614</v>
      </c>
      <c r="L515" s="1">
        <v>0</v>
      </c>
      <c r="M515" s="1">
        <v>0</v>
      </c>
      <c r="N515" s="1">
        <v>30</v>
      </c>
      <c r="O515" s="1">
        <v>0</v>
      </c>
      <c r="P515" s="1">
        <v>0</v>
      </c>
      <c r="Q515" s="3">
        <v>0.41699999999999998</v>
      </c>
      <c r="R515" s="1">
        <v>0</v>
      </c>
      <c r="S515" s="1">
        <v>0</v>
      </c>
    </row>
    <row r="516" spans="1:19" x14ac:dyDescent="0.2">
      <c r="A516" s="1" t="s">
        <v>1165</v>
      </c>
      <c r="B516" s="1" t="s">
        <v>1166</v>
      </c>
      <c r="C516" s="1">
        <v>1</v>
      </c>
      <c r="D516" s="1" t="s">
        <v>1180</v>
      </c>
      <c r="E516" s="1">
        <v>11</v>
      </c>
      <c r="F516" s="1">
        <v>0</v>
      </c>
      <c r="G516" s="1">
        <v>0</v>
      </c>
      <c r="H516" s="1">
        <v>1.20546E-2</v>
      </c>
      <c r="I516" s="1">
        <v>0</v>
      </c>
      <c r="J516" s="1">
        <v>0</v>
      </c>
      <c r="K516" s="1">
        <v>1.0941124</v>
      </c>
      <c r="L516" s="1">
        <v>0</v>
      </c>
      <c r="M516" s="1">
        <v>0</v>
      </c>
      <c r="N516" s="1">
        <v>51</v>
      </c>
      <c r="O516" s="1">
        <v>0</v>
      </c>
      <c r="P516" s="1">
        <v>0</v>
      </c>
      <c r="Q516" s="3">
        <v>0.32100000000000001</v>
      </c>
      <c r="R516" s="1">
        <v>0</v>
      </c>
      <c r="S516" s="1">
        <v>0</v>
      </c>
    </row>
    <row r="517" spans="1:19" x14ac:dyDescent="0.2">
      <c r="A517" s="1" t="s">
        <v>1167</v>
      </c>
      <c r="B517" s="1" t="s">
        <v>1168</v>
      </c>
      <c r="C517" s="1">
        <v>1</v>
      </c>
      <c r="D517" s="1" t="s">
        <v>1180</v>
      </c>
      <c r="E517" s="1">
        <v>2</v>
      </c>
      <c r="F517" s="1">
        <v>0</v>
      </c>
      <c r="G517" s="1">
        <v>0</v>
      </c>
      <c r="H517" s="2">
        <v>6.7399999999999998E-5</v>
      </c>
      <c r="I517" s="1">
        <v>0</v>
      </c>
      <c r="J517" s="1">
        <v>0</v>
      </c>
      <c r="K517" s="1">
        <v>5.438685E-2</v>
      </c>
      <c r="L517" s="1">
        <v>0</v>
      </c>
      <c r="M517" s="1">
        <v>0</v>
      </c>
      <c r="N517" s="1">
        <v>2</v>
      </c>
      <c r="O517" s="1">
        <v>0</v>
      </c>
      <c r="P517" s="1">
        <v>0</v>
      </c>
      <c r="Q517" s="3">
        <v>2.3E-2</v>
      </c>
      <c r="R517" s="1">
        <v>0</v>
      </c>
      <c r="S517" s="1">
        <v>0</v>
      </c>
    </row>
    <row r="518" spans="1:19" x14ac:dyDescent="0.2">
      <c r="A518" s="1" t="s">
        <v>1169</v>
      </c>
      <c r="B518" s="1" t="s">
        <v>1170</v>
      </c>
      <c r="C518" s="1">
        <v>1</v>
      </c>
      <c r="D518" s="1" t="s">
        <v>1180</v>
      </c>
      <c r="E518" s="1">
        <v>5</v>
      </c>
      <c r="F518" s="1">
        <v>0</v>
      </c>
      <c r="G518" s="1">
        <v>0</v>
      </c>
      <c r="H518" s="2">
        <v>2.12E-4</v>
      </c>
      <c r="I518" s="1">
        <v>0</v>
      </c>
      <c r="J518" s="1">
        <v>0</v>
      </c>
      <c r="K518" s="1">
        <v>0.33352150000000003</v>
      </c>
      <c r="L518" s="1">
        <v>0</v>
      </c>
      <c r="M518" s="1">
        <v>0</v>
      </c>
      <c r="N518" s="1">
        <v>5</v>
      </c>
      <c r="O518" s="1">
        <v>0</v>
      </c>
      <c r="P518" s="1">
        <v>0</v>
      </c>
      <c r="Q518" s="3">
        <v>0.125</v>
      </c>
      <c r="R518" s="1">
        <v>0</v>
      </c>
      <c r="S518" s="1">
        <v>0</v>
      </c>
    </row>
    <row r="519" spans="1:19" x14ac:dyDescent="0.2">
      <c r="A519" s="1" t="s">
        <v>1171</v>
      </c>
      <c r="B519" s="1" t="s">
        <v>1172</v>
      </c>
      <c r="C519" s="1">
        <v>1</v>
      </c>
      <c r="D519" s="1" t="s">
        <v>1180</v>
      </c>
      <c r="E519" s="1">
        <v>12</v>
      </c>
      <c r="F519" s="1">
        <v>0</v>
      </c>
      <c r="G519" s="1">
        <v>0</v>
      </c>
      <c r="H519" s="2">
        <v>6.02E-4</v>
      </c>
      <c r="I519" s="1">
        <v>0</v>
      </c>
      <c r="J519" s="1">
        <v>0</v>
      </c>
      <c r="K519" s="1">
        <v>0.92752489999999999</v>
      </c>
      <c r="L519" s="1">
        <v>0</v>
      </c>
      <c r="M519" s="1">
        <v>0</v>
      </c>
      <c r="N519" s="1">
        <v>15</v>
      </c>
      <c r="O519" s="1">
        <v>0</v>
      </c>
      <c r="P519" s="1">
        <v>0</v>
      </c>
      <c r="Q519" s="3">
        <v>0.28499999999999998</v>
      </c>
      <c r="R519" s="1">
        <v>0</v>
      </c>
      <c r="S519" s="1">
        <v>0</v>
      </c>
    </row>
    <row r="520" spans="1:19" x14ac:dyDescent="0.2">
      <c r="A520" s="1" t="s">
        <v>1173</v>
      </c>
      <c r="B520" s="1" t="s">
        <v>1174</v>
      </c>
      <c r="C520" s="1">
        <v>1</v>
      </c>
      <c r="D520" s="1" t="s">
        <v>1180</v>
      </c>
      <c r="E520" s="1">
        <v>6</v>
      </c>
      <c r="F520" s="1">
        <v>0</v>
      </c>
      <c r="G520" s="1">
        <v>0</v>
      </c>
      <c r="H520" s="2">
        <v>5.0900000000000001E-4</v>
      </c>
      <c r="I520" s="1">
        <v>0</v>
      </c>
      <c r="J520" s="1">
        <v>0</v>
      </c>
      <c r="K520" s="1">
        <v>0.75388049999999995</v>
      </c>
      <c r="L520" s="1">
        <v>0</v>
      </c>
      <c r="M520" s="1">
        <v>0</v>
      </c>
      <c r="N520" s="1">
        <v>6</v>
      </c>
      <c r="O520" s="1">
        <v>0</v>
      </c>
      <c r="P520" s="1">
        <v>0</v>
      </c>
      <c r="Q520" s="3">
        <v>0.24399999999999999</v>
      </c>
      <c r="R520" s="1">
        <v>0</v>
      </c>
      <c r="S520" s="1">
        <v>0</v>
      </c>
    </row>
    <row r="521" spans="1:19" x14ac:dyDescent="0.2">
      <c r="A521" s="1" t="s">
        <v>1175</v>
      </c>
      <c r="B521" s="1" t="s">
        <v>1176</v>
      </c>
      <c r="C521" s="1">
        <v>1</v>
      </c>
      <c r="D521" s="1" t="s">
        <v>1180</v>
      </c>
      <c r="E521" s="1">
        <v>4</v>
      </c>
      <c r="F521" s="1">
        <v>0</v>
      </c>
      <c r="G521" s="1">
        <v>0</v>
      </c>
      <c r="H521" s="2">
        <v>2.2800000000000001E-4</v>
      </c>
      <c r="I521" s="1">
        <v>0</v>
      </c>
      <c r="J521" s="1">
        <v>0</v>
      </c>
      <c r="K521" s="1">
        <v>0.18304156999999999</v>
      </c>
      <c r="L521" s="1">
        <v>0</v>
      </c>
      <c r="M521" s="1">
        <v>0</v>
      </c>
      <c r="N521" s="1">
        <v>4</v>
      </c>
      <c r="O521" s="1">
        <v>0</v>
      </c>
      <c r="P521" s="1">
        <v>0</v>
      </c>
      <c r="Q521" s="3">
        <v>7.2999999999999995E-2</v>
      </c>
      <c r="R521" s="1">
        <v>0</v>
      </c>
      <c r="S521" s="1">
        <v>0</v>
      </c>
    </row>
    <row r="522" spans="1:19" x14ac:dyDescent="0.2">
      <c r="A522" s="1" t="s">
        <v>1177</v>
      </c>
      <c r="B522" s="1" t="s">
        <v>1178</v>
      </c>
      <c r="C522" s="1">
        <v>1</v>
      </c>
      <c r="D522" s="1" t="s">
        <v>1180</v>
      </c>
      <c r="E522" s="1">
        <v>2</v>
      </c>
      <c r="F522" s="1">
        <v>0</v>
      </c>
      <c r="G522" s="1">
        <v>0</v>
      </c>
      <c r="H522" s="2">
        <v>8.3200000000000003E-5</v>
      </c>
      <c r="I522" s="1">
        <v>0</v>
      </c>
      <c r="J522" s="1">
        <v>0</v>
      </c>
      <c r="K522" s="1">
        <v>8.3926920000000002E-2</v>
      </c>
      <c r="L522" s="1">
        <v>0</v>
      </c>
      <c r="M522" s="1">
        <v>0</v>
      </c>
      <c r="N522" s="1">
        <v>2</v>
      </c>
      <c r="O522" s="1">
        <v>0</v>
      </c>
      <c r="P522" s="1">
        <v>0</v>
      </c>
      <c r="Q522" s="3">
        <v>3.5000000000000003E-2</v>
      </c>
      <c r="R522" s="1">
        <v>0</v>
      </c>
      <c r="S522" s="1">
        <v>0</v>
      </c>
    </row>
    <row r="523" spans="1:19" x14ac:dyDescent="0.2">
      <c r="A523" s="1" t="s">
        <v>1179</v>
      </c>
      <c r="B523" s="1" t="s">
        <v>39</v>
      </c>
      <c r="C523" s="1">
        <v>1</v>
      </c>
      <c r="D523" s="1" t="s">
        <v>1180</v>
      </c>
      <c r="E523" s="1">
        <v>12</v>
      </c>
      <c r="F523" s="1">
        <v>0</v>
      </c>
      <c r="G523" s="1">
        <v>0</v>
      </c>
      <c r="H523" s="2">
        <v>5.1800000000000001E-4</v>
      </c>
      <c r="I523" s="1">
        <v>0</v>
      </c>
      <c r="J523" s="1">
        <v>0</v>
      </c>
      <c r="K523" s="1">
        <v>0.58854675000000001</v>
      </c>
      <c r="L523" s="1">
        <v>0</v>
      </c>
      <c r="M523" s="1">
        <v>0</v>
      </c>
      <c r="N523" s="1">
        <v>15</v>
      </c>
      <c r="O523" s="1">
        <v>0</v>
      </c>
      <c r="P523" s="1">
        <v>0</v>
      </c>
      <c r="Q523" s="3">
        <v>0.20100000000000001</v>
      </c>
      <c r="R523" s="1">
        <v>0</v>
      </c>
      <c r="S523" s="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31778-9981-4F45-ACFF-45D62209FCD6}">
  <dimension ref="A1:T715"/>
  <sheetViews>
    <sheetView workbookViewId="0">
      <selection activeCell="W9" sqref="W9"/>
    </sheetView>
  </sheetViews>
  <sheetFormatPr baseColWidth="10" defaultRowHeight="16" x14ac:dyDescent="0.2"/>
  <sheetData>
    <row r="1" spans="1:20" s="9" customFormat="1" x14ac:dyDescent="0.2">
      <c r="A1" s="8" t="s">
        <v>0</v>
      </c>
      <c r="B1" s="8" t="s">
        <v>24</v>
      </c>
      <c r="C1" s="8" t="s">
        <v>46</v>
      </c>
      <c r="D1" s="8" t="s">
        <v>59</v>
      </c>
      <c r="E1" s="8" t="s">
        <v>60</v>
      </c>
      <c r="F1" s="8" t="s">
        <v>2539</v>
      </c>
      <c r="G1" s="8" t="s">
        <v>2537</v>
      </c>
      <c r="H1" s="8" t="s">
        <v>2538</v>
      </c>
      <c r="I1" s="8" t="s">
        <v>2540</v>
      </c>
      <c r="J1" s="8" t="s">
        <v>2544</v>
      </c>
      <c r="K1" s="8" t="s">
        <v>2548</v>
      </c>
      <c r="L1" s="8" t="s">
        <v>2541</v>
      </c>
      <c r="M1" s="8" t="s">
        <v>2545</v>
      </c>
      <c r="N1" s="8" t="s">
        <v>2549</v>
      </c>
      <c r="O1" s="8" t="s">
        <v>2542</v>
      </c>
      <c r="P1" s="8" t="s">
        <v>2546</v>
      </c>
      <c r="Q1" s="8" t="s">
        <v>2550</v>
      </c>
      <c r="R1" s="8" t="s">
        <v>2543</v>
      </c>
      <c r="S1" s="8" t="s">
        <v>2547</v>
      </c>
      <c r="T1" s="8" t="s">
        <v>2551</v>
      </c>
    </row>
    <row r="2" spans="1:20" ht="18" x14ac:dyDescent="0.2">
      <c r="A2" s="4" t="s">
        <v>1181</v>
      </c>
      <c r="B2" s="4" t="s">
        <v>1895</v>
      </c>
      <c r="C2" s="4" t="s">
        <v>48</v>
      </c>
      <c r="D2" s="4">
        <v>3</v>
      </c>
      <c r="E2" s="4" t="s">
        <v>283</v>
      </c>
      <c r="F2" s="4">
        <v>16</v>
      </c>
      <c r="G2" s="4">
        <v>8</v>
      </c>
      <c r="H2" s="4">
        <v>10</v>
      </c>
      <c r="I2" s="4">
        <v>1.20842E-3</v>
      </c>
      <c r="J2" s="5">
        <v>7.6400000000000003E-4</v>
      </c>
      <c r="K2" s="5">
        <v>3.8000000000000002E-4</v>
      </c>
      <c r="L2" s="4">
        <v>0.38675581999999997</v>
      </c>
      <c r="M2" s="4">
        <v>0.27643883000000002</v>
      </c>
      <c r="N2" s="4">
        <v>0.16949939999999999</v>
      </c>
      <c r="O2" s="4">
        <v>43</v>
      </c>
      <c r="P2" s="4">
        <v>20</v>
      </c>
      <c r="Q2" s="4">
        <v>17</v>
      </c>
      <c r="R2" s="6">
        <v>0.14199999999999999</v>
      </c>
      <c r="S2" s="6">
        <v>0.106</v>
      </c>
      <c r="T2" s="6">
        <v>6.8000000000000005E-2</v>
      </c>
    </row>
    <row r="3" spans="1:20" ht="18" x14ac:dyDescent="0.2">
      <c r="A3" s="4" t="s">
        <v>1182</v>
      </c>
      <c r="B3" s="4" t="s">
        <v>1896</v>
      </c>
      <c r="C3" s="4" t="s">
        <v>48</v>
      </c>
      <c r="D3" s="4">
        <v>3</v>
      </c>
      <c r="E3" s="4" t="s">
        <v>283</v>
      </c>
      <c r="F3" s="4">
        <v>13</v>
      </c>
      <c r="G3" s="4">
        <v>4</v>
      </c>
      <c r="H3" s="4">
        <v>11</v>
      </c>
      <c r="I3" s="4">
        <v>1.02089E-3</v>
      </c>
      <c r="J3" s="5">
        <v>7.6499999999999995E-4</v>
      </c>
      <c r="K3" s="5">
        <v>5.8799999999999998E-4</v>
      </c>
      <c r="L3" s="4">
        <v>0.4521116</v>
      </c>
      <c r="M3" s="4">
        <v>0.10407864999999999</v>
      </c>
      <c r="N3" s="4">
        <v>0.32434153999999998</v>
      </c>
      <c r="O3" s="4">
        <v>29</v>
      </c>
      <c r="P3" s="4">
        <v>16</v>
      </c>
      <c r="Q3" s="4">
        <v>21</v>
      </c>
      <c r="R3" s="6">
        <v>0.16200000000000001</v>
      </c>
      <c r="S3" s="6">
        <v>4.2999999999999997E-2</v>
      </c>
      <c r="T3" s="6">
        <v>0.122</v>
      </c>
    </row>
    <row r="4" spans="1:20" ht="18" x14ac:dyDescent="0.2">
      <c r="A4" s="4" t="s">
        <v>1183</v>
      </c>
      <c r="B4" s="4" t="s">
        <v>1897</v>
      </c>
      <c r="C4" s="4" t="s">
        <v>48</v>
      </c>
      <c r="D4" s="4">
        <v>3</v>
      </c>
      <c r="E4" s="4" t="s">
        <v>283</v>
      </c>
      <c r="F4" s="4">
        <v>34</v>
      </c>
      <c r="G4" s="4">
        <v>8</v>
      </c>
      <c r="H4" s="4">
        <v>9</v>
      </c>
      <c r="I4" s="4">
        <v>2.71287E-3</v>
      </c>
      <c r="J4" s="5">
        <v>3.2400000000000001E-4</v>
      </c>
      <c r="K4" s="5">
        <v>2.14E-4</v>
      </c>
      <c r="L4" s="4">
        <v>0.53815469999999999</v>
      </c>
      <c r="M4" s="4">
        <v>0.36458312999999998</v>
      </c>
      <c r="N4" s="4">
        <v>0.34276497</v>
      </c>
      <c r="O4" s="4">
        <v>91</v>
      </c>
      <c r="P4" s="4">
        <v>8</v>
      </c>
      <c r="Q4" s="4">
        <v>9</v>
      </c>
      <c r="R4" s="6">
        <v>0.187</v>
      </c>
      <c r="S4" s="6">
        <v>0.13500000000000001</v>
      </c>
      <c r="T4" s="6">
        <v>0.128</v>
      </c>
    </row>
    <row r="5" spans="1:20" ht="18" x14ac:dyDescent="0.2">
      <c r="A5" s="4" t="s">
        <v>1184</v>
      </c>
      <c r="B5" s="4" t="s">
        <v>1898</v>
      </c>
      <c r="C5" s="4" t="s">
        <v>48</v>
      </c>
      <c r="D5" s="4">
        <v>3</v>
      </c>
      <c r="E5" s="4" t="s">
        <v>283</v>
      </c>
      <c r="F5" s="4">
        <v>16</v>
      </c>
      <c r="G5" s="4">
        <v>8</v>
      </c>
      <c r="H5" s="4">
        <v>10</v>
      </c>
      <c r="I5" s="4">
        <v>1.51374E-3</v>
      </c>
      <c r="J5" s="5">
        <v>9.5699999999999995E-4</v>
      </c>
      <c r="K5" s="5">
        <v>4.7600000000000002E-4</v>
      </c>
      <c r="L5" s="4">
        <v>0.50660706</v>
      </c>
      <c r="M5" s="4">
        <v>0.35831343999999998</v>
      </c>
      <c r="N5" s="4">
        <v>0.21618604999999999</v>
      </c>
      <c r="O5" s="4">
        <v>43</v>
      </c>
      <c r="P5" s="4">
        <v>20</v>
      </c>
      <c r="Q5" s="4">
        <v>17</v>
      </c>
      <c r="R5" s="6">
        <v>0.17799999999999999</v>
      </c>
      <c r="S5" s="6">
        <v>0.13300000000000001</v>
      </c>
      <c r="T5" s="6">
        <v>8.5000000000000006E-2</v>
      </c>
    </row>
    <row r="6" spans="1:20" ht="18" x14ac:dyDescent="0.2">
      <c r="A6" s="4" t="s">
        <v>1185</v>
      </c>
      <c r="B6" s="4" t="s">
        <v>1899</v>
      </c>
      <c r="C6" s="4" t="s">
        <v>48</v>
      </c>
      <c r="D6" s="4">
        <v>3</v>
      </c>
      <c r="E6" s="4" t="s">
        <v>283</v>
      </c>
      <c r="F6" s="4">
        <v>2</v>
      </c>
      <c r="G6" s="4">
        <v>3</v>
      </c>
      <c r="H6" s="4">
        <v>6</v>
      </c>
      <c r="I6" s="5">
        <v>4.4400000000000002E-5</v>
      </c>
      <c r="J6" s="5">
        <v>3.9199999999999999E-4</v>
      </c>
      <c r="K6" s="5">
        <v>2.8299999999999999E-4</v>
      </c>
      <c r="L6" s="4">
        <v>3.5142180000000002E-2</v>
      </c>
      <c r="M6" s="4">
        <v>3.5142180000000002E-2</v>
      </c>
      <c r="N6" s="4">
        <v>8.3926920000000002E-2</v>
      </c>
      <c r="O6" s="4">
        <v>2</v>
      </c>
      <c r="P6" s="4">
        <v>13</v>
      </c>
      <c r="Q6" s="4">
        <v>16</v>
      </c>
      <c r="R6" s="6">
        <v>1.4999999999999999E-2</v>
      </c>
      <c r="S6" s="6">
        <v>1.4999999999999999E-2</v>
      </c>
      <c r="T6" s="6">
        <v>3.5000000000000003E-2</v>
      </c>
    </row>
    <row r="7" spans="1:20" ht="18" x14ac:dyDescent="0.2">
      <c r="A7" s="4" t="s">
        <v>1186</v>
      </c>
      <c r="B7" s="4" t="s">
        <v>1900</v>
      </c>
      <c r="C7" s="4" t="s">
        <v>48</v>
      </c>
      <c r="D7" s="4">
        <v>3</v>
      </c>
      <c r="E7" s="4" t="s">
        <v>283</v>
      </c>
      <c r="F7" s="4">
        <v>3</v>
      </c>
      <c r="G7" s="4">
        <v>13</v>
      </c>
      <c r="H7" s="4">
        <v>3</v>
      </c>
      <c r="I7" s="5">
        <v>2.6800000000000001E-4</v>
      </c>
      <c r="J7" s="4">
        <v>1.82011E-3</v>
      </c>
      <c r="K7" s="5">
        <v>5.1199999999999998E-4</v>
      </c>
      <c r="L7" s="4">
        <v>0.12979590999999999</v>
      </c>
      <c r="M7" s="4">
        <v>0.56314766000000005</v>
      </c>
      <c r="N7" s="4">
        <v>9.6478220000000003E-2</v>
      </c>
      <c r="O7" s="4">
        <v>5</v>
      </c>
      <c r="P7" s="4">
        <v>25</v>
      </c>
      <c r="Q7" s="4">
        <v>12</v>
      </c>
      <c r="R7" s="6">
        <v>5.2999999999999999E-2</v>
      </c>
      <c r="S7" s="6">
        <v>0.19400000000000001</v>
      </c>
      <c r="T7" s="6">
        <v>0.04</v>
      </c>
    </row>
    <row r="8" spans="1:20" ht="18" x14ac:dyDescent="0.2">
      <c r="A8" s="4" t="s">
        <v>1187</v>
      </c>
      <c r="B8" s="4" t="s">
        <v>1901</v>
      </c>
      <c r="C8" s="4" t="s">
        <v>48</v>
      </c>
      <c r="D8" s="4">
        <v>3</v>
      </c>
      <c r="E8" s="4" t="s">
        <v>283</v>
      </c>
      <c r="F8" s="4">
        <v>22</v>
      </c>
      <c r="G8" s="4">
        <v>10</v>
      </c>
      <c r="H8" s="4">
        <v>10</v>
      </c>
      <c r="I8" s="4">
        <v>4.2833999999999997E-3</v>
      </c>
      <c r="J8" s="4">
        <v>1.3355800000000001E-3</v>
      </c>
      <c r="K8" s="5">
        <v>4.75E-4</v>
      </c>
      <c r="L8" s="4">
        <v>0.61064565000000004</v>
      </c>
      <c r="M8" s="4">
        <v>0.4521116</v>
      </c>
      <c r="N8" s="4">
        <v>0.21618604999999999</v>
      </c>
      <c r="O8" s="4">
        <v>122</v>
      </c>
      <c r="P8" s="4">
        <v>28</v>
      </c>
      <c r="Q8" s="4">
        <v>17</v>
      </c>
      <c r="R8" s="6">
        <v>0.20699999999999999</v>
      </c>
      <c r="S8" s="6">
        <v>0.16200000000000001</v>
      </c>
      <c r="T8" s="6">
        <v>8.5000000000000006E-2</v>
      </c>
    </row>
    <row r="9" spans="1:20" ht="18" x14ac:dyDescent="0.2">
      <c r="A9" s="4" t="s">
        <v>1188</v>
      </c>
      <c r="B9" s="4" t="s">
        <v>1902</v>
      </c>
      <c r="C9" s="4" t="s">
        <v>48</v>
      </c>
      <c r="D9" s="4">
        <v>3</v>
      </c>
      <c r="E9" s="4" t="s">
        <v>283</v>
      </c>
      <c r="F9" s="4">
        <v>46</v>
      </c>
      <c r="G9" s="4">
        <v>7</v>
      </c>
      <c r="H9" s="4">
        <v>9</v>
      </c>
      <c r="I9" s="4">
        <v>3.7180999999999998E-3</v>
      </c>
      <c r="J9" s="5">
        <v>2.8299999999999999E-4</v>
      </c>
      <c r="K9" s="5">
        <v>2.13E-4</v>
      </c>
      <c r="L9" s="4">
        <v>0.99986184</v>
      </c>
      <c r="M9" s="4">
        <v>0.28233063000000003</v>
      </c>
      <c r="N9" s="4">
        <v>0.34276497</v>
      </c>
      <c r="O9" s="4">
        <v>125</v>
      </c>
      <c r="P9" s="4">
        <v>7</v>
      </c>
      <c r="Q9" s="4">
        <v>9</v>
      </c>
      <c r="R9" s="6">
        <v>0.30099999999999999</v>
      </c>
      <c r="S9" s="6">
        <v>0.108</v>
      </c>
      <c r="T9" s="6">
        <v>0.128</v>
      </c>
    </row>
    <row r="10" spans="1:20" ht="18" x14ac:dyDescent="0.2">
      <c r="A10" s="4" t="s">
        <v>1189</v>
      </c>
      <c r="B10" s="4" t="s">
        <v>1903</v>
      </c>
      <c r="C10" s="4" t="s">
        <v>48</v>
      </c>
      <c r="D10" s="4">
        <v>3</v>
      </c>
      <c r="E10" s="4" t="s">
        <v>283</v>
      </c>
      <c r="F10" s="4">
        <v>3</v>
      </c>
      <c r="G10" s="4">
        <v>11</v>
      </c>
      <c r="H10" s="4">
        <v>8</v>
      </c>
      <c r="I10" s="5">
        <v>2.33E-4</v>
      </c>
      <c r="J10" s="4">
        <v>1.77294E-3</v>
      </c>
      <c r="K10" s="5">
        <v>7.4200000000000004E-4</v>
      </c>
      <c r="L10" s="4">
        <v>0.11173176999999999</v>
      </c>
      <c r="M10" s="4">
        <v>0.4521116</v>
      </c>
      <c r="N10" s="4">
        <v>0.39315676999999999</v>
      </c>
      <c r="O10" s="4">
        <v>5</v>
      </c>
      <c r="P10" s="4">
        <v>28</v>
      </c>
      <c r="Q10" s="4">
        <v>20</v>
      </c>
      <c r="R10" s="6">
        <v>4.5999999999999999E-2</v>
      </c>
      <c r="S10" s="6">
        <v>0.16200000000000001</v>
      </c>
      <c r="T10" s="6">
        <v>0.14399999999999999</v>
      </c>
    </row>
    <row r="11" spans="1:20" ht="18" x14ac:dyDescent="0.2">
      <c r="A11" s="4" t="s">
        <v>1190</v>
      </c>
      <c r="B11" s="4" t="s">
        <v>1904</v>
      </c>
      <c r="C11" s="4" t="s">
        <v>48</v>
      </c>
      <c r="D11" s="4">
        <v>3</v>
      </c>
      <c r="E11" s="4" t="s">
        <v>283</v>
      </c>
      <c r="F11" s="4">
        <v>20</v>
      </c>
      <c r="G11" s="4">
        <v>6</v>
      </c>
      <c r="H11" s="4">
        <v>10</v>
      </c>
      <c r="I11" s="4">
        <v>1.36819E-3</v>
      </c>
      <c r="J11" s="5">
        <v>3.8900000000000002E-4</v>
      </c>
      <c r="K11" s="5">
        <v>3.0400000000000002E-4</v>
      </c>
      <c r="L11" s="4">
        <v>0.83653829999999996</v>
      </c>
      <c r="M11" s="4">
        <v>0.23310483000000001</v>
      </c>
      <c r="N11" s="4">
        <v>0.5848932</v>
      </c>
      <c r="O11" s="4">
        <v>43</v>
      </c>
      <c r="P11" s="4">
        <v>9</v>
      </c>
      <c r="Q11" s="4">
        <v>12</v>
      </c>
      <c r="R11" s="6">
        <v>0.26400000000000001</v>
      </c>
      <c r="S11" s="6">
        <v>9.0999999999999998E-2</v>
      </c>
      <c r="T11" s="6">
        <v>0.2</v>
      </c>
    </row>
    <row r="12" spans="1:20" ht="18" x14ac:dyDescent="0.2">
      <c r="A12" s="4" t="s">
        <v>1191</v>
      </c>
      <c r="B12" s="4" t="s">
        <v>1905</v>
      </c>
      <c r="C12" s="4" t="s">
        <v>48</v>
      </c>
      <c r="D12" s="4">
        <v>3</v>
      </c>
      <c r="E12" s="4" t="s">
        <v>283</v>
      </c>
      <c r="F12" s="4">
        <v>3</v>
      </c>
      <c r="G12" s="4">
        <v>7</v>
      </c>
      <c r="H12" s="4">
        <v>2</v>
      </c>
      <c r="I12" s="5">
        <v>2.34E-4</v>
      </c>
      <c r="J12" s="5">
        <v>5.7200000000000003E-4</v>
      </c>
      <c r="K12" s="5">
        <v>7.4400000000000006E-5</v>
      </c>
      <c r="L12" s="4">
        <v>0.11173176999999999</v>
      </c>
      <c r="M12" s="4">
        <v>0.18576872</v>
      </c>
      <c r="N12" s="4">
        <v>8.3926920000000002E-2</v>
      </c>
      <c r="O12" s="4">
        <v>5</v>
      </c>
      <c r="P12" s="4">
        <v>9</v>
      </c>
      <c r="Q12" s="4">
        <v>2</v>
      </c>
      <c r="R12" s="6">
        <v>4.5999999999999999E-2</v>
      </c>
      <c r="S12" s="6">
        <v>7.3999999999999996E-2</v>
      </c>
      <c r="T12" s="6">
        <v>3.5000000000000003E-2</v>
      </c>
    </row>
    <row r="13" spans="1:20" ht="18" x14ac:dyDescent="0.2">
      <c r="A13" s="4" t="s">
        <v>1192</v>
      </c>
      <c r="B13" s="4" t="s">
        <v>1906</v>
      </c>
      <c r="C13" s="4" t="s">
        <v>48</v>
      </c>
      <c r="D13" s="4">
        <v>3</v>
      </c>
      <c r="E13" s="4" t="s">
        <v>283</v>
      </c>
      <c r="F13" s="4">
        <v>46</v>
      </c>
      <c r="G13" s="4">
        <v>7</v>
      </c>
      <c r="H13" s="4">
        <v>9</v>
      </c>
      <c r="I13" s="4">
        <v>3.7180999999999998E-3</v>
      </c>
      <c r="J13" s="5">
        <v>2.8299999999999999E-4</v>
      </c>
      <c r="K13" s="5">
        <v>2.13E-4</v>
      </c>
      <c r="L13" s="4">
        <v>0.99986184</v>
      </c>
      <c r="M13" s="4">
        <v>0.28233063000000003</v>
      </c>
      <c r="N13" s="4">
        <v>0.34276497</v>
      </c>
      <c r="O13" s="4">
        <v>125</v>
      </c>
      <c r="P13" s="4">
        <v>7</v>
      </c>
      <c r="Q13" s="4">
        <v>9</v>
      </c>
      <c r="R13" s="6">
        <v>0.30099999999999999</v>
      </c>
      <c r="S13" s="6">
        <v>0.108</v>
      </c>
      <c r="T13" s="6">
        <v>0.128</v>
      </c>
    </row>
    <row r="14" spans="1:20" ht="18" x14ac:dyDescent="0.2">
      <c r="A14" s="4" t="s">
        <v>1193</v>
      </c>
      <c r="B14" s="4" t="s">
        <v>1907</v>
      </c>
      <c r="C14" s="4" t="s">
        <v>48</v>
      </c>
      <c r="D14" s="4">
        <v>3</v>
      </c>
      <c r="E14" s="4" t="s">
        <v>283</v>
      </c>
      <c r="F14" s="4">
        <v>15</v>
      </c>
      <c r="G14" s="4">
        <v>3</v>
      </c>
      <c r="H14" s="4">
        <v>7</v>
      </c>
      <c r="I14" s="5">
        <v>5.2899999999999996E-4</v>
      </c>
      <c r="J14" s="5">
        <v>8.2200000000000006E-5</v>
      </c>
      <c r="K14" s="5">
        <v>1.3200000000000001E-4</v>
      </c>
      <c r="L14" s="4">
        <v>0.35207260000000001</v>
      </c>
      <c r="M14" s="4">
        <v>4.9542429999999998E-2</v>
      </c>
      <c r="N14" s="4">
        <v>0.17489755000000001</v>
      </c>
      <c r="O14" s="4">
        <v>35</v>
      </c>
      <c r="P14" s="4">
        <v>4</v>
      </c>
      <c r="Q14" s="4">
        <v>11</v>
      </c>
      <c r="R14" s="6">
        <v>0.13100000000000001</v>
      </c>
      <c r="S14" s="6">
        <v>2.1000000000000001E-2</v>
      </c>
      <c r="T14" s="6">
        <v>7.0000000000000007E-2</v>
      </c>
    </row>
    <row r="15" spans="1:20" ht="18" x14ac:dyDescent="0.2">
      <c r="A15" s="4" t="s">
        <v>1194</v>
      </c>
      <c r="B15" s="4" t="s">
        <v>1908</v>
      </c>
      <c r="C15" s="4" t="s">
        <v>48</v>
      </c>
      <c r="D15" s="4">
        <v>3</v>
      </c>
      <c r="E15" s="4" t="s">
        <v>283</v>
      </c>
      <c r="F15" s="4">
        <v>28</v>
      </c>
      <c r="G15" s="4">
        <v>5</v>
      </c>
      <c r="H15" s="4">
        <v>5</v>
      </c>
      <c r="I15" s="4">
        <v>2.2517100000000001E-3</v>
      </c>
      <c r="J15" s="5">
        <v>2.0699999999999999E-4</v>
      </c>
      <c r="K15" s="5">
        <v>1.21E-4</v>
      </c>
      <c r="L15" s="4">
        <v>0.35831343999999998</v>
      </c>
      <c r="M15" s="4">
        <v>0.19124198000000001</v>
      </c>
      <c r="N15" s="4">
        <v>0.18576872</v>
      </c>
      <c r="O15" s="4">
        <v>74</v>
      </c>
      <c r="P15" s="4">
        <v>5</v>
      </c>
      <c r="Q15" s="4">
        <v>5</v>
      </c>
      <c r="R15" s="6">
        <v>0.13300000000000001</v>
      </c>
      <c r="S15" s="6">
        <v>7.5999999999999998E-2</v>
      </c>
      <c r="T15" s="6">
        <v>7.3999999999999996E-2</v>
      </c>
    </row>
    <row r="16" spans="1:20" ht="18" x14ac:dyDescent="0.2">
      <c r="A16" s="4" t="s">
        <v>1195</v>
      </c>
      <c r="B16" s="4" t="s">
        <v>1909</v>
      </c>
      <c r="C16" s="4" t="s">
        <v>48</v>
      </c>
      <c r="D16" s="4">
        <v>3</v>
      </c>
      <c r="E16" s="4" t="s">
        <v>283</v>
      </c>
      <c r="F16" s="4">
        <v>5</v>
      </c>
      <c r="G16" s="4">
        <v>9</v>
      </c>
      <c r="H16" s="4">
        <v>8</v>
      </c>
      <c r="I16" s="5">
        <v>4.1300000000000001E-4</v>
      </c>
      <c r="J16" s="5">
        <v>5.6099999999999998E-4</v>
      </c>
      <c r="K16" s="5">
        <v>2.81E-4</v>
      </c>
      <c r="L16" s="4">
        <v>0.16680967999999999</v>
      </c>
      <c r="M16" s="4">
        <v>0.31219995</v>
      </c>
      <c r="N16" s="4">
        <v>0.39636838000000002</v>
      </c>
      <c r="O16" s="4">
        <v>14</v>
      </c>
      <c r="P16" s="4">
        <v>14</v>
      </c>
      <c r="Q16" s="4">
        <v>12</v>
      </c>
      <c r="R16" s="6">
        <v>6.7000000000000004E-2</v>
      </c>
      <c r="S16" s="6">
        <v>0.11799999999999999</v>
      </c>
      <c r="T16" s="6">
        <v>0.14499999999999999</v>
      </c>
    </row>
    <row r="17" spans="1:20" ht="18" x14ac:dyDescent="0.2">
      <c r="A17" s="4" t="s">
        <v>1196</v>
      </c>
      <c r="B17" s="4" t="s">
        <v>1910</v>
      </c>
      <c r="C17" s="4" t="s">
        <v>48</v>
      </c>
      <c r="D17" s="4">
        <v>3</v>
      </c>
      <c r="E17" s="4" t="s">
        <v>283</v>
      </c>
      <c r="F17" s="4">
        <v>10</v>
      </c>
      <c r="G17" s="4">
        <v>9</v>
      </c>
      <c r="H17" s="4">
        <v>15</v>
      </c>
      <c r="I17" s="5">
        <v>7.3700000000000002E-4</v>
      </c>
      <c r="J17" s="5">
        <v>5.6099999999999998E-4</v>
      </c>
      <c r="K17" s="5">
        <v>5.4000000000000001E-4</v>
      </c>
      <c r="L17" s="4">
        <v>0.54525447000000005</v>
      </c>
      <c r="M17" s="4">
        <v>0.31219995</v>
      </c>
      <c r="N17" s="4">
        <v>0.62929606000000005</v>
      </c>
      <c r="O17" s="4">
        <v>25</v>
      </c>
      <c r="P17" s="4">
        <v>14</v>
      </c>
      <c r="Q17" s="4">
        <v>23</v>
      </c>
      <c r="R17" s="6">
        <v>0.189</v>
      </c>
      <c r="S17" s="6">
        <v>0.11799999999999999</v>
      </c>
      <c r="T17" s="6">
        <v>0.21199999999999999</v>
      </c>
    </row>
    <row r="18" spans="1:20" ht="18" x14ac:dyDescent="0.2">
      <c r="A18" s="4" t="s">
        <v>1197</v>
      </c>
      <c r="B18" s="4" t="s">
        <v>1911</v>
      </c>
      <c r="C18" s="4" t="s">
        <v>48</v>
      </c>
      <c r="D18" s="4">
        <v>3</v>
      </c>
      <c r="E18" s="4" t="s">
        <v>283</v>
      </c>
      <c r="F18" s="4">
        <v>4</v>
      </c>
      <c r="G18" s="4">
        <v>8</v>
      </c>
      <c r="H18" s="4">
        <v>3</v>
      </c>
      <c r="I18" s="5">
        <v>1.0399999999999999E-4</v>
      </c>
      <c r="J18" s="5">
        <v>2.22E-4</v>
      </c>
      <c r="K18" s="5">
        <v>7.08E-5</v>
      </c>
      <c r="L18" s="4">
        <v>6.4143060000000002E-2</v>
      </c>
      <c r="M18" s="4">
        <v>0.1324004</v>
      </c>
      <c r="N18" s="4">
        <v>3.0386090000000001E-2</v>
      </c>
      <c r="O18" s="4">
        <v>7</v>
      </c>
      <c r="P18" s="4">
        <v>11</v>
      </c>
      <c r="Q18" s="4">
        <v>6</v>
      </c>
      <c r="R18" s="6">
        <v>2.7E-2</v>
      </c>
      <c r="S18" s="6">
        <v>5.3999999999999999E-2</v>
      </c>
      <c r="T18" s="6">
        <v>1.2999999999999999E-2</v>
      </c>
    </row>
    <row r="19" spans="1:20" ht="18" x14ac:dyDescent="0.2">
      <c r="A19" s="4" t="s">
        <v>1198</v>
      </c>
      <c r="B19" s="4" t="s">
        <v>1912</v>
      </c>
      <c r="C19" s="4" t="s">
        <v>48</v>
      </c>
      <c r="D19" s="4">
        <v>3</v>
      </c>
      <c r="E19" s="4" t="s">
        <v>283</v>
      </c>
      <c r="F19" s="4">
        <v>12</v>
      </c>
      <c r="G19" s="4">
        <v>5</v>
      </c>
      <c r="H19" s="4">
        <v>14</v>
      </c>
      <c r="I19" s="5">
        <v>8.5700000000000001E-4</v>
      </c>
      <c r="J19" s="5">
        <v>2.41E-4</v>
      </c>
      <c r="K19" s="5">
        <v>4.4700000000000002E-4</v>
      </c>
      <c r="L19" s="4">
        <v>0.69044090000000002</v>
      </c>
      <c r="M19" s="4">
        <v>0.18576872</v>
      </c>
      <c r="N19" s="4">
        <v>0.60324540000000004</v>
      </c>
      <c r="O19" s="4">
        <v>29</v>
      </c>
      <c r="P19" s="4">
        <v>6</v>
      </c>
      <c r="Q19" s="4">
        <v>19</v>
      </c>
      <c r="R19" s="6">
        <v>0.22800000000000001</v>
      </c>
      <c r="S19" s="6">
        <v>7.3999999999999996E-2</v>
      </c>
      <c r="T19" s="6">
        <v>0.20499999999999999</v>
      </c>
    </row>
    <row r="20" spans="1:20" ht="18" x14ac:dyDescent="0.2">
      <c r="A20" s="4" t="s">
        <v>1199</v>
      </c>
      <c r="B20" s="4" t="s">
        <v>1913</v>
      </c>
      <c r="C20" s="7" t="s">
        <v>48</v>
      </c>
      <c r="D20" s="4">
        <v>3</v>
      </c>
      <c r="E20" s="4" t="s">
        <v>283</v>
      </c>
      <c r="F20" s="4">
        <v>21</v>
      </c>
      <c r="G20" s="4">
        <v>6</v>
      </c>
      <c r="H20" s="4">
        <v>10</v>
      </c>
      <c r="I20" s="4">
        <v>1.1813399999999999E-3</v>
      </c>
      <c r="J20" s="5">
        <v>3.28E-4</v>
      </c>
      <c r="K20" s="5">
        <v>2.5599999999999999E-4</v>
      </c>
      <c r="L20" s="4">
        <v>0.83653829999999996</v>
      </c>
      <c r="M20" s="4">
        <v>0.19398808000000001</v>
      </c>
      <c r="N20" s="4">
        <v>0.47231244999999999</v>
      </c>
      <c r="O20" s="4">
        <v>44</v>
      </c>
      <c r="P20" s="4">
        <v>9</v>
      </c>
      <c r="Q20" s="4">
        <v>12</v>
      </c>
      <c r="R20" s="6">
        <v>0.26400000000000001</v>
      </c>
      <c r="S20" s="6">
        <v>7.6999999999999999E-2</v>
      </c>
      <c r="T20" s="6">
        <v>0.16800000000000001</v>
      </c>
    </row>
    <row r="21" spans="1:20" ht="18" x14ac:dyDescent="0.2">
      <c r="A21" s="4" t="s">
        <v>1200</v>
      </c>
      <c r="B21" s="4" t="s">
        <v>1914</v>
      </c>
      <c r="C21" s="4" t="s">
        <v>48</v>
      </c>
      <c r="D21" s="4">
        <v>3</v>
      </c>
      <c r="E21" s="4" t="s">
        <v>283</v>
      </c>
      <c r="F21" s="4">
        <v>20</v>
      </c>
      <c r="G21" s="4">
        <v>3</v>
      </c>
      <c r="H21" s="4">
        <v>3</v>
      </c>
      <c r="I21" s="4">
        <v>1.49059E-3</v>
      </c>
      <c r="J21" s="5">
        <v>1.22E-4</v>
      </c>
      <c r="K21" s="5">
        <v>7.1199999999999996E-5</v>
      </c>
      <c r="L21" s="4">
        <v>0.39315676999999999</v>
      </c>
      <c r="M21" s="4">
        <v>7.6465249999999998E-2</v>
      </c>
      <c r="N21" s="4">
        <v>0.22461617</v>
      </c>
      <c r="O21" s="4">
        <v>50</v>
      </c>
      <c r="P21" s="4">
        <v>3</v>
      </c>
      <c r="Q21" s="4">
        <v>3</v>
      </c>
      <c r="R21" s="6">
        <v>0.14399999999999999</v>
      </c>
      <c r="S21" s="6">
        <v>3.2000000000000001E-2</v>
      </c>
      <c r="T21" s="6">
        <v>8.7999999999999995E-2</v>
      </c>
    </row>
    <row r="22" spans="1:20" ht="18" x14ac:dyDescent="0.2">
      <c r="A22" s="4" t="s">
        <v>1201</v>
      </c>
      <c r="B22" s="4" t="s">
        <v>1915</v>
      </c>
      <c r="C22" s="4" t="s">
        <v>48</v>
      </c>
      <c r="D22" s="4">
        <v>3</v>
      </c>
      <c r="E22" s="4" t="s">
        <v>283</v>
      </c>
      <c r="F22" s="4">
        <v>15</v>
      </c>
      <c r="G22" s="4">
        <v>9</v>
      </c>
      <c r="H22" s="4">
        <v>13</v>
      </c>
      <c r="I22" s="5">
        <v>9.3899999999999995E-4</v>
      </c>
      <c r="J22" s="5">
        <v>5.5800000000000001E-4</v>
      </c>
      <c r="K22" s="5">
        <v>4.2000000000000002E-4</v>
      </c>
      <c r="L22" s="4">
        <v>0.79887090000000005</v>
      </c>
      <c r="M22" s="4">
        <v>0.31219995</v>
      </c>
      <c r="N22" s="4">
        <v>0.64816236000000005</v>
      </c>
      <c r="O22" s="4">
        <v>32</v>
      </c>
      <c r="P22" s="4">
        <v>14</v>
      </c>
      <c r="Q22" s="4">
        <v>18</v>
      </c>
      <c r="R22" s="6">
        <v>0.255</v>
      </c>
      <c r="S22" s="6">
        <v>0.11799999999999999</v>
      </c>
      <c r="T22" s="6">
        <v>0.217</v>
      </c>
    </row>
    <row r="23" spans="1:20" ht="18" x14ac:dyDescent="0.2">
      <c r="A23" s="4" t="s">
        <v>1202</v>
      </c>
      <c r="B23" s="4" t="s">
        <v>1916</v>
      </c>
      <c r="C23" s="4" t="s">
        <v>48</v>
      </c>
      <c r="D23" s="4">
        <v>3</v>
      </c>
      <c r="E23" s="4" t="s">
        <v>283</v>
      </c>
      <c r="F23" s="4">
        <v>34</v>
      </c>
      <c r="G23" s="4">
        <v>7</v>
      </c>
      <c r="H23" s="4">
        <v>10</v>
      </c>
      <c r="I23" s="4">
        <v>2.7575899999999999E-3</v>
      </c>
      <c r="J23" s="5">
        <v>2.9100000000000003E-4</v>
      </c>
      <c r="K23" s="5">
        <v>2.4399999999999999E-4</v>
      </c>
      <c r="L23" s="4">
        <v>0.56314766000000005</v>
      </c>
      <c r="M23" s="4">
        <v>0.29121923</v>
      </c>
      <c r="N23" s="4">
        <v>0.46892630000000002</v>
      </c>
      <c r="O23" s="4">
        <v>90</v>
      </c>
      <c r="P23" s="4">
        <v>7</v>
      </c>
      <c r="Q23" s="4">
        <v>10</v>
      </c>
      <c r="R23" s="6">
        <v>0.19400000000000001</v>
      </c>
      <c r="S23" s="6">
        <v>0.111</v>
      </c>
      <c r="T23" s="6">
        <v>0.16700000000000001</v>
      </c>
    </row>
    <row r="24" spans="1:20" ht="18" x14ac:dyDescent="0.2">
      <c r="A24" s="4" t="s">
        <v>1203</v>
      </c>
      <c r="B24" s="4" t="s">
        <v>1917</v>
      </c>
      <c r="C24" s="4" t="s">
        <v>48</v>
      </c>
      <c r="D24" s="4">
        <v>3</v>
      </c>
      <c r="E24" s="4" t="s">
        <v>283</v>
      </c>
      <c r="F24" s="4">
        <v>3</v>
      </c>
      <c r="G24" s="4">
        <v>4</v>
      </c>
      <c r="H24" s="4">
        <v>3</v>
      </c>
      <c r="I24" s="5">
        <v>2.33E-4</v>
      </c>
      <c r="J24" s="5">
        <v>8.8599999999999996E-4</v>
      </c>
      <c r="K24" s="5">
        <v>4.4499999999999997E-4</v>
      </c>
      <c r="L24" s="4">
        <v>0.11173176999999999</v>
      </c>
      <c r="M24" s="4">
        <v>9.3956349999999994E-2</v>
      </c>
      <c r="N24" s="4">
        <v>8.3926920000000002E-2</v>
      </c>
      <c r="O24" s="4">
        <v>5</v>
      </c>
      <c r="P24" s="4">
        <v>14</v>
      </c>
      <c r="Q24" s="4">
        <v>12</v>
      </c>
      <c r="R24" s="6">
        <v>4.5999999999999999E-2</v>
      </c>
      <c r="S24" s="6">
        <v>3.9E-2</v>
      </c>
      <c r="T24" s="6">
        <v>3.5000000000000003E-2</v>
      </c>
    </row>
    <row r="25" spans="1:20" ht="18" x14ac:dyDescent="0.2">
      <c r="A25" s="4" t="s">
        <v>1204</v>
      </c>
      <c r="B25" s="4" t="s">
        <v>1918</v>
      </c>
      <c r="C25" s="4" t="s">
        <v>48</v>
      </c>
      <c r="D25" s="4">
        <v>3</v>
      </c>
      <c r="E25" s="4" t="s">
        <v>283</v>
      </c>
      <c r="F25" s="4">
        <v>21</v>
      </c>
      <c r="G25" s="4">
        <v>10</v>
      </c>
      <c r="H25" s="4">
        <v>10</v>
      </c>
      <c r="I25" s="4">
        <v>4.2482900000000001E-3</v>
      </c>
      <c r="J25" s="4">
        <v>1.3355800000000001E-3</v>
      </c>
      <c r="K25" s="5">
        <v>4.75E-4</v>
      </c>
      <c r="L25" s="4">
        <v>0.38995266000000001</v>
      </c>
      <c r="M25" s="4">
        <v>0.4521116</v>
      </c>
      <c r="N25" s="4">
        <v>0.21618604999999999</v>
      </c>
      <c r="O25" s="4">
        <v>121</v>
      </c>
      <c r="P25" s="4">
        <v>28</v>
      </c>
      <c r="Q25" s="4">
        <v>17</v>
      </c>
      <c r="R25" s="6">
        <v>0.14299999999999999</v>
      </c>
      <c r="S25" s="6">
        <v>0.16200000000000001</v>
      </c>
      <c r="T25" s="6">
        <v>8.5000000000000006E-2</v>
      </c>
    </row>
    <row r="26" spans="1:20" ht="18" x14ac:dyDescent="0.2">
      <c r="A26" s="4" t="s">
        <v>1205</v>
      </c>
      <c r="B26" s="4" t="s">
        <v>1919</v>
      </c>
      <c r="C26" s="4" t="s">
        <v>48</v>
      </c>
      <c r="D26" s="4">
        <v>3</v>
      </c>
      <c r="E26" s="4" t="s">
        <v>283</v>
      </c>
      <c r="F26" s="4">
        <v>3</v>
      </c>
      <c r="G26" s="4">
        <v>9</v>
      </c>
      <c r="H26" s="4">
        <v>7</v>
      </c>
      <c r="I26" s="5">
        <v>2.33E-4</v>
      </c>
      <c r="J26" s="4">
        <v>1.6463000000000001E-3</v>
      </c>
      <c r="K26" s="5">
        <v>7.0500000000000001E-4</v>
      </c>
      <c r="L26" s="4">
        <v>0.11173176999999999</v>
      </c>
      <c r="M26" s="4">
        <v>0.19398808000000001</v>
      </c>
      <c r="N26" s="4">
        <v>0.18576872</v>
      </c>
      <c r="O26" s="4">
        <v>5</v>
      </c>
      <c r="P26" s="4">
        <v>26</v>
      </c>
      <c r="Q26" s="4">
        <v>19</v>
      </c>
      <c r="R26" s="6">
        <v>4.5999999999999999E-2</v>
      </c>
      <c r="S26" s="6">
        <v>7.6999999999999999E-2</v>
      </c>
      <c r="T26" s="6">
        <v>7.3999999999999996E-2</v>
      </c>
    </row>
    <row r="27" spans="1:20" ht="18" x14ac:dyDescent="0.2">
      <c r="A27" s="4" t="s">
        <v>1206</v>
      </c>
      <c r="B27" s="4" t="s">
        <v>1920</v>
      </c>
      <c r="C27" s="4" t="s">
        <v>48</v>
      </c>
      <c r="D27" s="4">
        <v>2</v>
      </c>
      <c r="E27" s="4" t="s">
        <v>181</v>
      </c>
      <c r="F27" s="4">
        <v>3</v>
      </c>
      <c r="G27" s="4">
        <v>3</v>
      </c>
      <c r="H27" s="4">
        <v>0</v>
      </c>
      <c r="I27" s="5">
        <v>1.1400000000000001E-4</v>
      </c>
      <c r="J27" s="5">
        <v>9.2999999999999997E-5</v>
      </c>
      <c r="K27" s="4">
        <v>0</v>
      </c>
      <c r="L27" s="4">
        <v>3.7528400000000003E-2</v>
      </c>
      <c r="M27" s="4">
        <v>0.11429453000000001</v>
      </c>
      <c r="N27" s="4">
        <v>0</v>
      </c>
      <c r="O27" s="4">
        <v>5</v>
      </c>
      <c r="P27" s="4">
        <v>3</v>
      </c>
      <c r="Q27" s="4">
        <v>0</v>
      </c>
      <c r="R27" s="6">
        <v>1.6E-2</v>
      </c>
      <c r="S27" s="6">
        <v>4.7E-2</v>
      </c>
      <c r="T27" s="4">
        <v>0</v>
      </c>
    </row>
    <row r="28" spans="1:20" ht="18" x14ac:dyDescent="0.2">
      <c r="A28" s="4" t="s">
        <v>1207</v>
      </c>
      <c r="B28" s="4" t="s">
        <v>1921</v>
      </c>
      <c r="C28" s="4" t="s">
        <v>48</v>
      </c>
      <c r="D28" s="4">
        <v>3</v>
      </c>
      <c r="E28" s="4" t="s">
        <v>283</v>
      </c>
      <c r="F28" s="4">
        <v>38</v>
      </c>
      <c r="G28" s="4">
        <v>13</v>
      </c>
      <c r="H28" s="4">
        <v>24</v>
      </c>
      <c r="I28" s="4">
        <v>5.7534300000000003E-3</v>
      </c>
      <c r="J28" s="4">
        <v>1.6783799999999999E-3</v>
      </c>
      <c r="K28" s="4">
        <v>1.0673099999999999E-3</v>
      </c>
      <c r="L28" s="4">
        <v>1.2490547000000001</v>
      </c>
      <c r="M28" s="4">
        <v>0.67494284999999998</v>
      </c>
      <c r="N28" s="4">
        <v>1.0137240999999999</v>
      </c>
      <c r="O28" s="4">
        <v>163</v>
      </c>
      <c r="P28" s="4">
        <v>35</v>
      </c>
      <c r="Q28" s="4">
        <v>38</v>
      </c>
      <c r="R28" s="6">
        <v>0.35199999999999998</v>
      </c>
      <c r="S28" s="6">
        <v>0.224</v>
      </c>
      <c r="T28" s="6">
        <v>0.30399999999999999</v>
      </c>
    </row>
    <row r="29" spans="1:20" ht="18" x14ac:dyDescent="0.2">
      <c r="A29" s="4" t="s">
        <v>1208</v>
      </c>
      <c r="B29" s="4" t="s">
        <v>1922</v>
      </c>
      <c r="C29" s="4" t="s">
        <v>48</v>
      </c>
      <c r="D29" s="4">
        <v>3</v>
      </c>
      <c r="E29" s="4" t="s">
        <v>283</v>
      </c>
      <c r="F29" s="4">
        <v>3</v>
      </c>
      <c r="G29" s="4">
        <v>4</v>
      </c>
      <c r="H29" s="4">
        <v>3</v>
      </c>
      <c r="I29" s="5">
        <v>5.3399999999999997E-4</v>
      </c>
      <c r="J29" s="4">
        <v>2.0303000000000001E-3</v>
      </c>
      <c r="K29" s="4">
        <v>1.01929E-3</v>
      </c>
      <c r="L29" s="4">
        <v>0.27350307000000001</v>
      </c>
      <c r="M29" s="4">
        <v>0.22743917</v>
      </c>
      <c r="N29" s="4">
        <v>0.20503592000000001</v>
      </c>
      <c r="O29" s="4">
        <v>5</v>
      </c>
      <c r="P29" s="4">
        <v>14</v>
      </c>
      <c r="Q29" s="4">
        <v>12</v>
      </c>
      <c r="R29" s="6">
        <v>0.105</v>
      </c>
      <c r="S29" s="6">
        <v>8.8999999999999996E-2</v>
      </c>
      <c r="T29" s="6">
        <v>8.1000000000000003E-2</v>
      </c>
    </row>
    <row r="30" spans="1:20" ht="18" x14ac:dyDescent="0.2">
      <c r="A30" s="4" t="s">
        <v>1209</v>
      </c>
      <c r="B30" s="4" t="s">
        <v>1923</v>
      </c>
      <c r="C30" s="4" t="s">
        <v>1924</v>
      </c>
      <c r="D30" s="4">
        <v>3</v>
      </c>
      <c r="E30" s="4" t="s">
        <v>283</v>
      </c>
      <c r="F30" s="4">
        <v>3</v>
      </c>
      <c r="G30" s="4">
        <v>2</v>
      </c>
      <c r="H30" s="4">
        <v>2</v>
      </c>
      <c r="I30" s="5">
        <v>6.1600000000000001E-4</v>
      </c>
      <c r="J30" s="5">
        <v>4.1800000000000002E-4</v>
      </c>
      <c r="K30" s="5">
        <v>2.4499999999999999E-4</v>
      </c>
      <c r="L30" s="4">
        <v>0.38038432999999999</v>
      </c>
      <c r="M30" s="4">
        <v>0.455459</v>
      </c>
      <c r="N30" s="4">
        <v>0.455459</v>
      </c>
      <c r="O30" s="4">
        <v>4</v>
      </c>
      <c r="P30" s="4">
        <v>2</v>
      </c>
      <c r="Q30" s="4">
        <v>2</v>
      </c>
      <c r="R30" s="6">
        <v>0.14000000000000001</v>
      </c>
      <c r="S30" s="6">
        <v>0.16300000000000001</v>
      </c>
      <c r="T30" s="6">
        <v>0.16300000000000001</v>
      </c>
    </row>
    <row r="31" spans="1:20" ht="18" x14ac:dyDescent="0.2">
      <c r="A31" s="4" t="s">
        <v>1210</v>
      </c>
      <c r="B31" s="4" t="s">
        <v>1925</v>
      </c>
      <c r="C31" s="4" t="s">
        <v>1924</v>
      </c>
      <c r="D31" s="4">
        <v>3</v>
      </c>
      <c r="E31" s="4" t="s">
        <v>283</v>
      </c>
      <c r="F31" s="4">
        <v>3</v>
      </c>
      <c r="G31" s="4">
        <v>2</v>
      </c>
      <c r="H31" s="4">
        <v>2</v>
      </c>
      <c r="I31" s="5">
        <v>6.1600000000000001E-4</v>
      </c>
      <c r="J31" s="5">
        <v>4.1800000000000002E-4</v>
      </c>
      <c r="K31" s="5">
        <v>2.4499999999999999E-4</v>
      </c>
      <c r="L31" s="4">
        <v>0.38038432999999999</v>
      </c>
      <c r="M31" s="4">
        <v>0.455459</v>
      </c>
      <c r="N31" s="4">
        <v>0.455459</v>
      </c>
      <c r="O31" s="4">
        <v>4</v>
      </c>
      <c r="P31" s="4">
        <v>2</v>
      </c>
      <c r="Q31" s="4">
        <v>2</v>
      </c>
      <c r="R31" s="6">
        <v>0.14000000000000001</v>
      </c>
      <c r="S31" s="6">
        <v>0.16300000000000001</v>
      </c>
      <c r="T31" s="6">
        <v>0.16300000000000001</v>
      </c>
    </row>
    <row r="32" spans="1:20" ht="18" x14ac:dyDescent="0.2">
      <c r="A32" s="4" t="s">
        <v>1211</v>
      </c>
      <c r="B32" s="4" t="s">
        <v>1926</v>
      </c>
      <c r="C32" s="4" t="s">
        <v>1924</v>
      </c>
      <c r="D32" s="4">
        <v>3</v>
      </c>
      <c r="E32" s="4" t="s">
        <v>283</v>
      </c>
      <c r="F32" s="4">
        <v>3</v>
      </c>
      <c r="G32" s="4">
        <v>7</v>
      </c>
      <c r="H32" s="4">
        <v>7</v>
      </c>
      <c r="I32" s="5">
        <v>3.5199999999999999E-4</v>
      </c>
      <c r="J32" s="5">
        <v>6.9200000000000002E-4</v>
      </c>
      <c r="K32" s="5">
        <v>3.1199999999999999E-4</v>
      </c>
      <c r="L32" s="4">
        <v>0.13762724000000001</v>
      </c>
      <c r="M32" s="4">
        <v>0.55596566000000003</v>
      </c>
      <c r="N32" s="4">
        <v>0.42560756</v>
      </c>
      <c r="O32" s="4">
        <v>9</v>
      </c>
      <c r="P32" s="4">
        <v>13</v>
      </c>
      <c r="Q32" s="4">
        <v>10</v>
      </c>
      <c r="R32" s="6">
        <v>5.6000000000000001E-2</v>
      </c>
      <c r="S32" s="6">
        <v>0.192</v>
      </c>
      <c r="T32" s="6">
        <v>0.154</v>
      </c>
    </row>
    <row r="33" spans="1:20" ht="18" x14ac:dyDescent="0.2">
      <c r="A33" s="4" t="s">
        <v>1212</v>
      </c>
      <c r="B33" s="4" t="s">
        <v>1927</v>
      </c>
      <c r="C33" s="4" t="s">
        <v>50</v>
      </c>
      <c r="D33" s="4">
        <v>3</v>
      </c>
      <c r="E33" s="4" t="s">
        <v>283</v>
      </c>
      <c r="F33" s="4">
        <v>2</v>
      </c>
      <c r="G33" s="4">
        <v>4</v>
      </c>
      <c r="H33" s="4">
        <v>2</v>
      </c>
      <c r="I33" s="5">
        <v>1.6100000000000001E-4</v>
      </c>
      <c r="J33" s="5">
        <v>4.3899999999999999E-4</v>
      </c>
      <c r="K33" s="5">
        <v>8.5599999999999994E-5</v>
      </c>
      <c r="L33" s="4">
        <v>0.31219995</v>
      </c>
      <c r="M33" s="4">
        <v>0.18304156999999999</v>
      </c>
      <c r="N33" s="4">
        <v>7.8946710000000003E-2</v>
      </c>
      <c r="O33" s="4">
        <v>3</v>
      </c>
      <c r="P33" s="4">
        <v>6</v>
      </c>
      <c r="Q33" s="4">
        <v>2</v>
      </c>
      <c r="R33" s="6">
        <v>0.11799999999999999</v>
      </c>
      <c r="S33" s="6">
        <v>7.2999999999999995E-2</v>
      </c>
      <c r="T33" s="6">
        <v>3.3000000000000002E-2</v>
      </c>
    </row>
    <row r="34" spans="1:20" ht="18" x14ac:dyDescent="0.2">
      <c r="A34" s="4" t="s">
        <v>1213</v>
      </c>
      <c r="B34" s="4" t="s">
        <v>1928</v>
      </c>
      <c r="C34" s="4" t="s">
        <v>1929</v>
      </c>
      <c r="D34" s="4">
        <v>3</v>
      </c>
      <c r="E34" s="4" t="s">
        <v>283</v>
      </c>
      <c r="F34" s="4">
        <v>6</v>
      </c>
      <c r="G34" s="4">
        <v>12</v>
      </c>
      <c r="H34" s="4">
        <v>6</v>
      </c>
      <c r="I34" s="4">
        <v>1.06602E-3</v>
      </c>
      <c r="J34" s="4">
        <v>3.2586E-3</v>
      </c>
      <c r="K34" s="5">
        <v>9.19E-4</v>
      </c>
      <c r="L34" s="4">
        <v>0.30016959999999998</v>
      </c>
      <c r="M34" s="4">
        <v>0.66341269999999997</v>
      </c>
      <c r="N34" s="4">
        <v>0.30016959999999998</v>
      </c>
      <c r="O34" s="4">
        <v>12</v>
      </c>
      <c r="P34" s="4">
        <v>27</v>
      </c>
      <c r="Q34" s="4">
        <v>13</v>
      </c>
      <c r="R34" s="6">
        <v>0.114</v>
      </c>
      <c r="S34" s="6">
        <v>0.221</v>
      </c>
      <c r="T34" s="6">
        <v>0.114</v>
      </c>
    </row>
    <row r="35" spans="1:20" ht="18" x14ac:dyDescent="0.2">
      <c r="A35" s="4" t="s">
        <v>1214</v>
      </c>
      <c r="B35" s="4" t="s">
        <v>1930</v>
      </c>
      <c r="C35" s="4" t="s">
        <v>1929</v>
      </c>
      <c r="D35" s="4">
        <v>3</v>
      </c>
      <c r="E35" s="4" t="s">
        <v>283</v>
      </c>
      <c r="F35" s="4">
        <v>2</v>
      </c>
      <c r="G35" s="4">
        <v>9</v>
      </c>
      <c r="H35" s="4">
        <v>29</v>
      </c>
      <c r="I35" s="5">
        <v>4.0500000000000002E-5</v>
      </c>
      <c r="J35" s="5">
        <v>3.6699999999999998E-4</v>
      </c>
      <c r="K35" s="5">
        <v>6.3299999999999999E-4</v>
      </c>
      <c r="L35" s="4">
        <v>3.2761459999999999E-2</v>
      </c>
      <c r="M35" s="4">
        <v>0.1614486</v>
      </c>
      <c r="N35" s="4">
        <v>0.43879855000000001</v>
      </c>
      <c r="O35" s="4">
        <v>3</v>
      </c>
      <c r="P35" s="4">
        <v>20</v>
      </c>
      <c r="Q35" s="4">
        <v>59</v>
      </c>
      <c r="R35" s="6">
        <v>1.4E-2</v>
      </c>
      <c r="S35" s="6">
        <v>6.5000000000000002E-2</v>
      </c>
      <c r="T35" s="6">
        <v>0.158</v>
      </c>
    </row>
    <row r="36" spans="1:20" ht="18" x14ac:dyDescent="0.2">
      <c r="A36" s="4" t="s">
        <v>1215</v>
      </c>
      <c r="B36" s="4" t="s">
        <v>1931</v>
      </c>
      <c r="C36" s="4" t="s">
        <v>1929</v>
      </c>
      <c r="D36" s="4">
        <v>3</v>
      </c>
      <c r="E36" s="4" t="s">
        <v>283</v>
      </c>
      <c r="F36" s="4">
        <v>4</v>
      </c>
      <c r="G36" s="4">
        <v>43</v>
      </c>
      <c r="H36" s="4">
        <v>28</v>
      </c>
      <c r="I36" s="5">
        <v>1.54E-4</v>
      </c>
      <c r="J36" s="4">
        <v>4.6109300000000001E-3</v>
      </c>
      <c r="K36" s="4">
        <v>1.8413800000000001E-3</v>
      </c>
      <c r="L36" s="4">
        <v>8.8930129999999996E-2</v>
      </c>
      <c r="M36" s="4">
        <v>0.79473364000000002</v>
      </c>
      <c r="N36" s="4">
        <v>0.57036279999999995</v>
      </c>
      <c r="O36" s="4">
        <v>5</v>
      </c>
      <c r="P36" s="4">
        <v>110</v>
      </c>
      <c r="Q36" s="4">
        <v>75</v>
      </c>
      <c r="R36" s="6">
        <v>3.6999999999999998E-2</v>
      </c>
      <c r="S36" s="6">
        <v>0.254</v>
      </c>
      <c r="T36" s="6">
        <v>0.19600000000000001</v>
      </c>
    </row>
    <row r="37" spans="1:20" ht="18" x14ac:dyDescent="0.2">
      <c r="A37" s="4" t="s">
        <v>1216</v>
      </c>
      <c r="B37" s="4" t="s">
        <v>1932</v>
      </c>
      <c r="C37" s="4" t="s">
        <v>1929</v>
      </c>
      <c r="D37" s="4">
        <v>3</v>
      </c>
      <c r="E37" s="4" t="s">
        <v>283</v>
      </c>
      <c r="F37" s="4">
        <v>2</v>
      </c>
      <c r="G37" s="4">
        <v>3</v>
      </c>
      <c r="H37" s="4">
        <v>3</v>
      </c>
      <c r="I37" s="5">
        <v>4.8699999999999998E-5</v>
      </c>
      <c r="J37" s="5">
        <v>4.2999999999999999E-4</v>
      </c>
      <c r="K37" s="5">
        <v>2.32E-4</v>
      </c>
      <c r="L37" s="4">
        <v>3.9920209999999998E-2</v>
      </c>
      <c r="M37" s="4">
        <v>3.9920209999999998E-2</v>
      </c>
      <c r="N37" s="4">
        <v>3.9920209999999998E-2</v>
      </c>
      <c r="O37" s="4">
        <v>2</v>
      </c>
      <c r="P37" s="4">
        <v>13</v>
      </c>
      <c r="Q37" s="4">
        <v>12</v>
      </c>
      <c r="R37" s="6">
        <v>1.7000000000000001E-2</v>
      </c>
      <c r="S37" s="6">
        <v>1.7000000000000001E-2</v>
      </c>
      <c r="T37" s="6">
        <v>1.7000000000000001E-2</v>
      </c>
    </row>
    <row r="38" spans="1:20" ht="18" x14ac:dyDescent="0.2">
      <c r="A38" s="4" t="s">
        <v>1217</v>
      </c>
      <c r="B38" s="4" t="s">
        <v>1933</v>
      </c>
      <c r="C38" s="4" t="s">
        <v>1929</v>
      </c>
      <c r="D38" s="4">
        <v>3</v>
      </c>
      <c r="E38" s="4" t="s">
        <v>283</v>
      </c>
      <c r="F38" s="4">
        <v>8</v>
      </c>
      <c r="G38" s="4">
        <v>19</v>
      </c>
      <c r="H38" s="4">
        <v>18</v>
      </c>
      <c r="I38" s="5">
        <v>4.44E-4</v>
      </c>
      <c r="J38" s="4">
        <v>1.49062E-3</v>
      </c>
      <c r="K38" s="5">
        <v>9.8499999999999998E-4</v>
      </c>
      <c r="L38" s="4">
        <v>0.13762724000000001</v>
      </c>
      <c r="M38" s="4">
        <v>0.29717934000000001</v>
      </c>
      <c r="N38" s="4">
        <v>0.30316674999999998</v>
      </c>
      <c r="O38" s="4">
        <v>19</v>
      </c>
      <c r="P38" s="4">
        <v>47</v>
      </c>
      <c r="Q38" s="4">
        <v>53</v>
      </c>
      <c r="R38" s="6">
        <v>5.6000000000000001E-2</v>
      </c>
      <c r="S38" s="6">
        <v>0.113</v>
      </c>
      <c r="T38" s="6">
        <v>0.115</v>
      </c>
    </row>
    <row r="39" spans="1:20" ht="18" x14ac:dyDescent="0.2">
      <c r="A39" s="4" t="s">
        <v>1218</v>
      </c>
      <c r="B39" s="4" t="s">
        <v>1934</v>
      </c>
      <c r="C39" s="4" t="s">
        <v>1929</v>
      </c>
      <c r="D39" s="4">
        <v>3</v>
      </c>
      <c r="E39" s="4" t="s">
        <v>283</v>
      </c>
      <c r="F39" s="4">
        <v>2</v>
      </c>
      <c r="G39" s="4">
        <v>7</v>
      </c>
      <c r="H39" s="4">
        <v>7</v>
      </c>
      <c r="I39" s="5">
        <v>7.2299999999999996E-5</v>
      </c>
      <c r="J39" s="4">
        <v>1.1791900000000001E-3</v>
      </c>
      <c r="K39" s="4">
        <v>1.1798900000000001E-3</v>
      </c>
      <c r="L39" s="4">
        <v>5.9253689999999998E-2</v>
      </c>
      <c r="M39" s="4">
        <v>0.20781385999999999</v>
      </c>
      <c r="N39" s="4">
        <v>0.14024972999999999</v>
      </c>
      <c r="O39" s="4">
        <v>2</v>
      </c>
      <c r="P39" s="4">
        <v>24</v>
      </c>
      <c r="Q39" s="4">
        <v>41</v>
      </c>
      <c r="R39" s="6">
        <v>2.5000000000000001E-2</v>
      </c>
      <c r="S39" s="6">
        <v>8.2000000000000003E-2</v>
      </c>
      <c r="T39" s="6">
        <v>5.7000000000000002E-2</v>
      </c>
    </row>
    <row r="40" spans="1:20" ht="18" x14ac:dyDescent="0.2">
      <c r="A40" s="4" t="s">
        <v>1219</v>
      </c>
      <c r="B40" s="4" t="s">
        <v>1935</v>
      </c>
      <c r="C40" s="4" t="s">
        <v>1929</v>
      </c>
      <c r="D40" s="4">
        <v>3</v>
      </c>
      <c r="E40" s="4" t="s">
        <v>283</v>
      </c>
      <c r="F40" s="4">
        <v>5</v>
      </c>
      <c r="G40" s="4">
        <v>47</v>
      </c>
      <c r="H40" s="4">
        <v>14</v>
      </c>
      <c r="I40" s="5">
        <v>1.64E-4</v>
      </c>
      <c r="J40" s="4">
        <v>3.4853000000000002E-3</v>
      </c>
      <c r="K40" s="5">
        <v>8.8999999999999995E-4</v>
      </c>
      <c r="L40" s="4">
        <v>9.9005819999999994E-2</v>
      </c>
      <c r="M40" s="4">
        <v>1.3496326999999999</v>
      </c>
      <c r="N40" s="4">
        <v>0.31825673999999998</v>
      </c>
      <c r="O40" s="4">
        <v>6</v>
      </c>
      <c r="P40" s="4">
        <v>94</v>
      </c>
      <c r="Q40" s="4">
        <v>41</v>
      </c>
      <c r="R40" s="6">
        <v>4.1000000000000002E-2</v>
      </c>
      <c r="S40" s="6">
        <v>0.371</v>
      </c>
      <c r="T40" s="6">
        <v>0.12</v>
      </c>
    </row>
    <row r="41" spans="1:20" ht="18" x14ac:dyDescent="0.2">
      <c r="A41" s="4" t="s">
        <v>1220</v>
      </c>
      <c r="B41" s="4" t="s">
        <v>1936</v>
      </c>
      <c r="C41" s="4" t="s">
        <v>1929</v>
      </c>
      <c r="D41" s="4">
        <v>3</v>
      </c>
      <c r="E41" s="4" t="s">
        <v>283</v>
      </c>
      <c r="F41" s="4">
        <v>9</v>
      </c>
      <c r="G41" s="4">
        <v>6</v>
      </c>
      <c r="H41" s="4">
        <v>14</v>
      </c>
      <c r="I41" s="5">
        <v>4.9899999999999999E-4</v>
      </c>
      <c r="J41" s="5">
        <v>3.9899999999999999E-4</v>
      </c>
      <c r="K41" s="5">
        <v>4.8999999999999998E-4</v>
      </c>
      <c r="L41" s="4">
        <v>0.53461694999999998</v>
      </c>
      <c r="M41" s="4">
        <v>0.19674051000000001</v>
      </c>
      <c r="N41" s="4">
        <v>0.61435854000000001</v>
      </c>
      <c r="O41" s="4">
        <v>17</v>
      </c>
      <c r="P41" s="4">
        <v>10</v>
      </c>
      <c r="Q41" s="4">
        <v>21</v>
      </c>
      <c r="R41" s="6">
        <v>0.186</v>
      </c>
      <c r="S41" s="6">
        <v>7.8E-2</v>
      </c>
      <c r="T41" s="6">
        <v>0.20799999999999999</v>
      </c>
    </row>
    <row r="42" spans="1:20" ht="18" x14ac:dyDescent="0.2">
      <c r="A42" s="4" t="s">
        <v>1221</v>
      </c>
      <c r="B42" s="4" t="s">
        <v>1937</v>
      </c>
      <c r="C42" s="4" t="s">
        <v>1929</v>
      </c>
      <c r="D42" s="4">
        <v>3</v>
      </c>
      <c r="E42" s="4" t="s">
        <v>283</v>
      </c>
      <c r="F42" s="4">
        <v>3</v>
      </c>
      <c r="G42" s="4">
        <v>9</v>
      </c>
      <c r="H42" s="4">
        <v>6</v>
      </c>
      <c r="I42" s="5">
        <v>3.3300000000000002E-4</v>
      </c>
      <c r="J42" s="4">
        <v>1.2651100000000001E-3</v>
      </c>
      <c r="K42" s="5">
        <v>4.7600000000000002E-4</v>
      </c>
      <c r="L42" s="4">
        <v>0.13501083999999999</v>
      </c>
      <c r="M42" s="4">
        <v>0.43218790000000001</v>
      </c>
      <c r="N42" s="4">
        <v>0.27643883000000002</v>
      </c>
      <c r="O42" s="4">
        <v>5</v>
      </c>
      <c r="P42" s="4">
        <v>14</v>
      </c>
      <c r="Q42" s="4">
        <v>9</v>
      </c>
      <c r="R42" s="6">
        <v>5.5E-2</v>
      </c>
      <c r="S42" s="6">
        <v>0.156</v>
      </c>
      <c r="T42" s="6">
        <v>0.106</v>
      </c>
    </row>
    <row r="43" spans="1:20" ht="18" x14ac:dyDescent="0.2">
      <c r="A43" s="4" t="s">
        <v>1222</v>
      </c>
      <c r="B43" s="4" t="s">
        <v>1938</v>
      </c>
      <c r="C43" s="4" t="s">
        <v>1929</v>
      </c>
      <c r="D43" s="4">
        <v>3</v>
      </c>
      <c r="E43" s="4" t="s">
        <v>283</v>
      </c>
      <c r="F43" s="4">
        <v>2</v>
      </c>
      <c r="G43" s="4">
        <v>3</v>
      </c>
      <c r="H43" s="4">
        <v>3</v>
      </c>
      <c r="I43" s="5">
        <v>5.1600000000000001E-5</v>
      </c>
      <c r="J43" s="5">
        <v>4.5600000000000003E-4</v>
      </c>
      <c r="K43" s="5">
        <v>2.4600000000000002E-4</v>
      </c>
      <c r="L43" s="4">
        <v>4.2317390000000003E-2</v>
      </c>
      <c r="M43" s="4">
        <v>4.2317390000000003E-2</v>
      </c>
      <c r="N43" s="4">
        <v>4.2317390000000003E-2</v>
      </c>
      <c r="O43" s="4">
        <v>2</v>
      </c>
      <c r="P43" s="4">
        <v>13</v>
      </c>
      <c r="Q43" s="4">
        <v>12</v>
      </c>
      <c r="R43" s="6">
        <v>1.7999999999999999E-2</v>
      </c>
      <c r="S43" s="6">
        <v>1.7999999999999999E-2</v>
      </c>
      <c r="T43" s="6">
        <v>1.7999999999999999E-2</v>
      </c>
    </row>
    <row r="44" spans="1:20" ht="18" x14ac:dyDescent="0.2">
      <c r="A44" s="4" t="s">
        <v>1223</v>
      </c>
      <c r="B44" s="4" t="s">
        <v>1939</v>
      </c>
      <c r="C44" s="4" t="s">
        <v>1929</v>
      </c>
      <c r="D44" s="4">
        <v>3</v>
      </c>
      <c r="E44" s="4" t="s">
        <v>283</v>
      </c>
      <c r="F44" s="4">
        <v>6</v>
      </c>
      <c r="G44" s="4">
        <v>10</v>
      </c>
      <c r="H44" s="4">
        <v>9</v>
      </c>
      <c r="I44" s="5">
        <v>3.1700000000000001E-4</v>
      </c>
      <c r="J44" s="4">
        <v>1.01862E-3</v>
      </c>
      <c r="K44" s="4">
        <v>1.1014600000000001E-3</v>
      </c>
      <c r="L44" s="4">
        <v>9.3956349999999994E-2</v>
      </c>
      <c r="M44" s="4">
        <v>0.14551294000000001</v>
      </c>
      <c r="N44" s="4">
        <v>9.3956349999999994E-2</v>
      </c>
      <c r="O44" s="4">
        <v>11</v>
      </c>
      <c r="P44" s="4">
        <v>26</v>
      </c>
      <c r="Q44" s="4">
        <v>48</v>
      </c>
      <c r="R44" s="6">
        <v>3.9E-2</v>
      </c>
      <c r="S44" s="6">
        <v>5.8999999999999997E-2</v>
      </c>
      <c r="T44" s="6">
        <v>3.9E-2</v>
      </c>
    </row>
    <row r="45" spans="1:20" ht="18" x14ac:dyDescent="0.2">
      <c r="A45" s="4" t="s">
        <v>1224</v>
      </c>
      <c r="B45" s="4" t="s">
        <v>1940</v>
      </c>
      <c r="C45" s="4" t="s">
        <v>1929</v>
      </c>
      <c r="D45" s="4">
        <v>3</v>
      </c>
      <c r="E45" s="4" t="s">
        <v>283</v>
      </c>
      <c r="F45" s="4">
        <v>3</v>
      </c>
      <c r="G45" s="4">
        <v>3</v>
      </c>
      <c r="H45" s="4">
        <v>3</v>
      </c>
      <c r="I45" s="5">
        <v>1.5200000000000001E-4</v>
      </c>
      <c r="J45" s="5">
        <v>1.7200000000000001E-4</v>
      </c>
      <c r="K45" s="5">
        <v>1.11E-4</v>
      </c>
      <c r="L45" s="4">
        <v>1.8591400000000001E-2</v>
      </c>
      <c r="M45" s="4">
        <v>1.8591400000000001E-2</v>
      </c>
      <c r="N45" s="4">
        <v>1.8591400000000001E-2</v>
      </c>
      <c r="O45" s="4">
        <v>12</v>
      </c>
      <c r="P45" s="4">
        <v>10</v>
      </c>
      <c r="Q45" s="4">
        <v>11</v>
      </c>
      <c r="R45" s="6">
        <v>8.0000000000000002E-3</v>
      </c>
      <c r="S45" s="6">
        <v>8.0000000000000002E-3</v>
      </c>
      <c r="T45" s="6">
        <v>8.0000000000000002E-3</v>
      </c>
    </row>
    <row r="46" spans="1:20" ht="18" x14ac:dyDescent="0.2">
      <c r="A46" s="4" t="s">
        <v>1225</v>
      </c>
      <c r="B46" s="4" t="s">
        <v>1941</v>
      </c>
      <c r="C46" s="4" t="s">
        <v>1929</v>
      </c>
      <c r="D46" s="4">
        <v>3</v>
      </c>
      <c r="E46" s="4" t="s">
        <v>283</v>
      </c>
      <c r="F46" s="4">
        <v>34</v>
      </c>
      <c r="G46" s="4">
        <v>85</v>
      </c>
      <c r="H46" s="4">
        <v>120</v>
      </c>
      <c r="I46" s="4">
        <v>1.1863900000000001E-3</v>
      </c>
      <c r="J46" s="4">
        <v>7.4901400000000002E-3</v>
      </c>
      <c r="K46" s="4">
        <v>9.5145799999999999E-3</v>
      </c>
      <c r="L46" s="4">
        <v>0.57398294999999999</v>
      </c>
      <c r="M46" s="4">
        <v>1.8510184000000001</v>
      </c>
      <c r="N46" s="4">
        <v>1.7861210999999999</v>
      </c>
      <c r="O46" s="4">
        <v>51</v>
      </c>
      <c r="P46" s="4">
        <v>237</v>
      </c>
      <c r="Q46" s="4">
        <v>514</v>
      </c>
      <c r="R46" s="6">
        <v>0.19700000000000001</v>
      </c>
      <c r="S46" s="6">
        <v>0.45500000000000002</v>
      </c>
      <c r="T46" s="6">
        <v>0.44500000000000001</v>
      </c>
    </row>
    <row r="47" spans="1:20" ht="18" x14ac:dyDescent="0.2">
      <c r="A47" s="4" t="s">
        <v>1226</v>
      </c>
      <c r="B47" s="4" t="s">
        <v>1942</v>
      </c>
      <c r="C47" s="4" t="s">
        <v>1929</v>
      </c>
      <c r="D47" s="4">
        <v>3</v>
      </c>
      <c r="E47" s="4" t="s">
        <v>283</v>
      </c>
      <c r="F47" s="4">
        <v>4</v>
      </c>
      <c r="G47" s="4">
        <v>81</v>
      </c>
      <c r="H47" s="4">
        <v>65</v>
      </c>
      <c r="I47" s="5">
        <v>1.4899999999999999E-4</v>
      </c>
      <c r="J47" s="4">
        <v>7.8344299999999999E-3</v>
      </c>
      <c r="K47" s="4">
        <v>3.4237099999999999E-3</v>
      </c>
      <c r="L47" s="4">
        <v>8.6425660000000001E-2</v>
      </c>
      <c r="M47" s="4">
        <v>2.2885165000000001</v>
      </c>
      <c r="N47" s="4">
        <v>1.7861210999999999</v>
      </c>
      <c r="O47" s="4">
        <v>5</v>
      </c>
      <c r="P47" s="4">
        <v>193</v>
      </c>
      <c r="Q47" s="4">
        <v>144</v>
      </c>
      <c r="R47" s="6">
        <v>3.5999999999999997E-2</v>
      </c>
      <c r="S47" s="6">
        <v>0.51700000000000002</v>
      </c>
      <c r="T47" s="6">
        <v>0.44500000000000001</v>
      </c>
    </row>
    <row r="48" spans="1:20" ht="18" x14ac:dyDescent="0.2">
      <c r="A48" s="4" t="s">
        <v>1227</v>
      </c>
      <c r="B48" s="4" t="s">
        <v>1943</v>
      </c>
      <c r="C48" s="4" t="s">
        <v>1929</v>
      </c>
      <c r="D48" s="4">
        <v>3</v>
      </c>
      <c r="E48" s="4" t="s">
        <v>283</v>
      </c>
      <c r="F48" s="4">
        <v>8</v>
      </c>
      <c r="G48" s="4">
        <v>66</v>
      </c>
      <c r="H48" s="4">
        <v>32</v>
      </c>
      <c r="I48" s="5">
        <v>2.6499999999999999E-4</v>
      </c>
      <c r="J48" s="4">
        <v>5.9274599999999998E-3</v>
      </c>
      <c r="K48" s="4">
        <v>2.0408499999999999E-3</v>
      </c>
      <c r="L48" s="4">
        <v>0.15345323</v>
      </c>
      <c r="M48" s="4">
        <v>1.9991623999999999</v>
      </c>
      <c r="N48" s="4">
        <v>0.46892630000000002</v>
      </c>
      <c r="O48" s="4">
        <v>9</v>
      </c>
      <c r="P48" s="4">
        <v>148</v>
      </c>
      <c r="Q48" s="4">
        <v>87</v>
      </c>
      <c r="R48" s="6">
        <v>6.2E-2</v>
      </c>
      <c r="S48" s="6">
        <v>0.47699999999999998</v>
      </c>
      <c r="T48" s="6">
        <v>0.16700000000000001</v>
      </c>
    </row>
    <row r="49" spans="1:20" ht="18" x14ac:dyDescent="0.2">
      <c r="A49" s="4" t="s">
        <v>1228</v>
      </c>
      <c r="B49" s="4" t="s">
        <v>1944</v>
      </c>
      <c r="C49" s="4" t="s">
        <v>1929</v>
      </c>
      <c r="D49" s="4">
        <v>3</v>
      </c>
      <c r="E49" s="4" t="s">
        <v>283</v>
      </c>
      <c r="F49" s="4">
        <v>16</v>
      </c>
      <c r="G49" s="4">
        <v>39</v>
      </c>
      <c r="H49" s="4">
        <v>43</v>
      </c>
      <c r="I49" s="5">
        <v>5.8600000000000004E-4</v>
      </c>
      <c r="J49" s="4">
        <v>3.73975E-3</v>
      </c>
      <c r="K49" s="4">
        <v>4.10122E-3</v>
      </c>
      <c r="L49" s="4">
        <v>0.33045447</v>
      </c>
      <c r="M49" s="4">
        <v>0.70608245999999997</v>
      </c>
      <c r="N49" s="4">
        <v>0.62929606000000005</v>
      </c>
      <c r="O49" s="4">
        <v>20</v>
      </c>
      <c r="P49" s="4">
        <v>94</v>
      </c>
      <c r="Q49" s="4">
        <v>176</v>
      </c>
      <c r="R49" s="6">
        <v>0.124</v>
      </c>
      <c r="S49" s="6">
        <v>0.23200000000000001</v>
      </c>
      <c r="T49" s="6">
        <v>0.21199999999999999</v>
      </c>
    </row>
    <row r="50" spans="1:20" ht="18" x14ac:dyDescent="0.2">
      <c r="A50" s="4" t="s">
        <v>1229</v>
      </c>
      <c r="B50" s="4" t="s">
        <v>1938</v>
      </c>
      <c r="C50" s="4" t="s">
        <v>1929</v>
      </c>
      <c r="D50" s="4">
        <v>3</v>
      </c>
      <c r="E50" s="4" t="s">
        <v>283</v>
      </c>
      <c r="F50" s="4">
        <v>2</v>
      </c>
      <c r="G50" s="4">
        <v>3</v>
      </c>
      <c r="H50" s="4">
        <v>3</v>
      </c>
      <c r="I50" s="5">
        <v>5.4200000000000003E-5</v>
      </c>
      <c r="J50" s="5">
        <v>4.7899999999999999E-4</v>
      </c>
      <c r="K50" s="5">
        <v>2.5900000000000001E-4</v>
      </c>
      <c r="L50" s="4">
        <v>4.2317390000000003E-2</v>
      </c>
      <c r="M50" s="4">
        <v>4.2317390000000003E-2</v>
      </c>
      <c r="N50" s="4">
        <v>4.2317390000000003E-2</v>
      </c>
      <c r="O50" s="4">
        <v>2</v>
      </c>
      <c r="P50" s="4">
        <v>13</v>
      </c>
      <c r="Q50" s="4">
        <v>12</v>
      </c>
      <c r="R50" s="6">
        <v>1.7999999999999999E-2</v>
      </c>
      <c r="S50" s="6">
        <v>1.7999999999999999E-2</v>
      </c>
      <c r="T50" s="6">
        <v>1.7999999999999999E-2</v>
      </c>
    </row>
    <row r="51" spans="1:20" ht="18" x14ac:dyDescent="0.2">
      <c r="A51" s="4" t="s">
        <v>1230</v>
      </c>
      <c r="B51" s="4" t="s">
        <v>1945</v>
      </c>
      <c r="C51" s="4" t="s">
        <v>1929</v>
      </c>
      <c r="D51" s="4">
        <v>3</v>
      </c>
      <c r="E51" s="4" t="s">
        <v>283</v>
      </c>
      <c r="F51" s="4">
        <v>4</v>
      </c>
      <c r="G51" s="4">
        <v>6</v>
      </c>
      <c r="H51" s="4">
        <v>6</v>
      </c>
      <c r="I51" s="5">
        <v>2.6400000000000002E-4</v>
      </c>
      <c r="J51" s="4">
        <v>1.2556500000000001E-3</v>
      </c>
      <c r="K51" s="4">
        <v>1.1819700000000001E-3</v>
      </c>
      <c r="L51" s="4">
        <v>9.6478220000000003E-2</v>
      </c>
      <c r="M51" s="4">
        <v>9.6478220000000003E-2</v>
      </c>
      <c r="N51" s="4">
        <v>9.6478220000000003E-2</v>
      </c>
      <c r="O51" s="4">
        <v>8</v>
      </c>
      <c r="P51" s="4">
        <v>28</v>
      </c>
      <c r="Q51" s="4">
        <v>45</v>
      </c>
      <c r="R51" s="6">
        <v>0.04</v>
      </c>
      <c r="S51" s="6">
        <v>0.04</v>
      </c>
      <c r="T51" s="6">
        <v>0.04</v>
      </c>
    </row>
    <row r="52" spans="1:20" ht="18" x14ac:dyDescent="0.2">
      <c r="A52" s="4" t="s">
        <v>1231</v>
      </c>
      <c r="B52" s="4" t="s">
        <v>1946</v>
      </c>
      <c r="C52" s="4" t="s">
        <v>1929</v>
      </c>
      <c r="D52" s="4">
        <v>3</v>
      </c>
      <c r="E52" s="4" t="s">
        <v>283</v>
      </c>
      <c r="F52" s="4">
        <v>4</v>
      </c>
      <c r="G52" s="4">
        <v>20</v>
      </c>
      <c r="H52" s="4">
        <v>15</v>
      </c>
      <c r="I52" s="5">
        <v>1.65E-4</v>
      </c>
      <c r="J52" s="4">
        <v>2.6074800000000001E-3</v>
      </c>
      <c r="K52" s="4">
        <v>1.26392E-3</v>
      </c>
      <c r="L52" s="4">
        <v>9.6478220000000003E-2</v>
      </c>
      <c r="M52" s="4">
        <v>0.23594749000000001</v>
      </c>
      <c r="N52" s="4">
        <v>0.23026884</v>
      </c>
      <c r="O52" s="4">
        <v>5</v>
      </c>
      <c r="P52" s="4">
        <v>58</v>
      </c>
      <c r="Q52" s="4">
        <v>48</v>
      </c>
      <c r="R52" s="6">
        <v>0.04</v>
      </c>
      <c r="S52" s="6">
        <v>9.1999999999999998E-2</v>
      </c>
      <c r="T52" s="6">
        <v>0.09</v>
      </c>
    </row>
    <row r="53" spans="1:20" ht="18" x14ac:dyDescent="0.2">
      <c r="A53" s="4" t="s">
        <v>1232</v>
      </c>
      <c r="B53" s="4" t="s">
        <v>1947</v>
      </c>
      <c r="C53" s="4" t="s">
        <v>1929</v>
      </c>
      <c r="D53" s="4">
        <v>3</v>
      </c>
      <c r="E53" s="4" t="s">
        <v>283</v>
      </c>
      <c r="F53" s="4">
        <v>8</v>
      </c>
      <c r="G53" s="4">
        <v>57</v>
      </c>
      <c r="H53" s="4">
        <v>55</v>
      </c>
      <c r="I53" s="5">
        <v>4.28E-4</v>
      </c>
      <c r="J53" s="4">
        <v>3.9451699999999996E-3</v>
      </c>
      <c r="K53" s="4">
        <v>2.4898699999999999E-3</v>
      </c>
      <c r="L53" s="4">
        <v>0.1324004</v>
      </c>
      <c r="M53" s="4">
        <v>1.2130947000000001</v>
      </c>
      <c r="N53" s="4">
        <v>0.97696959999999999</v>
      </c>
      <c r="O53" s="4">
        <v>19</v>
      </c>
      <c r="P53" s="4">
        <v>129</v>
      </c>
      <c r="Q53" s="4">
        <v>139</v>
      </c>
      <c r="R53" s="6">
        <v>5.3999999999999999E-2</v>
      </c>
      <c r="S53" s="6">
        <v>0.34499999999999997</v>
      </c>
      <c r="T53" s="6">
        <v>0.29599999999999999</v>
      </c>
    </row>
    <row r="54" spans="1:20" ht="18" x14ac:dyDescent="0.2">
      <c r="A54" s="4" t="s">
        <v>1233</v>
      </c>
      <c r="B54" s="4" t="s">
        <v>1948</v>
      </c>
      <c r="C54" s="4" t="s">
        <v>1929</v>
      </c>
      <c r="D54" s="4">
        <v>3</v>
      </c>
      <c r="E54" s="4" t="s">
        <v>283</v>
      </c>
      <c r="F54" s="4">
        <v>2</v>
      </c>
      <c r="G54" s="4">
        <v>3</v>
      </c>
      <c r="H54" s="4">
        <v>3</v>
      </c>
      <c r="I54" s="5">
        <v>4.9499999999999997E-5</v>
      </c>
      <c r="J54" s="5">
        <v>4.37E-4</v>
      </c>
      <c r="K54" s="5">
        <v>2.3599999999999999E-4</v>
      </c>
      <c r="L54" s="4">
        <v>3.9920209999999998E-2</v>
      </c>
      <c r="M54" s="4">
        <v>3.9920209999999998E-2</v>
      </c>
      <c r="N54" s="4">
        <v>3.9920209999999998E-2</v>
      </c>
      <c r="O54" s="4">
        <v>2</v>
      </c>
      <c r="P54" s="4">
        <v>13</v>
      </c>
      <c r="Q54" s="4">
        <v>12</v>
      </c>
      <c r="R54" s="6">
        <v>1.7000000000000001E-2</v>
      </c>
      <c r="S54" s="6">
        <v>1.7000000000000001E-2</v>
      </c>
      <c r="T54" s="6">
        <v>1.7000000000000001E-2</v>
      </c>
    </row>
    <row r="55" spans="1:20" ht="18" x14ac:dyDescent="0.2">
      <c r="A55" s="4" t="s">
        <v>1234</v>
      </c>
      <c r="B55" s="4" t="s">
        <v>1949</v>
      </c>
      <c r="C55" s="4" t="s">
        <v>1929</v>
      </c>
      <c r="D55" s="4">
        <v>3</v>
      </c>
      <c r="E55" s="4" t="s">
        <v>283</v>
      </c>
      <c r="F55" s="4">
        <v>3</v>
      </c>
      <c r="G55" s="4">
        <v>11</v>
      </c>
      <c r="H55" s="4">
        <v>8</v>
      </c>
      <c r="I55" s="5">
        <v>1.2300000000000001E-4</v>
      </c>
      <c r="J55" s="5">
        <v>9.1799999999999998E-4</v>
      </c>
      <c r="K55" s="5">
        <v>4.64E-4</v>
      </c>
      <c r="L55" s="4">
        <v>4.9542429999999998E-2</v>
      </c>
      <c r="M55" s="4">
        <v>0.11173176999999999</v>
      </c>
      <c r="N55" s="4">
        <v>0.11173176999999999</v>
      </c>
      <c r="O55" s="4">
        <v>4</v>
      </c>
      <c r="P55" s="4">
        <v>22</v>
      </c>
      <c r="Q55" s="4">
        <v>19</v>
      </c>
      <c r="R55" s="6">
        <v>2.1000000000000001E-2</v>
      </c>
      <c r="S55" s="6">
        <v>4.5999999999999999E-2</v>
      </c>
      <c r="T55" s="6">
        <v>4.5999999999999999E-2</v>
      </c>
    </row>
    <row r="56" spans="1:20" ht="18" x14ac:dyDescent="0.2">
      <c r="A56" s="4" t="s">
        <v>1235</v>
      </c>
      <c r="B56" s="4" t="s">
        <v>1950</v>
      </c>
      <c r="C56" s="4" t="s">
        <v>1929</v>
      </c>
      <c r="D56" s="4">
        <v>3</v>
      </c>
      <c r="E56" s="4" t="s">
        <v>283</v>
      </c>
      <c r="F56" s="4">
        <v>3</v>
      </c>
      <c r="G56" s="4">
        <v>5</v>
      </c>
      <c r="H56" s="4">
        <v>6</v>
      </c>
      <c r="I56" s="5">
        <v>1.25E-4</v>
      </c>
      <c r="J56" s="5">
        <v>5.5400000000000002E-4</v>
      </c>
      <c r="K56" s="5">
        <v>4.2400000000000001E-4</v>
      </c>
      <c r="L56" s="4">
        <v>4.9542429999999998E-2</v>
      </c>
      <c r="M56" s="4">
        <v>4.9542429999999998E-2</v>
      </c>
      <c r="N56" s="4">
        <v>4.9542429999999998E-2</v>
      </c>
      <c r="O56" s="4">
        <v>4</v>
      </c>
      <c r="P56" s="4">
        <v>13</v>
      </c>
      <c r="Q56" s="4">
        <v>17</v>
      </c>
      <c r="R56" s="6">
        <v>2.1000000000000001E-2</v>
      </c>
      <c r="S56" s="6">
        <v>2.1000000000000001E-2</v>
      </c>
      <c r="T56" s="6">
        <v>2.1000000000000001E-2</v>
      </c>
    </row>
    <row r="57" spans="1:20" ht="18" x14ac:dyDescent="0.2">
      <c r="A57" s="4" t="s">
        <v>1236</v>
      </c>
      <c r="B57" s="4" t="s">
        <v>1951</v>
      </c>
      <c r="C57" s="4" t="s">
        <v>1929</v>
      </c>
      <c r="D57" s="4">
        <v>3</v>
      </c>
      <c r="E57" s="4" t="s">
        <v>283</v>
      </c>
      <c r="F57" s="4">
        <v>4</v>
      </c>
      <c r="G57" s="4">
        <v>8</v>
      </c>
      <c r="H57" s="4">
        <v>9</v>
      </c>
      <c r="I57" s="5">
        <v>1.54E-4</v>
      </c>
      <c r="J57" s="4">
        <v>1.25169E-3</v>
      </c>
      <c r="K57" s="5">
        <v>7.5799999999999999E-4</v>
      </c>
      <c r="L57" s="4">
        <v>8.8930129999999996E-2</v>
      </c>
      <c r="M57" s="4">
        <v>8.8930129999999996E-2</v>
      </c>
      <c r="N57" s="4">
        <v>8.8930129999999996E-2</v>
      </c>
      <c r="O57" s="4">
        <v>5</v>
      </c>
      <c r="P57" s="4">
        <v>30</v>
      </c>
      <c r="Q57" s="4">
        <v>31</v>
      </c>
      <c r="R57" s="6">
        <v>3.6999999999999998E-2</v>
      </c>
      <c r="S57" s="6">
        <v>3.6999999999999998E-2</v>
      </c>
      <c r="T57" s="6">
        <v>3.6999999999999998E-2</v>
      </c>
    </row>
    <row r="58" spans="1:20" ht="18" x14ac:dyDescent="0.2">
      <c r="A58" s="4" t="s">
        <v>1237</v>
      </c>
      <c r="B58" s="4" t="s">
        <v>1952</v>
      </c>
      <c r="C58" s="4" t="s">
        <v>1929</v>
      </c>
      <c r="D58" s="4">
        <v>3</v>
      </c>
      <c r="E58" s="4" t="s">
        <v>283</v>
      </c>
      <c r="F58" s="4">
        <v>2</v>
      </c>
      <c r="G58" s="4">
        <v>9</v>
      </c>
      <c r="H58" s="4">
        <v>7</v>
      </c>
      <c r="I58" s="5">
        <v>4.35E-5</v>
      </c>
      <c r="J58" s="5">
        <v>7.9699999999999997E-4</v>
      </c>
      <c r="K58" s="5">
        <v>7.0899999999999999E-4</v>
      </c>
      <c r="L58" s="4">
        <v>3.5142180000000002E-2</v>
      </c>
      <c r="M58" s="4">
        <v>0.1324004</v>
      </c>
      <c r="N58" s="4">
        <v>8.1434010000000001E-2</v>
      </c>
      <c r="O58" s="4">
        <v>2</v>
      </c>
      <c r="P58" s="4">
        <v>27</v>
      </c>
      <c r="Q58" s="4">
        <v>41</v>
      </c>
      <c r="R58" s="6">
        <v>1.4999999999999999E-2</v>
      </c>
      <c r="S58" s="6">
        <v>5.3999999999999999E-2</v>
      </c>
      <c r="T58" s="6">
        <v>3.4000000000000002E-2</v>
      </c>
    </row>
    <row r="59" spans="1:20" ht="18" x14ac:dyDescent="0.2">
      <c r="A59" s="4" t="s">
        <v>1238</v>
      </c>
      <c r="B59" s="4" t="s">
        <v>1953</v>
      </c>
      <c r="C59" s="4" t="s">
        <v>1929</v>
      </c>
      <c r="D59" s="4">
        <v>3</v>
      </c>
      <c r="E59" s="4" t="s">
        <v>283</v>
      </c>
      <c r="F59" s="4">
        <v>4</v>
      </c>
      <c r="G59" s="4">
        <v>8</v>
      </c>
      <c r="H59" s="4">
        <v>9</v>
      </c>
      <c r="I59" s="5">
        <v>1.4899999999999999E-4</v>
      </c>
      <c r="J59" s="4">
        <v>1.2150399999999999E-3</v>
      </c>
      <c r="K59" s="5">
        <v>7.3499999999999998E-4</v>
      </c>
      <c r="L59" s="4">
        <v>8.6425660000000001E-2</v>
      </c>
      <c r="M59" s="4">
        <v>8.6425660000000001E-2</v>
      </c>
      <c r="N59" s="4">
        <v>8.6425660000000001E-2</v>
      </c>
      <c r="O59" s="4">
        <v>5</v>
      </c>
      <c r="P59" s="4">
        <v>30</v>
      </c>
      <c r="Q59" s="4">
        <v>31</v>
      </c>
      <c r="R59" s="6">
        <v>3.5999999999999997E-2</v>
      </c>
      <c r="S59" s="6">
        <v>3.5999999999999997E-2</v>
      </c>
      <c r="T59" s="6">
        <v>3.5999999999999997E-2</v>
      </c>
    </row>
    <row r="60" spans="1:20" ht="18" x14ac:dyDescent="0.2">
      <c r="A60" s="4" t="s">
        <v>1239</v>
      </c>
      <c r="B60" s="4" t="s">
        <v>1954</v>
      </c>
      <c r="C60" s="4" t="s">
        <v>1929</v>
      </c>
      <c r="D60" s="4">
        <v>3</v>
      </c>
      <c r="E60" s="4" t="s">
        <v>283</v>
      </c>
      <c r="F60" s="4">
        <v>3</v>
      </c>
      <c r="G60" s="4">
        <v>3</v>
      </c>
      <c r="H60" s="4">
        <v>3</v>
      </c>
      <c r="I60" s="5">
        <v>1.02E-4</v>
      </c>
      <c r="J60" s="5">
        <v>3.1100000000000002E-4</v>
      </c>
      <c r="K60" s="5">
        <v>3.4400000000000001E-4</v>
      </c>
      <c r="L60" s="4">
        <v>4.9542429999999998E-2</v>
      </c>
      <c r="M60" s="4">
        <v>4.9542429999999998E-2</v>
      </c>
      <c r="N60" s="4">
        <v>4.9542429999999998E-2</v>
      </c>
      <c r="O60" s="4">
        <v>4</v>
      </c>
      <c r="P60" s="4">
        <v>9</v>
      </c>
      <c r="Q60" s="4">
        <v>17</v>
      </c>
      <c r="R60" s="6">
        <v>2.1000000000000001E-2</v>
      </c>
      <c r="S60" s="6">
        <v>2.1000000000000001E-2</v>
      </c>
      <c r="T60" s="6">
        <v>2.1000000000000001E-2</v>
      </c>
    </row>
    <row r="61" spans="1:20" ht="18" x14ac:dyDescent="0.2">
      <c r="A61" s="4" t="s">
        <v>1240</v>
      </c>
      <c r="B61" s="4" t="s">
        <v>1955</v>
      </c>
      <c r="C61" s="4" t="s">
        <v>1929</v>
      </c>
      <c r="D61" s="4">
        <v>3</v>
      </c>
      <c r="E61" s="4" t="s">
        <v>283</v>
      </c>
      <c r="F61" s="4">
        <v>18</v>
      </c>
      <c r="G61" s="4">
        <v>27</v>
      </c>
      <c r="H61" s="4">
        <v>29</v>
      </c>
      <c r="I61" s="5">
        <v>6.7199999999999996E-4</v>
      </c>
      <c r="J61" s="4">
        <v>1.70703E-3</v>
      </c>
      <c r="K61" s="4">
        <v>1.3101199999999999E-3</v>
      </c>
      <c r="L61" s="4">
        <v>0.23026884</v>
      </c>
      <c r="M61" s="4">
        <v>0.36144470000000001</v>
      </c>
      <c r="N61" s="4">
        <v>0.40928875999999997</v>
      </c>
      <c r="O61" s="4">
        <v>31</v>
      </c>
      <c r="P61" s="4">
        <v>58</v>
      </c>
      <c r="Q61" s="4">
        <v>76</v>
      </c>
      <c r="R61" s="6">
        <v>0.09</v>
      </c>
      <c r="S61" s="6">
        <v>0.13400000000000001</v>
      </c>
      <c r="T61" s="6">
        <v>0.14899999999999999</v>
      </c>
    </row>
    <row r="62" spans="1:20" ht="18" x14ac:dyDescent="0.2">
      <c r="A62" s="4" t="s">
        <v>1241</v>
      </c>
      <c r="B62" s="4" t="s">
        <v>1956</v>
      </c>
      <c r="C62" s="4" t="s">
        <v>1929</v>
      </c>
      <c r="D62" s="4">
        <v>3</v>
      </c>
      <c r="E62" s="4" t="s">
        <v>283</v>
      </c>
      <c r="F62" s="4">
        <v>2</v>
      </c>
      <c r="G62" s="4">
        <v>3</v>
      </c>
      <c r="H62" s="4">
        <v>3</v>
      </c>
      <c r="I62" s="5">
        <v>5.0599999999999997E-5</v>
      </c>
      <c r="J62" s="5">
        <v>4.4700000000000002E-4</v>
      </c>
      <c r="K62" s="5">
        <v>2.42E-4</v>
      </c>
      <c r="L62" s="4">
        <v>3.9920209999999998E-2</v>
      </c>
      <c r="M62" s="4">
        <v>3.9920209999999998E-2</v>
      </c>
      <c r="N62" s="4">
        <v>3.9920209999999998E-2</v>
      </c>
      <c r="O62" s="4">
        <v>2</v>
      </c>
      <c r="P62" s="4">
        <v>13</v>
      </c>
      <c r="Q62" s="4">
        <v>12</v>
      </c>
      <c r="R62" s="6">
        <v>1.7000000000000001E-2</v>
      </c>
      <c r="S62" s="6">
        <v>1.7000000000000001E-2</v>
      </c>
      <c r="T62" s="6">
        <v>1.7000000000000001E-2</v>
      </c>
    </row>
    <row r="63" spans="1:20" ht="18" x14ac:dyDescent="0.2">
      <c r="A63" s="4" t="s">
        <v>1242</v>
      </c>
      <c r="B63" s="4" t="s">
        <v>1957</v>
      </c>
      <c r="C63" s="4" t="s">
        <v>1929</v>
      </c>
      <c r="D63" s="4">
        <v>3</v>
      </c>
      <c r="E63" s="4" t="s">
        <v>283</v>
      </c>
      <c r="F63" s="4">
        <v>4</v>
      </c>
      <c r="G63" s="4">
        <v>14</v>
      </c>
      <c r="H63" s="4">
        <v>12</v>
      </c>
      <c r="I63" s="5">
        <v>1.6100000000000001E-4</v>
      </c>
      <c r="J63" s="4">
        <v>2.1876700000000001E-3</v>
      </c>
      <c r="K63" s="4">
        <v>1.15321E-3</v>
      </c>
      <c r="L63" s="4">
        <v>9.3956349999999994E-2</v>
      </c>
      <c r="M63" s="4">
        <v>0.15611220000000001</v>
      </c>
      <c r="N63" s="4">
        <v>0.15080035</v>
      </c>
      <c r="O63" s="4">
        <v>5</v>
      </c>
      <c r="P63" s="4">
        <v>50</v>
      </c>
      <c r="Q63" s="4">
        <v>45</v>
      </c>
      <c r="R63" s="6">
        <v>3.9E-2</v>
      </c>
      <c r="S63" s="6">
        <v>6.3E-2</v>
      </c>
      <c r="T63" s="6">
        <v>6.0999999999999999E-2</v>
      </c>
    </row>
    <row r="64" spans="1:20" ht="18" x14ac:dyDescent="0.2">
      <c r="A64" s="4" t="s">
        <v>1243</v>
      </c>
      <c r="B64" s="4" t="s">
        <v>1958</v>
      </c>
      <c r="C64" s="4" t="s">
        <v>1929</v>
      </c>
      <c r="D64" s="4">
        <v>3</v>
      </c>
      <c r="E64" s="4" t="s">
        <v>283</v>
      </c>
      <c r="F64" s="4">
        <v>5</v>
      </c>
      <c r="G64" s="4">
        <v>16</v>
      </c>
      <c r="H64" s="4">
        <v>13</v>
      </c>
      <c r="I64" s="5">
        <v>1.26E-4</v>
      </c>
      <c r="J64" s="4">
        <v>1.20075E-3</v>
      </c>
      <c r="K64" s="4">
        <v>1.08843E-3</v>
      </c>
      <c r="L64" s="4">
        <v>7.6465249999999998E-2</v>
      </c>
      <c r="M64" s="4">
        <v>0.23310483000000001</v>
      </c>
      <c r="N64" s="4">
        <v>0.12719749999999999</v>
      </c>
      <c r="O64" s="4">
        <v>6</v>
      </c>
      <c r="P64" s="4">
        <v>42</v>
      </c>
      <c r="Q64" s="4">
        <v>65</v>
      </c>
      <c r="R64" s="6">
        <v>3.2000000000000001E-2</v>
      </c>
      <c r="S64" s="6">
        <v>9.0999999999999998E-2</v>
      </c>
      <c r="T64" s="6">
        <v>5.1999999999999998E-2</v>
      </c>
    </row>
    <row r="65" spans="1:20" ht="18" x14ac:dyDescent="0.2">
      <c r="A65" s="4" t="s">
        <v>1244</v>
      </c>
      <c r="B65" s="4" t="s">
        <v>1959</v>
      </c>
      <c r="C65" s="4" t="s">
        <v>1929</v>
      </c>
      <c r="D65" s="4">
        <v>3</v>
      </c>
      <c r="E65" s="4" t="s">
        <v>283</v>
      </c>
      <c r="F65" s="4">
        <v>28</v>
      </c>
      <c r="G65" s="4">
        <v>64</v>
      </c>
      <c r="H65" s="4">
        <v>96</v>
      </c>
      <c r="I65" s="4">
        <v>1.9925799999999999E-3</v>
      </c>
      <c r="J65" s="4">
        <v>1.069935E-2</v>
      </c>
      <c r="K65" s="4">
        <v>1.510061E-2</v>
      </c>
      <c r="L65" s="4">
        <v>1.3014418999999999</v>
      </c>
      <c r="M65" s="4">
        <v>3.5603695000000002</v>
      </c>
      <c r="N65" s="4">
        <v>3.5289755</v>
      </c>
      <c r="O65" s="4">
        <v>42</v>
      </c>
      <c r="P65" s="4">
        <v>166</v>
      </c>
      <c r="Q65" s="4">
        <v>400</v>
      </c>
      <c r="R65" s="6">
        <v>0.36199999999999999</v>
      </c>
      <c r="S65" s="6">
        <v>0.65900000000000003</v>
      </c>
      <c r="T65" s="6">
        <v>0.65600000000000003</v>
      </c>
    </row>
    <row r="66" spans="1:20" ht="18" x14ac:dyDescent="0.2">
      <c r="A66" s="4" t="s">
        <v>1245</v>
      </c>
      <c r="B66" s="4" t="s">
        <v>1960</v>
      </c>
      <c r="C66" s="4" t="s">
        <v>1929</v>
      </c>
      <c r="D66" s="4">
        <v>2</v>
      </c>
      <c r="E66" s="4" t="s">
        <v>181</v>
      </c>
      <c r="F66" s="4">
        <v>3</v>
      </c>
      <c r="G66" s="4">
        <v>2</v>
      </c>
      <c r="H66" s="4">
        <v>0</v>
      </c>
      <c r="I66" s="5">
        <v>1.1E-4</v>
      </c>
      <c r="J66" s="5">
        <v>5.9500000000000003E-5</v>
      </c>
      <c r="K66" s="4">
        <v>0</v>
      </c>
      <c r="L66" s="4">
        <v>3.5142180000000002E-2</v>
      </c>
      <c r="M66" s="4">
        <v>3.9920209999999998E-2</v>
      </c>
      <c r="N66" s="4">
        <v>0</v>
      </c>
      <c r="O66" s="4">
        <v>5</v>
      </c>
      <c r="P66" s="4">
        <v>2</v>
      </c>
      <c r="Q66" s="4">
        <v>0</v>
      </c>
      <c r="R66" s="6">
        <v>1.4999999999999999E-2</v>
      </c>
      <c r="S66" s="6">
        <v>1.7000000000000001E-2</v>
      </c>
      <c r="T66" s="4">
        <v>0</v>
      </c>
    </row>
    <row r="67" spans="1:20" ht="18" x14ac:dyDescent="0.2">
      <c r="A67" s="4" t="s">
        <v>1246</v>
      </c>
      <c r="B67" s="4" t="s">
        <v>1961</v>
      </c>
      <c r="C67" s="4" t="s">
        <v>1929</v>
      </c>
      <c r="D67" s="4">
        <v>2</v>
      </c>
      <c r="E67" s="4" t="s">
        <v>131</v>
      </c>
      <c r="F67" s="4">
        <v>5</v>
      </c>
      <c r="G67" s="4">
        <v>0</v>
      </c>
      <c r="H67" s="4">
        <v>4</v>
      </c>
      <c r="I67" s="5">
        <v>2.6299999999999999E-5</v>
      </c>
      <c r="J67" s="4">
        <v>0</v>
      </c>
      <c r="K67" s="5">
        <v>1.6699999999999999E-5</v>
      </c>
      <c r="L67" s="4">
        <v>4.2317390000000003E-2</v>
      </c>
      <c r="M67" s="4">
        <v>0</v>
      </c>
      <c r="N67" s="4">
        <v>5.438685E-2</v>
      </c>
      <c r="O67" s="4">
        <v>5</v>
      </c>
      <c r="P67" s="4">
        <v>0</v>
      </c>
      <c r="Q67" s="4">
        <v>4</v>
      </c>
      <c r="R67" s="6">
        <v>1.7999999999999999E-2</v>
      </c>
      <c r="S67" s="4">
        <v>0</v>
      </c>
      <c r="T67" s="6">
        <v>2.3E-2</v>
      </c>
    </row>
    <row r="68" spans="1:20" ht="18" x14ac:dyDescent="0.2">
      <c r="A68" s="4" t="s">
        <v>1247</v>
      </c>
      <c r="B68" s="4" t="s">
        <v>1962</v>
      </c>
      <c r="C68" s="4" t="s">
        <v>1963</v>
      </c>
      <c r="D68" s="4">
        <v>3</v>
      </c>
      <c r="E68" s="4" t="s">
        <v>283</v>
      </c>
      <c r="F68" s="4">
        <v>15</v>
      </c>
      <c r="G68" s="4">
        <v>82</v>
      </c>
      <c r="H68" s="4">
        <v>116</v>
      </c>
      <c r="I68" s="5">
        <v>4.4999999999999999E-4</v>
      </c>
      <c r="J68" s="4">
        <v>5.8778199999999997E-3</v>
      </c>
      <c r="K68" s="4">
        <v>7.5671699999999998E-3</v>
      </c>
      <c r="L68" s="4">
        <v>0.23310483000000001</v>
      </c>
      <c r="M68" s="4">
        <v>1.128139</v>
      </c>
      <c r="N68" s="4">
        <v>1.2855989999999999</v>
      </c>
      <c r="O68" s="4">
        <v>21</v>
      </c>
      <c r="P68" s="4">
        <v>202</v>
      </c>
      <c r="Q68" s="4">
        <v>444</v>
      </c>
      <c r="R68" s="6">
        <v>9.0999999999999998E-2</v>
      </c>
      <c r="S68" s="6">
        <v>0.32800000000000001</v>
      </c>
      <c r="T68" s="6">
        <v>0.35899999999999999</v>
      </c>
    </row>
    <row r="69" spans="1:20" ht="18" x14ac:dyDescent="0.2">
      <c r="A69" s="4" t="s">
        <v>1248</v>
      </c>
      <c r="B69" s="4" t="s">
        <v>1964</v>
      </c>
      <c r="C69" s="4" t="s">
        <v>1963</v>
      </c>
      <c r="D69" s="4">
        <v>3</v>
      </c>
      <c r="E69" s="4" t="s">
        <v>283</v>
      </c>
      <c r="F69" s="4">
        <v>3</v>
      </c>
      <c r="G69" s="4">
        <v>3</v>
      </c>
      <c r="H69" s="4">
        <v>3</v>
      </c>
      <c r="I69" s="5">
        <v>2.0599999999999999E-4</v>
      </c>
      <c r="J69" s="5">
        <v>4.4000000000000002E-4</v>
      </c>
      <c r="K69" s="5">
        <v>7.2599999999999997E-4</v>
      </c>
      <c r="L69" s="4">
        <v>4.712856E-2</v>
      </c>
      <c r="M69" s="4">
        <v>4.712856E-2</v>
      </c>
      <c r="N69" s="4">
        <v>4.712856E-2</v>
      </c>
      <c r="O69" s="4">
        <v>7</v>
      </c>
      <c r="P69" s="4">
        <v>11</v>
      </c>
      <c r="Q69" s="4">
        <v>31</v>
      </c>
      <c r="R69" s="6">
        <v>0.02</v>
      </c>
      <c r="S69" s="6">
        <v>0.02</v>
      </c>
      <c r="T69" s="6">
        <v>0.02</v>
      </c>
    </row>
    <row r="70" spans="1:20" ht="18" x14ac:dyDescent="0.2">
      <c r="A70" s="4" t="s">
        <v>1249</v>
      </c>
      <c r="B70" s="4" t="s">
        <v>1965</v>
      </c>
      <c r="C70" s="4" t="s">
        <v>1963</v>
      </c>
      <c r="D70" s="4">
        <v>3</v>
      </c>
      <c r="E70" s="4" t="s">
        <v>283</v>
      </c>
      <c r="F70" s="4">
        <v>3</v>
      </c>
      <c r="G70" s="4">
        <v>6</v>
      </c>
      <c r="H70" s="4">
        <v>4</v>
      </c>
      <c r="I70" s="5">
        <v>1.06E-4</v>
      </c>
      <c r="J70" s="5">
        <v>2.1599999999999999E-4</v>
      </c>
      <c r="K70" s="5">
        <v>9.8599999999999998E-5</v>
      </c>
      <c r="L70" s="4">
        <v>2.8016329999999999E-2</v>
      </c>
      <c r="M70" s="4">
        <v>0.12979590999999999</v>
      </c>
      <c r="N70" s="4">
        <v>7.3989390000000002E-2</v>
      </c>
      <c r="O70" s="4">
        <v>6</v>
      </c>
      <c r="P70" s="4">
        <v>9</v>
      </c>
      <c r="Q70" s="4">
        <v>7</v>
      </c>
      <c r="R70" s="6">
        <v>1.2E-2</v>
      </c>
      <c r="S70" s="6">
        <v>5.2999999999999999E-2</v>
      </c>
      <c r="T70" s="6">
        <v>3.1E-2</v>
      </c>
    </row>
    <row r="71" spans="1:20" ht="18" x14ac:dyDescent="0.2">
      <c r="A71" s="4" t="s">
        <v>1250</v>
      </c>
      <c r="B71" s="4" t="s">
        <v>1966</v>
      </c>
      <c r="C71" s="4" t="s">
        <v>1967</v>
      </c>
      <c r="D71" s="4">
        <v>3</v>
      </c>
      <c r="E71" s="4" t="s">
        <v>283</v>
      </c>
      <c r="F71" s="4">
        <v>5</v>
      </c>
      <c r="G71" s="4">
        <v>2</v>
      </c>
      <c r="H71" s="4">
        <v>3</v>
      </c>
      <c r="I71" s="5">
        <v>1.55E-4</v>
      </c>
      <c r="J71" s="5">
        <v>6.02E-5</v>
      </c>
      <c r="K71" s="5">
        <v>7.0599999999999995E-5</v>
      </c>
      <c r="L71" s="4">
        <v>0.10153925</v>
      </c>
      <c r="M71" s="4">
        <v>4.712856E-2</v>
      </c>
      <c r="N71" s="4">
        <v>4.712856E-2</v>
      </c>
      <c r="O71" s="4">
        <v>7</v>
      </c>
      <c r="P71" s="4">
        <v>2</v>
      </c>
      <c r="Q71" s="4">
        <v>4</v>
      </c>
      <c r="R71" s="6">
        <v>4.2000000000000003E-2</v>
      </c>
      <c r="S71" s="6">
        <v>0.02</v>
      </c>
      <c r="T71" s="6">
        <v>0.02</v>
      </c>
    </row>
    <row r="72" spans="1:20" ht="18" x14ac:dyDescent="0.2">
      <c r="A72" s="4" t="s">
        <v>1251</v>
      </c>
      <c r="B72" s="4" t="s">
        <v>1968</v>
      </c>
      <c r="C72" s="4" t="s">
        <v>1967</v>
      </c>
      <c r="D72" s="4">
        <v>3</v>
      </c>
      <c r="E72" s="4" t="s">
        <v>283</v>
      </c>
      <c r="F72" s="4">
        <v>22</v>
      </c>
      <c r="G72" s="4">
        <v>16</v>
      </c>
      <c r="H72" s="4">
        <v>10</v>
      </c>
      <c r="I72" s="4">
        <v>1.14646E-3</v>
      </c>
      <c r="J72" s="5">
        <v>7.9299999999999998E-4</v>
      </c>
      <c r="K72" s="5">
        <v>3.3199999999999999E-4</v>
      </c>
      <c r="L72" s="4">
        <v>0.35207260000000001</v>
      </c>
      <c r="M72" s="4">
        <v>0.28528666000000003</v>
      </c>
      <c r="N72" s="4">
        <v>0.11173176999999999</v>
      </c>
      <c r="O72" s="4">
        <v>55</v>
      </c>
      <c r="P72" s="4">
        <v>28</v>
      </c>
      <c r="Q72" s="4">
        <v>20</v>
      </c>
      <c r="R72" s="6">
        <v>0.13100000000000001</v>
      </c>
      <c r="S72" s="6">
        <v>0.109</v>
      </c>
      <c r="T72" s="6">
        <v>4.5999999999999999E-2</v>
      </c>
    </row>
    <row r="73" spans="1:20" ht="18" x14ac:dyDescent="0.2">
      <c r="A73" s="4" t="s">
        <v>1252</v>
      </c>
      <c r="B73" s="4" t="s">
        <v>1969</v>
      </c>
      <c r="C73" s="4" t="s">
        <v>1967</v>
      </c>
      <c r="D73" s="4">
        <v>3</v>
      </c>
      <c r="E73" s="4" t="s">
        <v>283</v>
      </c>
      <c r="F73" s="4">
        <v>3</v>
      </c>
      <c r="G73" s="4">
        <v>2</v>
      </c>
      <c r="H73" s="4">
        <v>3</v>
      </c>
      <c r="I73" s="5">
        <v>8.9599999999999996E-5</v>
      </c>
      <c r="J73" s="5">
        <v>4.8699999999999998E-5</v>
      </c>
      <c r="K73" s="5">
        <v>5.7000000000000003E-5</v>
      </c>
      <c r="L73" s="4">
        <v>3.7528400000000003E-2</v>
      </c>
      <c r="M73" s="4">
        <v>3.7528400000000003E-2</v>
      </c>
      <c r="N73" s="4">
        <v>3.7528400000000003E-2</v>
      </c>
      <c r="O73" s="4">
        <v>5</v>
      </c>
      <c r="P73" s="4">
        <v>2</v>
      </c>
      <c r="Q73" s="4">
        <v>4</v>
      </c>
      <c r="R73" s="6">
        <v>1.6E-2</v>
      </c>
      <c r="S73" s="6">
        <v>1.6E-2</v>
      </c>
      <c r="T73" s="6">
        <v>1.6E-2</v>
      </c>
    </row>
    <row r="74" spans="1:20" ht="18" x14ac:dyDescent="0.2">
      <c r="A74" s="4" t="s">
        <v>1253</v>
      </c>
      <c r="B74" s="4" t="s">
        <v>1970</v>
      </c>
      <c r="C74" s="4" t="s">
        <v>1967</v>
      </c>
      <c r="D74" s="4">
        <v>3</v>
      </c>
      <c r="E74" s="4" t="s">
        <v>283</v>
      </c>
      <c r="F74" s="4">
        <v>26</v>
      </c>
      <c r="G74" s="4">
        <v>28</v>
      </c>
      <c r="H74" s="4">
        <v>13</v>
      </c>
      <c r="I74" s="4">
        <v>1.38901E-3</v>
      </c>
      <c r="J74" s="4">
        <v>1.3043E-3</v>
      </c>
      <c r="K74" s="5">
        <v>3.8999999999999999E-4</v>
      </c>
      <c r="L74" s="4">
        <v>0.41579378</v>
      </c>
      <c r="M74" s="4">
        <v>0.78648759999999995</v>
      </c>
      <c r="N74" s="4">
        <v>0.16412604</v>
      </c>
      <c r="O74" s="4">
        <v>68</v>
      </c>
      <c r="P74" s="4">
        <v>47</v>
      </c>
      <c r="Q74" s="4">
        <v>24</v>
      </c>
      <c r="R74" s="6">
        <v>0.151</v>
      </c>
      <c r="S74" s="6">
        <v>0.252</v>
      </c>
      <c r="T74" s="6">
        <v>6.6000000000000003E-2</v>
      </c>
    </row>
    <row r="75" spans="1:20" ht="18" x14ac:dyDescent="0.2">
      <c r="A75" s="4" t="s">
        <v>1254</v>
      </c>
      <c r="B75" s="4" t="s">
        <v>1971</v>
      </c>
      <c r="C75" s="4" t="s">
        <v>1967</v>
      </c>
      <c r="D75" s="4">
        <v>3</v>
      </c>
      <c r="E75" s="4" t="s">
        <v>283</v>
      </c>
      <c r="F75" s="4">
        <v>12</v>
      </c>
      <c r="G75" s="4">
        <v>26</v>
      </c>
      <c r="H75" s="4">
        <v>4</v>
      </c>
      <c r="I75" s="5">
        <v>5.6599999999999999E-4</v>
      </c>
      <c r="J75" s="4">
        <v>1.04327E-3</v>
      </c>
      <c r="K75" s="5">
        <v>6.4300000000000004E-5</v>
      </c>
      <c r="L75" s="4">
        <v>0.16412604</v>
      </c>
      <c r="M75" s="4">
        <v>0.65196180000000004</v>
      </c>
      <c r="N75" s="4">
        <v>0.10407864999999999</v>
      </c>
      <c r="O75" s="4">
        <v>28</v>
      </c>
      <c r="P75" s="4">
        <v>38</v>
      </c>
      <c r="Q75" s="4">
        <v>4</v>
      </c>
      <c r="R75" s="6">
        <v>6.6000000000000003E-2</v>
      </c>
      <c r="S75" s="6">
        <v>0.218</v>
      </c>
      <c r="T75" s="6">
        <v>4.2999999999999997E-2</v>
      </c>
    </row>
    <row r="76" spans="1:20" ht="18" x14ac:dyDescent="0.2">
      <c r="A76" s="4" t="s">
        <v>1255</v>
      </c>
      <c r="B76" s="4" t="s">
        <v>1972</v>
      </c>
      <c r="C76" s="4" t="s">
        <v>1967</v>
      </c>
      <c r="D76" s="4">
        <v>3</v>
      </c>
      <c r="E76" s="4" t="s">
        <v>283</v>
      </c>
      <c r="F76" s="4">
        <v>8</v>
      </c>
      <c r="G76" s="4">
        <v>2</v>
      </c>
      <c r="H76" s="4">
        <v>5</v>
      </c>
      <c r="I76" s="5">
        <v>2.1000000000000001E-4</v>
      </c>
      <c r="J76" s="5">
        <v>5.1799999999999999E-5</v>
      </c>
      <c r="K76" s="5">
        <v>9.1100000000000005E-5</v>
      </c>
      <c r="L76" s="4">
        <v>0.12201846</v>
      </c>
      <c r="M76" s="4">
        <v>3.9920209999999998E-2</v>
      </c>
      <c r="N76" s="4">
        <v>0.12979590999999999</v>
      </c>
      <c r="O76" s="4">
        <v>11</v>
      </c>
      <c r="P76" s="4">
        <v>2</v>
      </c>
      <c r="Q76" s="4">
        <v>6</v>
      </c>
      <c r="R76" s="6">
        <v>0.05</v>
      </c>
      <c r="S76" s="6">
        <v>1.7000000000000001E-2</v>
      </c>
      <c r="T76" s="6">
        <v>5.2999999999999999E-2</v>
      </c>
    </row>
    <row r="77" spans="1:20" ht="18" x14ac:dyDescent="0.2">
      <c r="A77" s="4" t="s">
        <v>1256</v>
      </c>
      <c r="B77" s="4" t="s">
        <v>1973</v>
      </c>
      <c r="C77" s="4" t="s">
        <v>1967</v>
      </c>
      <c r="D77" s="4">
        <v>2</v>
      </c>
      <c r="E77" s="4" t="s">
        <v>181</v>
      </c>
      <c r="F77" s="4">
        <v>5</v>
      </c>
      <c r="G77" s="4">
        <v>7</v>
      </c>
      <c r="H77" s="4">
        <v>0</v>
      </c>
      <c r="I77" s="5">
        <v>2.1699999999999999E-4</v>
      </c>
      <c r="J77" s="5">
        <v>1.8799999999999999E-4</v>
      </c>
      <c r="K77" s="4">
        <v>0</v>
      </c>
      <c r="L77" s="4">
        <v>8.6425660000000001E-2</v>
      </c>
      <c r="M77" s="4">
        <v>0.19674051000000001</v>
      </c>
      <c r="N77" s="4">
        <v>0</v>
      </c>
      <c r="O77" s="4">
        <v>11</v>
      </c>
      <c r="P77" s="4">
        <v>7</v>
      </c>
      <c r="Q77" s="4">
        <v>0</v>
      </c>
      <c r="R77" s="6">
        <v>3.5999999999999997E-2</v>
      </c>
      <c r="S77" s="6">
        <v>7.8E-2</v>
      </c>
      <c r="T77" s="4">
        <v>0</v>
      </c>
    </row>
    <row r="78" spans="1:20" ht="18" x14ac:dyDescent="0.2">
      <c r="A78" s="4" t="s">
        <v>1257</v>
      </c>
      <c r="B78" s="4" t="s">
        <v>1974</v>
      </c>
      <c r="C78" s="4" t="s">
        <v>1967</v>
      </c>
      <c r="D78" s="4">
        <v>2</v>
      </c>
      <c r="E78" s="4" t="s">
        <v>181</v>
      </c>
      <c r="F78" s="4">
        <v>5</v>
      </c>
      <c r="G78" s="4">
        <v>7</v>
      </c>
      <c r="H78" s="4">
        <v>0</v>
      </c>
      <c r="I78" s="5">
        <v>2.1699999999999999E-4</v>
      </c>
      <c r="J78" s="5">
        <v>1.8799999999999999E-4</v>
      </c>
      <c r="K78" s="4">
        <v>0</v>
      </c>
      <c r="L78" s="4">
        <v>8.6425660000000001E-2</v>
      </c>
      <c r="M78" s="4">
        <v>0.19674051000000001</v>
      </c>
      <c r="N78" s="4">
        <v>0</v>
      </c>
      <c r="O78" s="4">
        <v>11</v>
      </c>
      <c r="P78" s="4">
        <v>7</v>
      </c>
      <c r="Q78" s="4">
        <v>0</v>
      </c>
      <c r="R78" s="6">
        <v>3.5999999999999997E-2</v>
      </c>
      <c r="S78" s="6">
        <v>7.8E-2</v>
      </c>
      <c r="T78" s="4">
        <v>0</v>
      </c>
    </row>
    <row r="79" spans="1:20" ht="18" x14ac:dyDescent="0.2">
      <c r="A79" s="4" t="s">
        <v>1258</v>
      </c>
      <c r="B79" s="4" t="s">
        <v>1975</v>
      </c>
      <c r="C79" s="4" t="s">
        <v>271</v>
      </c>
      <c r="D79" s="4">
        <v>3</v>
      </c>
      <c r="E79" s="4" t="s">
        <v>283</v>
      </c>
      <c r="F79" s="4">
        <v>5</v>
      </c>
      <c r="G79" s="4">
        <v>8</v>
      </c>
      <c r="H79" s="4">
        <v>5</v>
      </c>
      <c r="I79" s="4">
        <v>1.56336E-3</v>
      </c>
      <c r="J79" s="4">
        <v>3.2567E-3</v>
      </c>
      <c r="K79" s="5">
        <v>4.9799999999999996E-4</v>
      </c>
      <c r="L79" s="4">
        <v>1.2594358999999999</v>
      </c>
      <c r="M79" s="4">
        <v>1.0653801000000001</v>
      </c>
      <c r="N79" s="4">
        <v>0.33659554000000003</v>
      </c>
      <c r="O79" s="4">
        <v>15</v>
      </c>
      <c r="P79" s="4">
        <v>23</v>
      </c>
      <c r="Q79" s="4">
        <v>6</v>
      </c>
      <c r="R79" s="6">
        <v>0.35399999999999998</v>
      </c>
      <c r="S79" s="6">
        <v>0.315</v>
      </c>
      <c r="T79" s="6">
        <v>0.126</v>
      </c>
    </row>
    <row r="80" spans="1:20" ht="18" x14ac:dyDescent="0.2">
      <c r="A80" s="4" t="s">
        <v>1259</v>
      </c>
      <c r="B80" s="4" t="s">
        <v>1976</v>
      </c>
      <c r="C80" s="4" t="s">
        <v>271</v>
      </c>
      <c r="D80" s="4">
        <v>3</v>
      </c>
      <c r="E80" s="4" t="s">
        <v>283</v>
      </c>
      <c r="F80" s="4">
        <v>16</v>
      </c>
      <c r="G80" s="4">
        <v>16</v>
      </c>
      <c r="H80" s="4">
        <v>11</v>
      </c>
      <c r="I80" s="4">
        <v>3.6374900000000002E-3</v>
      </c>
      <c r="J80" s="4">
        <v>7.1381500000000002E-3</v>
      </c>
      <c r="K80" s="4">
        <v>2.1708600000000002E-3</v>
      </c>
      <c r="L80" s="4">
        <v>1.2438819999999999</v>
      </c>
      <c r="M80" s="4">
        <v>1.2438819999999999</v>
      </c>
      <c r="N80" s="4">
        <v>0.84926869999999999</v>
      </c>
      <c r="O80" s="4">
        <v>36</v>
      </c>
      <c r="P80" s="4">
        <v>52</v>
      </c>
      <c r="Q80" s="4">
        <v>27</v>
      </c>
      <c r="R80" s="6">
        <v>0.35099999999999998</v>
      </c>
      <c r="S80" s="6">
        <v>0.35099999999999998</v>
      </c>
      <c r="T80" s="6">
        <v>0.26700000000000002</v>
      </c>
    </row>
    <row r="81" spans="1:20" ht="18" x14ac:dyDescent="0.2">
      <c r="A81" s="4" t="s">
        <v>1260</v>
      </c>
      <c r="B81" s="4" t="s">
        <v>1977</v>
      </c>
      <c r="C81" s="4" t="s">
        <v>271</v>
      </c>
      <c r="D81" s="4">
        <v>3</v>
      </c>
      <c r="E81" s="4" t="s">
        <v>283</v>
      </c>
      <c r="F81" s="4">
        <v>4</v>
      </c>
      <c r="G81" s="4">
        <v>15</v>
      </c>
      <c r="H81" s="4">
        <v>13</v>
      </c>
      <c r="I81" s="4">
        <v>1.4254599999999999E-3</v>
      </c>
      <c r="J81" s="4">
        <v>6.7780699999999998E-3</v>
      </c>
      <c r="K81" s="4">
        <v>2.4306200000000001E-3</v>
      </c>
      <c r="L81" s="4">
        <v>0.32739449999999998</v>
      </c>
      <c r="M81" s="4">
        <v>1.2594358999999999</v>
      </c>
      <c r="N81" s="4">
        <v>1.2594358999999999</v>
      </c>
      <c r="O81" s="4">
        <v>14</v>
      </c>
      <c r="P81" s="4">
        <v>49</v>
      </c>
      <c r="Q81" s="4">
        <v>30</v>
      </c>
      <c r="R81" s="6">
        <v>0.123</v>
      </c>
      <c r="S81" s="6">
        <v>0.35399999999999998</v>
      </c>
      <c r="T81" s="6">
        <v>0.35399999999999998</v>
      </c>
    </row>
    <row r="82" spans="1:20" ht="18" x14ac:dyDescent="0.2">
      <c r="A82" s="4" t="s">
        <v>1261</v>
      </c>
      <c r="B82" s="4" t="s">
        <v>1978</v>
      </c>
      <c r="C82" s="4" t="s">
        <v>271</v>
      </c>
      <c r="D82" s="4">
        <v>3</v>
      </c>
      <c r="E82" s="4" t="s">
        <v>283</v>
      </c>
      <c r="F82" s="4">
        <v>4</v>
      </c>
      <c r="G82" s="4">
        <v>11</v>
      </c>
      <c r="H82" s="4">
        <v>5</v>
      </c>
      <c r="I82" s="4">
        <v>1.4145799999999999E-3</v>
      </c>
      <c r="J82" s="4">
        <v>3.9808899999999999E-3</v>
      </c>
      <c r="K82" s="5">
        <v>4.8200000000000001E-4</v>
      </c>
      <c r="L82" s="4">
        <v>0.32434153999999998</v>
      </c>
      <c r="M82" s="4">
        <v>1.2438819999999999</v>
      </c>
      <c r="N82" s="4">
        <v>0.32434153999999998</v>
      </c>
      <c r="O82" s="4">
        <v>14</v>
      </c>
      <c r="P82" s="4">
        <v>29</v>
      </c>
      <c r="Q82" s="4">
        <v>6</v>
      </c>
      <c r="R82" s="6">
        <v>0.122</v>
      </c>
      <c r="S82" s="6">
        <v>0.35099999999999998</v>
      </c>
      <c r="T82" s="6">
        <v>0.122</v>
      </c>
    </row>
    <row r="83" spans="1:20" ht="18" x14ac:dyDescent="0.2">
      <c r="A83" s="4" t="s">
        <v>1262</v>
      </c>
      <c r="B83" s="4" t="s">
        <v>1979</v>
      </c>
      <c r="C83" s="4" t="s">
        <v>271</v>
      </c>
      <c r="D83" s="4">
        <v>3</v>
      </c>
      <c r="E83" s="4" t="s">
        <v>283</v>
      </c>
      <c r="F83" s="4">
        <v>14</v>
      </c>
      <c r="G83" s="4">
        <v>10</v>
      </c>
      <c r="H83" s="4">
        <v>3</v>
      </c>
      <c r="I83" s="4">
        <v>2.9198000000000002E-3</v>
      </c>
      <c r="J83" s="4">
        <v>2.2478300000000001E-3</v>
      </c>
      <c r="K83" s="5">
        <v>2.32E-4</v>
      </c>
      <c r="L83" s="4">
        <v>1.7164391999999999</v>
      </c>
      <c r="M83" s="4">
        <v>1.7164391999999999</v>
      </c>
      <c r="N83" s="4">
        <v>1.0701413</v>
      </c>
      <c r="O83" s="4">
        <v>30</v>
      </c>
      <c r="P83" s="4">
        <v>17</v>
      </c>
      <c r="Q83" s="4">
        <v>3</v>
      </c>
      <c r="R83" s="6">
        <v>0.434</v>
      </c>
      <c r="S83" s="6">
        <v>0.434</v>
      </c>
      <c r="T83" s="6">
        <v>0.316</v>
      </c>
    </row>
    <row r="84" spans="1:20" ht="18" x14ac:dyDescent="0.2">
      <c r="A84" s="4" t="s">
        <v>1263</v>
      </c>
      <c r="B84" s="4" t="s">
        <v>1980</v>
      </c>
      <c r="C84" s="4" t="s">
        <v>271</v>
      </c>
      <c r="D84" s="4">
        <v>3</v>
      </c>
      <c r="E84" s="4" t="s">
        <v>283</v>
      </c>
      <c r="F84" s="4">
        <v>32</v>
      </c>
      <c r="G84" s="4">
        <v>16</v>
      </c>
      <c r="H84" s="4">
        <v>16</v>
      </c>
      <c r="I84" s="4">
        <v>1.450915E-2</v>
      </c>
      <c r="J84" s="4">
        <v>6.2247600000000002E-3</v>
      </c>
      <c r="K84" s="4">
        <v>3.03827E-3</v>
      </c>
      <c r="L84" s="4">
        <v>2.3806485999999998</v>
      </c>
      <c r="M84" s="4">
        <v>1.6485000000000001</v>
      </c>
      <c r="N84" s="4">
        <v>1.1232445</v>
      </c>
      <c r="O84" s="4">
        <v>114</v>
      </c>
      <c r="P84" s="4">
        <v>36</v>
      </c>
      <c r="Q84" s="4">
        <v>30</v>
      </c>
      <c r="R84" s="6">
        <v>0.52900000000000003</v>
      </c>
      <c r="S84" s="6">
        <v>0.42299999999999999</v>
      </c>
      <c r="T84" s="6">
        <v>0.32700000000000001</v>
      </c>
    </row>
    <row r="85" spans="1:20" ht="18" x14ac:dyDescent="0.2">
      <c r="A85" s="4" t="s">
        <v>1264</v>
      </c>
      <c r="B85" s="4" t="s">
        <v>1981</v>
      </c>
      <c r="C85" s="4" t="s">
        <v>271</v>
      </c>
      <c r="D85" s="4">
        <v>3</v>
      </c>
      <c r="E85" s="4" t="s">
        <v>283</v>
      </c>
      <c r="F85" s="4">
        <v>16</v>
      </c>
      <c r="G85" s="4">
        <v>16</v>
      </c>
      <c r="H85" s="4">
        <v>11</v>
      </c>
      <c r="I85" s="4">
        <v>3.6654700000000001E-3</v>
      </c>
      <c r="J85" s="4">
        <v>7.1930600000000003E-3</v>
      </c>
      <c r="K85" s="4">
        <v>2.1875599999999999E-3</v>
      </c>
      <c r="L85" s="4">
        <v>1.2594358999999999</v>
      </c>
      <c r="M85" s="4">
        <v>1.2594358999999999</v>
      </c>
      <c r="N85" s="4">
        <v>0.85780440000000002</v>
      </c>
      <c r="O85" s="4">
        <v>36</v>
      </c>
      <c r="P85" s="4">
        <v>52</v>
      </c>
      <c r="Q85" s="4">
        <v>27</v>
      </c>
      <c r="R85" s="6">
        <v>0.35399999999999998</v>
      </c>
      <c r="S85" s="6">
        <v>0.35399999999999998</v>
      </c>
      <c r="T85" s="6">
        <v>0.26900000000000002</v>
      </c>
    </row>
    <row r="86" spans="1:20" ht="18" x14ac:dyDescent="0.2">
      <c r="A86" s="4" t="s">
        <v>1265</v>
      </c>
      <c r="B86" s="4" t="s">
        <v>1976</v>
      </c>
      <c r="C86" s="4" t="s">
        <v>271</v>
      </c>
      <c r="D86" s="4">
        <v>3</v>
      </c>
      <c r="E86" s="4" t="s">
        <v>283</v>
      </c>
      <c r="F86" s="4">
        <v>16</v>
      </c>
      <c r="G86" s="4">
        <v>16</v>
      </c>
      <c r="H86" s="4">
        <v>11</v>
      </c>
      <c r="I86" s="4">
        <v>3.6654700000000001E-3</v>
      </c>
      <c r="J86" s="4">
        <v>7.1930600000000003E-3</v>
      </c>
      <c r="K86" s="4">
        <v>2.1875599999999999E-3</v>
      </c>
      <c r="L86" s="4">
        <v>1.2594358999999999</v>
      </c>
      <c r="M86" s="4">
        <v>1.2594358999999999</v>
      </c>
      <c r="N86" s="4">
        <v>0.85780440000000002</v>
      </c>
      <c r="O86" s="4">
        <v>36</v>
      </c>
      <c r="P86" s="4">
        <v>52</v>
      </c>
      <c r="Q86" s="4">
        <v>27</v>
      </c>
      <c r="R86" s="6">
        <v>0.35399999999999998</v>
      </c>
      <c r="S86" s="6">
        <v>0.35399999999999998</v>
      </c>
      <c r="T86" s="6">
        <v>0.26900000000000002</v>
      </c>
    </row>
    <row r="87" spans="1:20" ht="18" x14ac:dyDescent="0.2">
      <c r="A87" s="4" t="s">
        <v>1266</v>
      </c>
      <c r="B87" s="4" t="s">
        <v>1982</v>
      </c>
      <c r="C87" s="4" t="s">
        <v>271</v>
      </c>
      <c r="D87" s="4">
        <v>3</v>
      </c>
      <c r="E87" s="4" t="s">
        <v>283</v>
      </c>
      <c r="F87" s="4">
        <v>14</v>
      </c>
      <c r="G87" s="4">
        <v>10</v>
      </c>
      <c r="H87" s="4">
        <v>3</v>
      </c>
      <c r="I87" s="4">
        <v>2.9198000000000002E-3</v>
      </c>
      <c r="J87" s="4">
        <v>2.2478300000000001E-3</v>
      </c>
      <c r="K87" s="5">
        <v>2.32E-4</v>
      </c>
      <c r="L87" s="4">
        <v>1.7164391999999999</v>
      </c>
      <c r="M87" s="4">
        <v>1.7164391999999999</v>
      </c>
      <c r="N87" s="4">
        <v>1.0701413</v>
      </c>
      <c r="O87" s="4">
        <v>30</v>
      </c>
      <c r="P87" s="4">
        <v>17</v>
      </c>
      <c r="Q87" s="4">
        <v>3</v>
      </c>
      <c r="R87" s="6">
        <v>0.434</v>
      </c>
      <c r="S87" s="6">
        <v>0.434</v>
      </c>
      <c r="T87" s="6">
        <v>0.316</v>
      </c>
    </row>
    <row r="88" spans="1:20" ht="18" x14ac:dyDescent="0.2">
      <c r="A88" s="4" t="s">
        <v>1267</v>
      </c>
      <c r="B88" s="4" t="s">
        <v>1983</v>
      </c>
      <c r="C88" s="4" t="s">
        <v>271</v>
      </c>
      <c r="D88" s="4">
        <v>3</v>
      </c>
      <c r="E88" s="4" t="s">
        <v>283</v>
      </c>
      <c r="F88" s="4">
        <v>4</v>
      </c>
      <c r="G88" s="4">
        <v>15</v>
      </c>
      <c r="H88" s="4">
        <v>13</v>
      </c>
      <c r="I88" s="4">
        <v>1.4254599999999999E-3</v>
      </c>
      <c r="J88" s="4">
        <v>6.7780699999999998E-3</v>
      </c>
      <c r="K88" s="4">
        <v>2.4306200000000001E-3</v>
      </c>
      <c r="L88" s="4">
        <v>0.32739449999999998</v>
      </c>
      <c r="M88" s="4">
        <v>1.2594358999999999</v>
      </c>
      <c r="N88" s="4">
        <v>1.2594358999999999</v>
      </c>
      <c r="O88" s="4">
        <v>14</v>
      </c>
      <c r="P88" s="4">
        <v>49</v>
      </c>
      <c r="Q88" s="4">
        <v>30</v>
      </c>
      <c r="R88" s="6">
        <v>0.123</v>
      </c>
      <c r="S88" s="6">
        <v>0.35399999999999998</v>
      </c>
      <c r="T88" s="6">
        <v>0.35399999999999998</v>
      </c>
    </row>
    <row r="89" spans="1:20" ht="18" x14ac:dyDescent="0.2">
      <c r="A89" s="4" t="s">
        <v>1268</v>
      </c>
      <c r="B89" s="4" t="s">
        <v>1984</v>
      </c>
      <c r="C89" s="4" t="s">
        <v>271</v>
      </c>
      <c r="D89" s="4">
        <v>3</v>
      </c>
      <c r="E89" s="4" t="s">
        <v>283</v>
      </c>
      <c r="F89" s="4">
        <v>32</v>
      </c>
      <c r="G89" s="4">
        <v>16</v>
      </c>
      <c r="H89" s="4">
        <v>16</v>
      </c>
      <c r="I89" s="4">
        <v>1.450915E-2</v>
      </c>
      <c r="J89" s="4">
        <v>6.2247600000000002E-3</v>
      </c>
      <c r="K89" s="4">
        <v>3.03827E-3</v>
      </c>
      <c r="L89" s="4">
        <v>2.3806485999999998</v>
      </c>
      <c r="M89" s="4">
        <v>1.6485000000000001</v>
      </c>
      <c r="N89" s="4">
        <v>1.1232445</v>
      </c>
      <c r="O89" s="4">
        <v>114</v>
      </c>
      <c r="P89" s="4">
        <v>36</v>
      </c>
      <c r="Q89" s="4">
        <v>30</v>
      </c>
      <c r="R89" s="6">
        <v>0.52900000000000003</v>
      </c>
      <c r="S89" s="6">
        <v>0.42299999999999999</v>
      </c>
      <c r="T89" s="6">
        <v>0.32700000000000001</v>
      </c>
    </row>
    <row r="90" spans="1:20" ht="18" x14ac:dyDescent="0.2">
      <c r="A90" s="4" t="s">
        <v>1269</v>
      </c>
      <c r="B90" s="4" t="s">
        <v>1985</v>
      </c>
      <c r="C90" s="4" t="s">
        <v>271</v>
      </c>
      <c r="D90" s="4">
        <v>3</v>
      </c>
      <c r="E90" s="4" t="s">
        <v>283</v>
      </c>
      <c r="F90" s="4">
        <v>14</v>
      </c>
      <c r="G90" s="4">
        <v>10</v>
      </c>
      <c r="H90" s="4">
        <v>3</v>
      </c>
      <c r="I90" s="4">
        <v>2.9198000000000002E-3</v>
      </c>
      <c r="J90" s="4">
        <v>2.2478300000000001E-3</v>
      </c>
      <c r="K90" s="5">
        <v>2.32E-4</v>
      </c>
      <c r="L90" s="4">
        <v>1.7164391999999999</v>
      </c>
      <c r="M90" s="4">
        <v>1.7164391999999999</v>
      </c>
      <c r="N90" s="4">
        <v>1.0701413</v>
      </c>
      <c r="O90" s="4">
        <v>30</v>
      </c>
      <c r="P90" s="4">
        <v>17</v>
      </c>
      <c r="Q90" s="4">
        <v>3</v>
      </c>
      <c r="R90" s="6">
        <v>0.434</v>
      </c>
      <c r="S90" s="6">
        <v>0.434</v>
      </c>
      <c r="T90" s="6">
        <v>0.316</v>
      </c>
    </row>
    <row r="91" spans="1:20" ht="18" x14ac:dyDescent="0.2">
      <c r="A91" s="4" t="s">
        <v>1270</v>
      </c>
      <c r="B91" s="4" t="s">
        <v>1986</v>
      </c>
      <c r="C91" s="4" t="s">
        <v>271</v>
      </c>
      <c r="D91" s="4">
        <v>3</v>
      </c>
      <c r="E91" s="4" t="s">
        <v>283</v>
      </c>
      <c r="F91" s="4">
        <v>16</v>
      </c>
      <c r="G91" s="4">
        <v>16</v>
      </c>
      <c r="H91" s="4">
        <v>11</v>
      </c>
      <c r="I91" s="4">
        <v>3.6654700000000001E-3</v>
      </c>
      <c r="J91" s="4">
        <v>7.1930600000000003E-3</v>
      </c>
      <c r="K91" s="4">
        <v>2.1875599999999999E-3</v>
      </c>
      <c r="L91" s="4">
        <v>1.2594358999999999</v>
      </c>
      <c r="M91" s="4">
        <v>1.2594358999999999</v>
      </c>
      <c r="N91" s="4">
        <v>0.85780440000000002</v>
      </c>
      <c r="O91" s="4">
        <v>36</v>
      </c>
      <c r="P91" s="4">
        <v>52</v>
      </c>
      <c r="Q91" s="4">
        <v>27</v>
      </c>
      <c r="R91" s="6">
        <v>0.35399999999999998</v>
      </c>
      <c r="S91" s="6">
        <v>0.35399999999999998</v>
      </c>
      <c r="T91" s="6">
        <v>0.26900000000000002</v>
      </c>
    </row>
    <row r="92" spans="1:20" ht="18" x14ac:dyDescent="0.2">
      <c r="A92" s="4" t="s">
        <v>1271</v>
      </c>
      <c r="B92" s="4" t="s">
        <v>1987</v>
      </c>
      <c r="C92" s="4" t="s">
        <v>271</v>
      </c>
      <c r="D92" s="4">
        <v>3</v>
      </c>
      <c r="E92" s="4" t="s">
        <v>283</v>
      </c>
      <c r="F92" s="4">
        <v>16</v>
      </c>
      <c r="G92" s="4">
        <v>16</v>
      </c>
      <c r="H92" s="4">
        <v>11</v>
      </c>
      <c r="I92" s="4">
        <v>3.6938800000000001E-3</v>
      </c>
      <c r="J92" s="4">
        <v>7.2488199999999996E-3</v>
      </c>
      <c r="K92" s="4">
        <v>2.2045099999999998E-3</v>
      </c>
      <c r="L92" s="4">
        <v>1.2750973999999999</v>
      </c>
      <c r="M92" s="4">
        <v>1.2750973999999999</v>
      </c>
      <c r="N92" s="4">
        <v>0.86637973999999995</v>
      </c>
      <c r="O92" s="4">
        <v>36</v>
      </c>
      <c r="P92" s="4">
        <v>52</v>
      </c>
      <c r="Q92" s="4">
        <v>27</v>
      </c>
      <c r="R92" s="6">
        <v>0.35699999999999998</v>
      </c>
      <c r="S92" s="6">
        <v>0.35699999999999998</v>
      </c>
      <c r="T92" s="6">
        <v>0.27100000000000002</v>
      </c>
    </row>
    <row r="93" spans="1:20" ht="18" x14ac:dyDescent="0.2">
      <c r="A93" s="4" t="s">
        <v>1272</v>
      </c>
      <c r="B93" s="4" t="s">
        <v>1988</v>
      </c>
      <c r="C93" s="4" t="s">
        <v>271</v>
      </c>
      <c r="D93" s="4">
        <v>3</v>
      </c>
      <c r="E93" s="4" t="s">
        <v>283</v>
      </c>
      <c r="F93" s="4">
        <v>4</v>
      </c>
      <c r="G93" s="4">
        <v>15</v>
      </c>
      <c r="H93" s="4">
        <v>13</v>
      </c>
      <c r="I93" s="4">
        <v>1.4254599999999999E-3</v>
      </c>
      <c r="J93" s="4">
        <v>6.7780699999999998E-3</v>
      </c>
      <c r="K93" s="4">
        <v>2.4306200000000001E-3</v>
      </c>
      <c r="L93" s="4">
        <v>0.32739449999999998</v>
      </c>
      <c r="M93" s="4">
        <v>1.2594358999999999</v>
      </c>
      <c r="N93" s="4">
        <v>1.2594358999999999</v>
      </c>
      <c r="O93" s="4">
        <v>14</v>
      </c>
      <c r="P93" s="4">
        <v>49</v>
      </c>
      <c r="Q93" s="4">
        <v>30</v>
      </c>
      <c r="R93" s="6">
        <v>0.123</v>
      </c>
      <c r="S93" s="6">
        <v>0.35399999999999998</v>
      </c>
      <c r="T93" s="6">
        <v>0.35399999999999998</v>
      </c>
    </row>
    <row r="94" spans="1:20" ht="18" x14ac:dyDescent="0.2">
      <c r="A94" s="4" t="s">
        <v>1273</v>
      </c>
      <c r="B94" s="4" t="s">
        <v>1989</v>
      </c>
      <c r="C94" s="4" t="s">
        <v>271</v>
      </c>
      <c r="D94" s="4">
        <v>3</v>
      </c>
      <c r="E94" s="4" t="s">
        <v>283</v>
      </c>
      <c r="F94" s="4">
        <v>5</v>
      </c>
      <c r="G94" s="4">
        <v>7</v>
      </c>
      <c r="H94" s="4">
        <v>5</v>
      </c>
      <c r="I94" s="4">
        <v>1.5511399999999999E-3</v>
      </c>
      <c r="J94" s="4">
        <v>3.0907700000000001E-3</v>
      </c>
      <c r="K94" s="5">
        <v>4.9399999999999997E-4</v>
      </c>
      <c r="L94" s="4">
        <v>1.2490547000000001</v>
      </c>
      <c r="M94" s="4">
        <v>0.59587909999999999</v>
      </c>
      <c r="N94" s="4">
        <v>0.33352150000000003</v>
      </c>
      <c r="O94" s="4">
        <v>15</v>
      </c>
      <c r="P94" s="4">
        <v>22</v>
      </c>
      <c r="Q94" s="4">
        <v>6</v>
      </c>
      <c r="R94" s="6">
        <v>0.35199999999999998</v>
      </c>
      <c r="S94" s="6">
        <v>0.20300000000000001</v>
      </c>
      <c r="T94" s="6">
        <v>0.125</v>
      </c>
    </row>
    <row r="95" spans="1:20" ht="18" x14ac:dyDescent="0.2">
      <c r="A95" s="4" t="s">
        <v>1274</v>
      </c>
      <c r="B95" s="4" t="s">
        <v>1990</v>
      </c>
      <c r="C95" s="4" t="s">
        <v>271</v>
      </c>
      <c r="D95" s="4">
        <v>3</v>
      </c>
      <c r="E95" s="4" t="s">
        <v>283</v>
      </c>
      <c r="F95" s="4">
        <v>14</v>
      </c>
      <c r="G95" s="4">
        <v>10</v>
      </c>
      <c r="H95" s="4">
        <v>3</v>
      </c>
      <c r="I95" s="4">
        <v>2.9198000000000002E-3</v>
      </c>
      <c r="J95" s="4">
        <v>2.2478300000000001E-3</v>
      </c>
      <c r="K95" s="5">
        <v>2.32E-4</v>
      </c>
      <c r="L95" s="4">
        <v>1.7164391999999999</v>
      </c>
      <c r="M95" s="4">
        <v>1.7164391999999999</v>
      </c>
      <c r="N95" s="4">
        <v>1.0701413</v>
      </c>
      <c r="O95" s="4">
        <v>30</v>
      </c>
      <c r="P95" s="4">
        <v>17</v>
      </c>
      <c r="Q95" s="4">
        <v>3</v>
      </c>
      <c r="R95" s="6">
        <v>0.434</v>
      </c>
      <c r="S95" s="6">
        <v>0.434</v>
      </c>
      <c r="T95" s="6">
        <v>0.316</v>
      </c>
    </row>
    <row r="96" spans="1:20" ht="18" x14ac:dyDescent="0.2">
      <c r="A96" s="4" t="s">
        <v>1275</v>
      </c>
      <c r="B96" s="4" t="s">
        <v>1991</v>
      </c>
      <c r="C96" s="4" t="s">
        <v>271</v>
      </c>
      <c r="D96" s="4">
        <v>2</v>
      </c>
      <c r="E96" s="4" t="s">
        <v>181</v>
      </c>
      <c r="F96" s="4">
        <v>5</v>
      </c>
      <c r="G96" s="4">
        <v>5</v>
      </c>
      <c r="H96" s="4">
        <v>0</v>
      </c>
      <c r="I96" s="4">
        <v>1.07059E-3</v>
      </c>
      <c r="J96" s="4">
        <v>1.1900299999999999E-3</v>
      </c>
      <c r="K96" s="4">
        <v>0</v>
      </c>
      <c r="L96" s="4">
        <v>0.40281367000000001</v>
      </c>
      <c r="M96" s="4">
        <v>0.40281367000000001</v>
      </c>
      <c r="N96" s="4">
        <v>0</v>
      </c>
      <c r="O96" s="4">
        <v>11</v>
      </c>
      <c r="P96" s="4">
        <v>9</v>
      </c>
      <c r="Q96" s="4">
        <v>0</v>
      </c>
      <c r="R96" s="6">
        <v>0.14699999999999999</v>
      </c>
      <c r="S96" s="6">
        <v>0.14699999999999999</v>
      </c>
      <c r="T96" s="4">
        <v>0</v>
      </c>
    </row>
    <row r="97" spans="1:20" ht="18" x14ac:dyDescent="0.2">
      <c r="A97" s="4" t="s">
        <v>1276</v>
      </c>
      <c r="B97" s="4" t="s">
        <v>1992</v>
      </c>
      <c r="C97" s="4" t="s">
        <v>271</v>
      </c>
      <c r="D97" s="4">
        <v>2</v>
      </c>
      <c r="E97" s="4" t="s">
        <v>181</v>
      </c>
      <c r="F97" s="4">
        <v>11</v>
      </c>
      <c r="G97" s="4">
        <v>8</v>
      </c>
      <c r="H97" s="4">
        <v>0</v>
      </c>
      <c r="I97" s="4">
        <v>2.4331700000000001E-3</v>
      </c>
      <c r="J97" s="4">
        <v>1.9833799999999999E-3</v>
      </c>
      <c r="K97" s="4">
        <v>0</v>
      </c>
      <c r="L97" s="4">
        <v>1.7164391999999999</v>
      </c>
      <c r="M97" s="4">
        <v>0.58124803999999997</v>
      </c>
      <c r="N97" s="4">
        <v>0</v>
      </c>
      <c r="O97" s="4">
        <v>25</v>
      </c>
      <c r="P97" s="4">
        <v>15</v>
      </c>
      <c r="Q97" s="4">
        <v>0</v>
      </c>
      <c r="R97" s="6">
        <v>0.434</v>
      </c>
      <c r="S97" s="6">
        <v>0.19900000000000001</v>
      </c>
      <c r="T97" s="4">
        <v>0</v>
      </c>
    </row>
    <row r="98" spans="1:20" ht="18" x14ac:dyDescent="0.2">
      <c r="A98" s="4" t="s">
        <v>1277</v>
      </c>
      <c r="B98" s="4" t="s">
        <v>1993</v>
      </c>
      <c r="C98" s="4" t="s">
        <v>271</v>
      </c>
      <c r="D98" s="4">
        <v>2</v>
      </c>
      <c r="E98" s="4" t="s">
        <v>181</v>
      </c>
      <c r="F98" s="4">
        <v>5</v>
      </c>
      <c r="G98" s="4">
        <v>4</v>
      </c>
      <c r="H98" s="4">
        <v>0</v>
      </c>
      <c r="I98" s="4">
        <v>1.16792E-3</v>
      </c>
      <c r="J98" s="4">
        <v>1.1900299999999999E-3</v>
      </c>
      <c r="K98" s="4">
        <v>0</v>
      </c>
      <c r="L98" s="4">
        <v>0.31219995</v>
      </c>
      <c r="M98" s="4">
        <v>0.31219995</v>
      </c>
      <c r="N98" s="4">
        <v>0</v>
      </c>
      <c r="O98" s="4">
        <v>12</v>
      </c>
      <c r="P98" s="4">
        <v>9</v>
      </c>
      <c r="Q98" s="4">
        <v>0</v>
      </c>
      <c r="R98" s="6">
        <v>0.11799999999999999</v>
      </c>
      <c r="S98" s="6">
        <v>0.11799999999999999</v>
      </c>
      <c r="T98" s="4">
        <v>0</v>
      </c>
    </row>
    <row r="99" spans="1:20" ht="18" x14ac:dyDescent="0.2">
      <c r="A99" s="4" t="s">
        <v>1278</v>
      </c>
      <c r="B99" s="4" t="s">
        <v>1994</v>
      </c>
      <c r="C99" s="4" t="s">
        <v>271</v>
      </c>
      <c r="D99" s="4">
        <v>2</v>
      </c>
      <c r="E99" s="4" t="s">
        <v>181</v>
      </c>
      <c r="F99" s="4">
        <v>8</v>
      </c>
      <c r="G99" s="4">
        <v>8</v>
      </c>
      <c r="H99" s="4">
        <v>0</v>
      </c>
      <c r="I99" s="4">
        <v>1.7518799999999999E-3</v>
      </c>
      <c r="J99" s="4">
        <v>1.9833799999999999E-3</v>
      </c>
      <c r="K99" s="4">
        <v>0</v>
      </c>
      <c r="L99" s="4">
        <v>0.58124803999999997</v>
      </c>
      <c r="M99" s="4">
        <v>0.58124803999999997</v>
      </c>
      <c r="N99" s="4">
        <v>0</v>
      </c>
      <c r="O99" s="4">
        <v>18</v>
      </c>
      <c r="P99" s="4">
        <v>15</v>
      </c>
      <c r="Q99" s="4">
        <v>0</v>
      </c>
      <c r="R99" s="6">
        <v>0.19900000000000001</v>
      </c>
      <c r="S99" s="6">
        <v>0.19900000000000001</v>
      </c>
      <c r="T99" s="4">
        <v>0</v>
      </c>
    </row>
    <row r="100" spans="1:20" ht="18" x14ac:dyDescent="0.2">
      <c r="A100" s="4" t="s">
        <v>1279</v>
      </c>
      <c r="B100" s="4" t="s">
        <v>1995</v>
      </c>
      <c r="C100" s="4" t="s">
        <v>271</v>
      </c>
      <c r="D100" s="4">
        <v>2</v>
      </c>
      <c r="E100" s="4" t="s">
        <v>181</v>
      </c>
      <c r="F100" s="4">
        <v>8</v>
      </c>
      <c r="G100" s="4">
        <v>8</v>
      </c>
      <c r="H100" s="4">
        <v>0</v>
      </c>
      <c r="I100" s="4">
        <v>1.7518799999999999E-3</v>
      </c>
      <c r="J100" s="4">
        <v>1.9833799999999999E-3</v>
      </c>
      <c r="K100" s="4">
        <v>0</v>
      </c>
      <c r="L100" s="4">
        <v>0.58124803999999997</v>
      </c>
      <c r="M100" s="4">
        <v>0.58124803999999997</v>
      </c>
      <c r="N100" s="4">
        <v>0</v>
      </c>
      <c r="O100" s="4">
        <v>18</v>
      </c>
      <c r="P100" s="4">
        <v>15</v>
      </c>
      <c r="Q100" s="4">
        <v>0</v>
      </c>
      <c r="R100" s="6">
        <v>0.19900000000000001</v>
      </c>
      <c r="S100" s="6">
        <v>0.19900000000000001</v>
      </c>
      <c r="T100" s="4">
        <v>0</v>
      </c>
    </row>
    <row r="101" spans="1:20" ht="18" x14ac:dyDescent="0.2">
      <c r="A101" s="4" t="s">
        <v>1280</v>
      </c>
      <c r="B101" s="4" t="s">
        <v>1996</v>
      </c>
      <c r="C101" s="4" t="s">
        <v>271</v>
      </c>
      <c r="D101" s="4">
        <v>2</v>
      </c>
      <c r="E101" s="4" t="s">
        <v>181</v>
      </c>
      <c r="F101" s="4">
        <v>8</v>
      </c>
      <c r="G101" s="4">
        <v>8</v>
      </c>
      <c r="H101" s="4">
        <v>0</v>
      </c>
      <c r="I101" s="4">
        <v>1.7518799999999999E-3</v>
      </c>
      <c r="J101" s="4">
        <v>1.9833799999999999E-3</v>
      </c>
      <c r="K101" s="4">
        <v>0</v>
      </c>
      <c r="L101" s="4">
        <v>0.58124803999999997</v>
      </c>
      <c r="M101" s="4">
        <v>0.58124803999999997</v>
      </c>
      <c r="N101" s="4">
        <v>0</v>
      </c>
      <c r="O101" s="4">
        <v>18</v>
      </c>
      <c r="P101" s="4">
        <v>15</v>
      </c>
      <c r="Q101" s="4">
        <v>0</v>
      </c>
      <c r="R101" s="6">
        <v>0.19900000000000001</v>
      </c>
      <c r="S101" s="6">
        <v>0.19900000000000001</v>
      </c>
      <c r="T101" s="4">
        <v>0</v>
      </c>
    </row>
    <row r="102" spans="1:20" ht="18" x14ac:dyDescent="0.2">
      <c r="A102" s="4" t="s">
        <v>1281</v>
      </c>
      <c r="B102" s="4" t="s">
        <v>1997</v>
      </c>
      <c r="C102" s="4" t="s">
        <v>271</v>
      </c>
      <c r="D102" s="4">
        <v>2</v>
      </c>
      <c r="E102" s="4" t="s">
        <v>181</v>
      </c>
      <c r="F102" s="4">
        <v>5</v>
      </c>
      <c r="G102" s="4">
        <v>4</v>
      </c>
      <c r="H102" s="4">
        <v>0</v>
      </c>
      <c r="I102" s="4">
        <v>1.16792E-3</v>
      </c>
      <c r="J102" s="4">
        <v>1.1900299999999999E-3</v>
      </c>
      <c r="K102" s="4">
        <v>0</v>
      </c>
      <c r="L102" s="4">
        <v>0.31219995</v>
      </c>
      <c r="M102" s="4">
        <v>0.31219995</v>
      </c>
      <c r="N102" s="4">
        <v>0</v>
      </c>
      <c r="O102" s="4">
        <v>12</v>
      </c>
      <c r="P102" s="4">
        <v>9</v>
      </c>
      <c r="Q102" s="4">
        <v>0</v>
      </c>
      <c r="R102" s="6">
        <v>0.11799999999999999</v>
      </c>
      <c r="S102" s="6">
        <v>0.11799999999999999</v>
      </c>
      <c r="T102" s="4">
        <v>0</v>
      </c>
    </row>
    <row r="103" spans="1:20" ht="18" x14ac:dyDescent="0.2">
      <c r="A103" s="4" t="s">
        <v>1282</v>
      </c>
      <c r="B103" s="4" t="s">
        <v>1998</v>
      </c>
      <c r="C103" s="4" t="s">
        <v>271</v>
      </c>
      <c r="D103" s="4">
        <v>2</v>
      </c>
      <c r="E103" s="4" t="s">
        <v>181</v>
      </c>
      <c r="F103" s="4">
        <v>3</v>
      </c>
      <c r="G103" s="4">
        <v>3</v>
      </c>
      <c r="H103" s="4">
        <v>0</v>
      </c>
      <c r="I103" s="5">
        <v>8.6600000000000002E-4</v>
      </c>
      <c r="J103" s="4">
        <v>1.00837E-3</v>
      </c>
      <c r="K103" s="4">
        <v>0</v>
      </c>
      <c r="L103" s="4">
        <v>0.1614486</v>
      </c>
      <c r="M103" s="4">
        <v>0.1614486</v>
      </c>
      <c r="N103" s="4">
        <v>0</v>
      </c>
      <c r="O103" s="4">
        <v>7</v>
      </c>
      <c r="P103" s="4">
        <v>6</v>
      </c>
      <c r="Q103" s="4">
        <v>0</v>
      </c>
      <c r="R103" s="6">
        <v>6.5000000000000002E-2</v>
      </c>
      <c r="S103" s="6">
        <v>6.5000000000000002E-2</v>
      </c>
      <c r="T103" s="4">
        <v>0</v>
      </c>
    </row>
    <row r="104" spans="1:20" ht="18" x14ac:dyDescent="0.2">
      <c r="A104" s="4" t="s">
        <v>1283</v>
      </c>
      <c r="B104" s="4" t="s">
        <v>1999</v>
      </c>
      <c r="C104" s="4" t="s">
        <v>2000</v>
      </c>
      <c r="D104" s="4">
        <v>3</v>
      </c>
      <c r="E104" s="4" t="s">
        <v>283</v>
      </c>
      <c r="F104" s="4">
        <v>16</v>
      </c>
      <c r="G104" s="4">
        <v>10</v>
      </c>
      <c r="H104" s="4">
        <v>5</v>
      </c>
      <c r="I104" s="5">
        <v>9.5699999999999995E-4</v>
      </c>
      <c r="J104" s="5">
        <v>4.2299999999999998E-4</v>
      </c>
      <c r="K104" s="5">
        <v>1.5200000000000001E-4</v>
      </c>
      <c r="L104" s="4">
        <v>0.25314115999999998</v>
      </c>
      <c r="M104" s="4">
        <v>0.38995266000000001</v>
      </c>
      <c r="N104" s="4">
        <v>0.17219532000000001</v>
      </c>
      <c r="O104" s="4">
        <v>40</v>
      </c>
      <c r="P104" s="4">
        <v>13</v>
      </c>
      <c r="Q104" s="4">
        <v>8</v>
      </c>
      <c r="R104" s="6">
        <v>9.8000000000000004E-2</v>
      </c>
      <c r="S104" s="6">
        <v>0.14299999999999999</v>
      </c>
      <c r="T104" s="6">
        <v>6.9000000000000006E-2</v>
      </c>
    </row>
    <row r="105" spans="1:20" ht="18" x14ac:dyDescent="0.2">
      <c r="A105" s="4" t="s">
        <v>1284</v>
      </c>
      <c r="B105" s="4" t="s">
        <v>2001</v>
      </c>
      <c r="C105" s="4" t="s">
        <v>2000</v>
      </c>
      <c r="D105" s="4">
        <v>3</v>
      </c>
      <c r="E105" s="4" t="s">
        <v>283</v>
      </c>
      <c r="F105" s="4">
        <v>7</v>
      </c>
      <c r="G105" s="4">
        <v>7</v>
      </c>
      <c r="H105" s="4">
        <v>9</v>
      </c>
      <c r="I105" s="5">
        <v>1.8100000000000001E-4</v>
      </c>
      <c r="J105" s="5">
        <v>3.57E-4</v>
      </c>
      <c r="K105" s="5">
        <v>2.22E-4</v>
      </c>
      <c r="L105" s="4">
        <v>0.11429453000000001</v>
      </c>
      <c r="M105" s="4">
        <v>0.22743917</v>
      </c>
      <c r="N105" s="4">
        <v>0.20503592000000001</v>
      </c>
      <c r="O105" s="4">
        <v>11</v>
      </c>
      <c r="P105" s="4">
        <v>16</v>
      </c>
      <c r="Q105" s="4">
        <v>17</v>
      </c>
      <c r="R105" s="6">
        <v>4.7E-2</v>
      </c>
      <c r="S105" s="6">
        <v>8.8999999999999996E-2</v>
      </c>
      <c r="T105" s="6">
        <v>8.1000000000000003E-2</v>
      </c>
    </row>
    <row r="106" spans="1:20" ht="18" x14ac:dyDescent="0.2">
      <c r="A106" s="4" t="s">
        <v>1285</v>
      </c>
      <c r="B106" s="4" t="s">
        <v>2002</v>
      </c>
      <c r="C106" s="4" t="s">
        <v>2000</v>
      </c>
      <c r="D106" s="4">
        <v>3</v>
      </c>
      <c r="E106" s="4" t="s">
        <v>283</v>
      </c>
      <c r="F106" s="4">
        <v>3</v>
      </c>
      <c r="G106" s="4">
        <v>6</v>
      </c>
      <c r="H106" s="4">
        <v>8</v>
      </c>
      <c r="I106" s="5">
        <v>4.6000000000000001E-4</v>
      </c>
      <c r="J106" s="5">
        <v>3.7500000000000001E-4</v>
      </c>
      <c r="K106" s="5">
        <v>4.0200000000000001E-4</v>
      </c>
      <c r="L106" s="4">
        <v>0.12719749999999999</v>
      </c>
      <c r="M106" s="4">
        <v>0.86637973999999995</v>
      </c>
      <c r="N106" s="4">
        <v>0.92752489999999999</v>
      </c>
      <c r="O106" s="4">
        <v>10</v>
      </c>
      <c r="P106" s="4">
        <v>6</v>
      </c>
      <c r="Q106" s="4">
        <v>11</v>
      </c>
      <c r="R106" s="6">
        <v>5.1999999999999998E-2</v>
      </c>
      <c r="S106" s="6">
        <v>0.27100000000000002</v>
      </c>
      <c r="T106" s="6">
        <v>0.28499999999999998</v>
      </c>
    </row>
    <row r="107" spans="1:20" ht="18" x14ac:dyDescent="0.2">
      <c r="A107" s="4" t="s">
        <v>1286</v>
      </c>
      <c r="B107" s="4" t="s">
        <v>2003</v>
      </c>
      <c r="C107" s="4" t="s">
        <v>2000</v>
      </c>
      <c r="D107" s="4">
        <v>3</v>
      </c>
      <c r="E107" s="4" t="s">
        <v>283</v>
      </c>
      <c r="F107" s="4">
        <v>18</v>
      </c>
      <c r="G107" s="4">
        <v>5</v>
      </c>
      <c r="H107" s="4">
        <v>5</v>
      </c>
      <c r="I107" s="4">
        <v>1.5541800000000001E-3</v>
      </c>
      <c r="J107" s="5">
        <v>3.5199999999999999E-4</v>
      </c>
      <c r="K107" s="5">
        <v>2.2699999999999999E-4</v>
      </c>
      <c r="L107" s="4">
        <v>0.42889391999999998</v>
      </c>
      <c r="M107" s="4">
        <v>0.21898961</v>
      </c>
      <c r="N107" s="4">
        <v>0.15080035</v>
      </c>
      <c r="O107" s="4">
        <v>60</v>
      </c>
      <c r="P107" s="4">
        <v>10</v>
      </c>
      <c r="Q107" s="4">
        <v>11</v>
      </c>
      <c r="R107" s="6">
        <v>0.155</v>
      </c>
      <c r="S107" s="6">
        <v>8.5999999999999993E-2</v>
      </c>
      <c r="T107" s="6">
        <v>6.0999999999999999E-2</v>
      </c>
    </row>
    <row r="108" spans="1:20" ht="18" x14ac:dyDescent="0.2">
      <c r="A108" s="4" t="s">
        <v>1287</v>
      </c>
      <c r="B108" s="4" t="s">
        <v>2004</v>
      </c>
      <c r="C108" s="4" t="s">
        <v>2000</v>
      </c>
      <c r="D108" s="4">
        <v>3</v>
      </c>
      <c r="E108" s="4" t="s">
        <v>283</v>
      </c>
      <c r="F108" s="4">
        <v>27</v>
      </c>
      <c r="G108" s="4">
        <v>16</v>
      </c>
      <c r="H108" s="4">
        <v>13</v>
      </c>
      <c r="I108" s="4">
        <v>2.3838100000000001E-3</v>
      </c>
      <c r="J108" s="4">
        <v>1.10794E-3</v>
      </c>
      <c r="K108" s="5">
        <v>5.7399999999999997E-4</v>
      </c>
      <c r="L108" s="4">
        <v>1.1577443999999999</v>
      </c>
      <c r="M108" s="4">
        <v>0.81134010000000001</v>
      </c>
      <c r="N108" s="4">
        <v>0.5205476</v>
      </c>
      <c r="O108" s="4">
        <v>76</v>
      </c>
      <c r="P108" s="4">
        <v>26</v>
      </c>
      <c r="Q108" s="4">
        <v>23</v>
      </c>
      <c r="R108" s="6">
        <v>0.33400000000000002</v>
      </c>
      <c r="S108" s="6">
        <v>0.25800000000000001</v>
      </c>
      <c r="T108" s="6">
        <v>0.182</v>
      </c>
    </row>
    <row r="109" spans="1:20" ht="18" x14ac:dyDescent="0.2">
      <c r="A109" s="4" t="s">
        <v>1288</v>
      </c>
      <c r="B109" s="4" t="s">
        <v>2005</v>
      </c>
      <c r="C109" s="4" t="s">
        <v>2006</v>
      </c>
      <c r="D109" s="4">
        <v>3</v>
      </c>
      <c r="E109" s="4" t="s">
        <v>283</v>
      </c>
      <c r="F109" s="4">
        <v>2</v>
      </c>
      <c r="G109" s="4">
        <v>9</v>
      </c>
      <c r="H109" s="4">
        <v>3</v>
      </c>
      <c r="I109" s="5">
        <v>5.27E-5</v>
      </c>
      <c r="J109" s="5">
        <v>4.2999999999999999E-4</v>
      </c>
      <c r="K109" s="5">
        <v>1.26E-4</v>
      </c>
      <c r="L109" s="4">
        <v>7.1519260000000001E-2</v>
      </c>
      <c r="M109" s="4">
        <v>0.18032061999999999</v>
      </c>
      <c r="N109" s="4">
        <v>5.1961899999999998E-2</v>
      </c>
      <c r="O109" s="4">
        <v>2</v>
      </c>
      <c r="P109" s="4">
        <v>12</v>
      </c>
      <c r="Q109" s="4">
        <v>6</v>
      </c>
      <c r="R109" s="6">
        <v>0.03</v>
      </c>
      <c r="S109" s="6">
        <v>7.1999999999999995E-2</v>
      </c>
      <c r="T109" s="6">
        <v>2.1999999999999999E-2</v>
      </c>
    </row>
    <row r="110" spans="1:20" ht="18" x14ac:dyDescent="0.2">
      <c r="A110" s="4" t="s">
        <v>1289</v>
      </c>
      <c r="B110" s="4" t="s">
        <v>2007</v>
      </c>
      <c r="C110" s="4" t="s">
        <v>2006</v>
      </c>
      <c r="D110" s="4">
        <v>3</v>
      </c>
      <c r="E110" s="4" t="s">
        <v>283</v>
      </c>
      <c r="F110" s="4">
        <v>2</v>
      </c>
      <c r="G110" s="4">
        <v>9</v>
      </c>
      <c r="H110" s="4">
        <v>3</v>
      </c>
      <c r="I110" s="5">
        <v>3.8899999999999997E-5</v>
      </c>
      <c r="J110" s="5">
        <v>3.1700000000000001E-4</v>
      </c>
      <c r="K110" s="5">
        <v>9.2899999999999995E-5</v>
      </c>
      <c r="L110" s="4">
        <v>5.1961899999999998E-2</v>
      </c>
      <c r="M110" s="4">
        <v>0.12979590999999999</v>
      </c>
      <c r="N110" s="4">
        <v>3.7528400000000003E-2</v>
      </c>
      <c r="O110" s="4">
        <v>2</v>
      </c>
      <c r="P110" s="4">
        <v>12</v>
      </c>
      <c r="Q110" s="4">
        <v>6</v>
      </c>
      <c r="R110" s="6">
        <v>2.1999999999999999E-2</v>
      </c>
      <c r="S110" s="6">
        <v>5.2999999999999999E-2</v>
      </c>
      <c r="T110" s="6">
        <v>1.6E-2</v>
      </c>
    </row>
    <row r="111" spans="1:20" ht="18" x14ac:dyDescent="0.2">
      <c r="A111" s="4" t="s">
        <v>1290</v>
      </c>
      <c r="B111" s="4" t="s">
        <v>2008</v>
      </c>
      <c r="C111" s="4" t="s">
        <v>2006</v>
      </c>
      <c r="D111" s="4">
        <v>3</v>
      </c>
      <c r="E111" s="4" t="s">
        <v>283</v>
      </c>
      <c r="F111" s="4">
        <v>10</v>
      </c>
      <c r="G111" s="4">
        <v>8</v>
      </c>
      <c r="H111" s="4">
        <v>6</v>
      </c>
      <c r="I111" s="4">
        <v>1.7918299999999999E-3</v>
      </c>
      <c r="J111" s="4">
        <v>1.9631700000000002E-3</v>
      </c>
      <c r="K111" s="5">
        <v>9.6599999999999995E-4</v>
      </c>
      <c r="L111" s="4">
        <v>0.60324540000000004</v>
      </c>
      <c r="M111" s="4">
        <v>0.40604758000000002</v>
      </c>
      <c r="N111" s="4">
        <v>0.28528666000000003</v>
      </c>
      <c r="O111" s="4">
        <v>31</v>
      </c>
      <c r="P111" s="4">
        <v>25</v>
      </c>
      <c r="Q111" s="4">
        <v>21</v>
      </c>
      <c r="R111" s="6">
        <v>0.20499999999999999</v>
      </c>
      <c r="S111" s="6">
        <v>0.14799999999999999</v>
      </c>
      <c r="T111" s="6">
        <v>0.109</v>
      </c>
    </row>
    <row r="112" spans="1:20" ht="18" x14ac:dyDescent="0.2">
      <c r="A112" s="4" t="s">
        <v>1291</v>
      </c>
      <c r="B112" s="4" t="s">
        <v>2009</v>
      </c>
      <c r="C112" s="4" t="s">
        <v>2006</v>
      </c>
      <c r="D112" s="4">
        <v>3</v>
      </c>
      <c r="E112" s="4" t="s">
        <v>283</v>
      </c>
      <c r="F112" s="4">
        <v>3</v>
      </c>
      <c r="G112" s="4">
        <v>4</v>
      </c>
      <c r="H112" s="4">
        <v>5</v>
      </c>
      <c r="I112" s="5">
        <v>1.47E-4</v>
      </c>
      <c r="J112" s="5">
        <v>1.3300000000000001E-4</v>
      </c>
      <c r="K112" s="5">
        <v>9.7299999999999993E-5</v>
      </c>
      <c r="L112" s="4">
        <v>7.3989390000000002E-2</v>
      </c>
      <c r="M112" s="4">
        <v>0.15080035</v>
      </c>
      <c r="N112" s="4">
        <v>0.15080035</v>
      </c>
      <c r="O112" s="4">
        <v>6</v>
      </c>
      <c r="P112" s="4">
        <v>4</v>
      </c>
      <c r="Q112" s="4">
        <v>5</v>
      </c>
      <c r="R112" s="6">
        <v>3.1E-2</v>
      </c>
      <c r="S112" s="6">
        <v>6.0999999999999999E-2</v>
      </c>
      <c r="T112" s="6">
        <v>6.0999999999999999E-2</v>
      </c>
    </row>
    <row r="113" spans="1:20" ht="18" x14ac:dyDescent="0.2">
      <c r="A113" s="4" t="s">
        <v>1292</v>
      </c>
      <c r="B113" s="4" t="s">
        <v>2010</v>
      </c>
      <c r="C113" s="4" t="s">
        <v>2006</v>
      </c>
      <c r="D113" s="4">
        <v>3</v>
      </c>
      <c r="E113" s="4" t="s">
        <v>283</v>
      </c>
      <c r="F113" s="4">
        <v>3</v>
      </c>
      <c r="G113" s="4">
        <v>13</v>
      </c>
      <c r="H113" s="4">
        <v>5</v>
      </c>
      <c r="I113" s="5">
        <v>1.0399999999999999E-4</v>
      </c>
      <c r="J113" s="5">
        <v>6.0099999999999997E-4</v>
      </c>
      <c r="K113" s="5">
        <v>1.45E-4</v>
      </c>
      <c r="L113" s="4">
        <v>4.2317390000000003E-2</v>
      </c>
      <c r="M113" s="4">
        <v>0.55955242999999999</v>
      </c>
      <c r="N113" s="4">
        <v>0.19949937000000001</v>
      </c>
      <c r="O113" s="4">
        <v>4</v>
      </c>
      <c r="P113" s="4">
        <v>17</v>
      </c>
      <c r="Q113" s="4">
        <v>7</v>
      </c>
      <c r="R113" s="6">
        <v>1.7999999999999999E-2</v>
      </c>
      <c r="S113" s="6">
        <v>0.193</v>
      </c>
      <c r="T113" s="6">
        <v>7.9000000000000001E-2</v>
      </c>
    </row>
    <row r="114" spans="1:20" ht="18" x14ac:dyDescent="0.2">
      <c r="A114" s="4" t="s">
        <v>1293</v>
      </c>
      <c r="B114" s="4" t="s">
        <v>2011</v>
      </c>
      <c r="C114" s="4" t="s">
        <v>144</v>
      </c>
      <c r="D114" s="4">
        <v>3</v>
      </c>
      <c r="E114" s="4" t="s">
        <v>283</v>
      </c>
      <c r="F114" s="4">
        <v>3</v>
      </c>
      <c r="G114" s="4">
        <v>7</v>
      </c>
      <c r="H114" s="4">
        <v>4</v>
      </c>
      <c r="I114" s="5">
        <v>2.0100000000000001E-4</v>
      </c>
      <c r="J114" s="5">
        <v>4.28E-4</v>
      </c>
      <c r="K114" s="5">
        <v>1.37E-4</v>
      </c>
      <c r="L114" s="4">
        <v>4.4720169999999997E-2</v>
      </c>
      <c r="M114" s="4">
        <v>0.25025903999999999</v>
      </c>
      <c r="N114" s="4">
        <v>0.19674051000000001</v>
      </c>
      <c r="O114" s="4">
        <v>7</v>
      </c>
      <c r="P114" s="4">
        <v>11</v>
      </c>
      <c r="Q114" s="4">
        <v>6</v>
      </c>
      <c r="R114" s="6">
        <v>1.9E-2</v>
      </c>
      <c r="S114" s="6">
        <v>9.7000000000000003E-2</v>
      </c>
      <c r="T114" s="6">
        <v>7.8E-2</v>
      </c>
    </row>
    <row r="115" spans="1:20" ht="18" x14ac:dyDescent="0.2">
      <c r="A115" s="4" t="s">
        <v>1294</v>
      </c>
      <c r="B115" s="4" t="s">
        <v>2012</v>
      </c>
      <c r="C115" s="4" t="s">
        <v>144</v>
      </c>
      <c r="D115" s="4">
        <v>3</v>
      </c>
      <c r="E115" s="4" t="s">
        <v>283</v>
      </c>
      <c r="F115" s="4">
        <v>12</v>
      </c>
      <c r="G115" s="4">
        <v>21</v>
      </c>
      <c r="H115" s="4">
        <v>13</v>
      </c>
      <c r="I115" s="5">
        <v>7.1599999999999995E-4</v>
      </c>
      <c r="J115" s="4">
        <v>1.3234E-3</v>
      </c>
      <c r="K115" s="5">
        <v>4.5600000000000003E-4</v>
      </c>
      <c r="L115" s="4">
        <v>0.26473629999999998</v>
      </c>
      <c r="M115" s="4">
        <v>0.81134010000000001</v>
      </c>
      <c r="N115" s="4">
        <v>0.54170050000000003</v>
      </c>
      <c r="O115" s="4">
        <v>25</v>
      </c>
      <c r="P115" s="4">
        <v>34</v>
      </c>
      <c r="Q115" s="4">
        <v>20</v>
      </c>
      <c r="R115" s="6">
        <v>0.10199999999999999</v>
      </c>
      <c r="S115" s="6">
        <v>0.25800000000000001</v>
      </c>
      <c r="T115" s="6">
        <v>0.188</v>
      </c>
    </row>
    <row r="116" spans="1:20" ht="18" x14ac:dyDescent="0.2">
      <c r="A116" s="4" t="s">
        <v>1295</v>
      </c>
      <c r="B116" s="4" t="s">
        <v>2013</v>
      </c>
      <c r="C116" s="4" t="s">
        <v>144</v>
      </c>
      <c r="D116" s="4">
        <v>3</v>
      </c>
      <c r="E116" s="4" t="s">
        <v>283</v>
      </c>
      <c r="F116" s="4">
        <v>12</v>
      </c>
      <c r="G116" s="4">
        <v>21</v>
      </c>
      <c r="H116" s="4">
        <v>13</v>
      </c>
      <c r="I116" s="5">
        <v>7.1599999999999995E-4</v>
      </c>
      <c r="J116" s="4">
        <v>1.3234E-3</v>
      </c>
      <c r="K116" s="5">
        <v>4.5600000000000003E-4</v>
      </c>
      <c r="L116" s="4">
        <v>0.26473629999999998</v>
      </c>
      <c r="M116" s="4">
        <v>0.81134010000000001</v>
      </c>
      <c r="N116" s="4">
        <v>0.54170050000000003</v>
      </c>
      <c r="O116" s="4">
        <v>25</v>
      </c>
      <c r="P116" s="4">
        <v>34</v>
      </c>
      <c r="Q116" s="4">
        <v>20</v>
      </c>
      <c r="R116" s="6">
        <v>0.10199999999999999</v>
      </c>
      <c r="S116" s="6">
        <v>0.25800000000000001</v>
      </c>
      <c r="T116" s="6">
        <v>0.188</v>
      </c>
    </row>
    <row r="117" spans="1:20" ht="18" x14ac:dyDescent="0.2">
      <c r="A117" s="4" t="s">
        <v>1296</v>
      </c>
      <c r="B117" s="4" t="s">
        <v>2014</v>
      </c>
      <c r="C117" s="4" t="s">
        <v>144</v>
      </c>
      <c r="D117" s="4">
        <v>3</v>
      </c>
      <c r="E117" s="4" t="s">
        <v>283</v>
      </c>
      <c r="F117" s="4">
        <v>12</v>
      </c>
      <c r="G117" s="4">
        <v>11</v>
      </c>
      <c r="H117" s="4">
        <v>6</v>
      </c>
      <c r="I117" s="5">
        <v>7.1500000000000003E-4</v>
      </c>
      <c r="J117" s="5">
        <v>8.1599999999999999E-4</v>
      </c>
      <c r="K117" s="5">
        <v>2.2699999999999999E-4</v>
      </c>
      <c r="L117" s="4">
        <v>0.26473629999999998</v>
      </c>
      <c r="M117" s="4">
        <v>0.26473629999999998</v>
      </c>
      <c r="N117" s="4">
        <v>0.12201846</v>
      </c>
      <c r="O117" s="4">
        <v>25</v>
      </c>
      <c r="P117" s="4">
        <v>21</v>
      </c>
      <c r="Q117" s="4">
        <v>10</v>
      </c>
      <c r="R117" s="6">
        <v>0.10199999999999999</v>
      </c>
      <c r="S117" s="6">
        <v>0.10199999999999999</v>
      </c>
      <c r="T117" s="6">
        <v>0.05</v>
      </c>
    </row>
    <row r="118" spans="1:20" ht="18" x14ac:dyDescent="0.2">
      <c r="A118" s="4" t="s">
        <v>1297</v>
      </c>
      <c r="B118" s="4" t="s">
        <v>2015</v>
      </c>
      <c r="C118" s="4" t="s">
        <v>96</v>
      </c>
      <c r="D118" s="4">
        <v>2</v>
      </c>
      <c r="E118" s="4" t="s">
        <v>181</v>
      </c>
      <c r="F118" s="4">
        <v>6</v>
      </c>
      <c r="G118" s="4">
        <v>2</v>
      </c>
      <c r="H118" s="4">
        <v>0</v>
      </c>
      <c r="I118" s="5">
        <v>2.1100000000000001E-4</v>
      </c>
      <c r="J118" s="5">
        <v>8.1899999999999999E-5</v>
      </c>
      <c r="K118" s="4">
        <v>0</v>
      </c>
      <c r="L118" s="4">
        <v>0.18304156999999999</v>
      </c>
      <c r="M118" s="4">
        <v>8.1434010000000001E-2</v>
      </c>
      <c r="N118" s="4">
        <v>0</v>
      </c>
      <c r="O118" s="4">
        <v>7</v>
      </c>
      <c r="P118" s="4">
        <v>2</v>
      </c>
      <c r="Q118" s="4">
        <v>0</v>
      </c>
      <c r="R118" s="6">
        <v>7.2999999999999995E-2</v>
      </c>
      <c r="S118" s="6">
        <v>3.4000000000000002E-2</v>
      </c>
      <c r="T118" s="4">
        <v>0</v>
      </c>
    </row>
    <row r="119" spans="1:20" ht="18" x14ac:dyDescent="0.2">
      <c r="A119" s="4" t="s">
        <v>1298</v>
      </c>
      <c r="B119" s="4" t="s">
        <v>2016</v>
      </c>
      <c r="C119" s="4" t="s">
        <v>96</v>
      </c>
      <c r="D119" s="4">
        <v>3</v>
      </c>
      <c r="E119" s="4" t="s">
        <v>283</v>
      </c>
      <c r="F119" s="4">
        <v>3</v>
      </c>
      <c r="G119" s="4">
        <v>3</v>
      </c>
      <c r="H119" s="4">
        <v>2</v>
      </c>
      <c r="I119" s="5">
        <v>1.47E-4</v>
      </c>
      <c r="J119" s="5">
        <v>2.0000000000000001E-4</v>
      </c>
      <c r="K119" s="5">
        <v>7.7999999999999999E-5</v>
      </c>
      <c r="L119" s="4">
        <v>0.13762724000000001</v>
      </c>
      <c r="M119" s="4">
        <v>0.13762724000000001</v>
      </c>
      <c r="N119" s="4">
        <v>0.13762724000000001</v>
      </c>
      <c r="O119" s="4">
        <v>3</v>
      </c>
      <c r="P119" s="4">
        <v>3</v>
      </c>
      <c r="Q119" s="4">
        <v>2</v>
      </c>
      <c r="R119" s="6">
        <v>5.6000000000000001E-2</v>
      </c>
      <c r="S119" s="6">
        <v>5.6000000000000001E-2</v>
      </c>
      <c r="T119" s="6">
        <v>5.6000000000000001E-2</v>
      </c>
    </row>
    <row r="120" spans="1:20" ht="18" x14ac:dyDescent="0.2">
      <c r="A120" s="4" t="s">
        <v>1299</v>
      </c>
      <c r="B120" s="4" t="s">
        <v>2017</v>
      </c>
      <c r="C120" s="4" t="s">
        <v>96</v>
      </c>
      <c r="D120" s="4">
        <v>3</v>
      </c>
      <c r="E120" s="4" t="s">
        <v>283</v>
      </c>
      <c r="F120" s="4">
        <v>10</v>
      </c>
      <c r="G120" s="4">
        <v>8</v>
      </c>
      <c r="H120" s="4">
        <v>6</v>
      </c>
      <c r="I120" s="4">
        <v>2.6303099999999999E-3</v>
      </c>
      <c r="J120" s="4">
        <v>2.8818300000000002E-3</v>
      </c>
      <c r="K120" s="4">
        <v>1.41786E-3</v>
      </c>
      <c r="L120" s="4">
        <v>0.99986184</v>
      </c>
      <c r="M120" s="4">
        <v>0.65196180000000004</v>
      </c>
      <c r="N120" s="4">
        <v>0.44543981999999999</v>
      </c>
      <c r="O120" s="4">
        <v>31</v>
      </c>
      <c r="P120" s="4">
        <v>25</v>
      </c>
      <c r="Q120" s="4">
        <v>21</v>
      </c>
      <c r="R120" s="6">
        <v>0.30099999999999999</v>
      </c>
      <c r="S120" s="6">
        <v>0.218</v>
      </c>
      <c r="T120" s="6">
        <v>0.16</v>
      </c>
    </row>
    <row r="121" spans="1:20" ht="18" x14ac:dyDescent="0.2">
      <c r="A121" s="4" t="s">
        <v>1300</v>
      </c>
      <c r="B121" s="4" t="s">
        <v>2016</v>
      </c>
      <c r="C121" s="4" t="s">
        <v>96</v>
      </c>
      <c r="D121" s="4">
        <v>3</v>
      </c>
      <c r="E121" s="4" t="s">
        <v>283</v>
      </c>
      <c r="F121" s="4">
        <v>3</v>
      </c>
      <c r="G121" s="4">
        <v>4</v>
      </c>
      <c r="H121" s="4">
        <v>2</v>
      </c>
      <c r="I121" s="5">
        <v>1.35E-4</v>
      </c>
      <c r="J121" s="5">
        <v>2.4399999999999999E-4</v>
      </c>
      <c r="K121" s="5">
        <v>7.1400000000000001E-5</v>
      </c>
      <c r="L121" s="4">
        <v>0.12460494</v>
      </c>
      <c r="M121" s="4">
        <v>0.28233063000000003</v>
      </c>
      <c r="N121" s="4">
        <v>0.12460494</v>
      </c>
      <c r="O121" s="4">
        <v>3</v>
      </c>
      <c r="P121" s="4">
        <v>4</v>
      </c>
      <c r="Q121" s="4">
        <v>2</v>
      </c>
      <c r="R121" s="6">
        <v>5.0999999999999997E-2</v>
      </c>
      <c r="S121" s="6">
        <v>0.108</v>
      </c>
      <c r="T121" s="6">
        <v>5.0999999999999997E-2</v>
      </c>
    </row>
    <row r="122" spans="1:20" ht="18" x14ac:dyDescent="0.2">
      <c r="A122" s="4" t="s">
        <v>1301</v>
      </c>
      <c r="B122" s="4" t="s">
        <v>2018</v>
      </c>
      <c r="C122" s="4" t="s">
        <v>96</v>
      </c>
      <c r="D122" s="4">
        <v>3</v>
      </c>
      <c r="E122" s="4" t="s">
        <v>283</v>
      </c>
      <c r="F122" s="4">
        <v>3</v>
      </c>
      <c r="G122" s="4">
        <v>4</v>
      </c>
      <c r="H122" s="4">
        <v>2</v>
      </c>
      <c r="I122" s="5">
        <v>1.35E-4</v>
      </c>
      <c r="J122" s="5">
        <v>2.4399999999999999E-4</v>
      </c>
      <c r="K122" s="5">
        <v>7.1400000000000001E-5</v>
      </c>
      <c r="L122" s="4">
        <v>0.12460494</v>
      </c>
      <c r="M122" s="4">
        <v>0.28233063000000003</v>
      </c>
      <c r="N122" s="4">
        <v>0.12460494</v>
      </c>
      <c r="O122" s="4">
        <v>3</v>
      </c>
      <c r="P122" s="4">
        <v>4</v>
      </c>
      <c r="Q122" s="4">
        <v>2</v>
      </c>
      <c r="R122" s="6">
        <v>5.0999999999999997E-2</v>
      </c>
      <c r="S122" s="6">
        <v>0.108</v>
      </c>
      <c r="T122" s="6">
        <v>5.0999999999999997E-2</v>
      </c>
    </row>
    <row r="123" spans="1:20" ht="18" x14ac:dyDescent="0.2">
      <c r="A123" s="4" t="s">
        <v>1302</v>
      </c>
      <c r="B123" s="4" t="s">
        <v>2019</v>
      </c>
      <c r="C123" s="4" t="s">
        <v>96</v>
      </c>
      <c r="D123" s="4">
        <v>3</v>
      </c>
      <c r="E123" s="4" t="s">
        <v>283</v>
      </c>
      <c r="F123" s="4">
        <v>3</v>
      </c>
      <c r="G123" s="4">
        <v>3</v>
      </c>
      <c r="H123" s="4">
        <v>2</v>
      </c>
      <c r="I123" s="5">
        <v>1.35E-4</v>
      </c>
      <c r="J123" s="5">
        <v>1.83E-4</v>
      </c>
      <c r="K123" s="5">
        <v>7.1400000000000001E-5</v>
      </c>
      <c r="L123" s="4">
        <v>0.12460494</v>
      </c>
      <c r="M123" s="4">
        <v>0.12460494</v>
      </c>
      <c r="N123" s="4">
        <v>0.12460494</v>
      </c>
      <c r="O123" s="4">
        <v>3</v>
      </c>
      <c r="P123" s="4">
        <v>3</v>
      </c>
      <c r="Q123" s="4">
        <v>2</v>
      </c>
      <c r="R123" s="6">
        <v>5.0999999999999997E-2</v>
      </c>
      <c r="S123" s="6">
        <v>5.0999999999999997E-2</v>
      </c>
      <c r="T123" s="6">
        <v>5.0999999999999997E-2</v>
      </c>
    </row>
    <row r="124" spans="1:20" ht="18" x14ac:dyDescent="0.2">
      <c r="A124" s="4" t="s">
        <v>1303</v>
      </c>
      <c r="B124" s="4" t="s">
        <v>2020</v>
      </c>
      <c r="C124" s="4" t="s">
        <v>96</v>
      </c>
      <c r="D124" s="4">
        <v>2</v>
      </c>
      <c r="E124" s="4" t="s">
        <v>181</v>
      </c>
      <c r="F124" s="4">
        <v>4</v>
      </c>
      <c r="G124" s="4">
        <v>2</v>
      </c>
      <c r="H124" s="4">
        <v>0</v>
      </c>
      <c r="I124" s="5">
        <v>3.39E-4</v>
      </c>
      <c r="J124" s="5">
        <v>2.31E-4</v>
      </c>
      <c r="K124" s="4">
        <v>0</v>
      </c>
      <c r="L124" s="4">
        <v>0.38356637999999998</v>
      </c>
      <c r="M124" s="4">
        <v>0.14287830000000001</v>
      </c>
      <c r="N124" s="4">
        <v>0</v>
      </c>
      <c r="O124" s="4">
        <v>4</v>
      </c>
      <c r="P124" s="4">
        <v>2</v>
      </c>
      <c r="Q124" s="4">
        <v>0</v>
      </c>
      <c r="R124" s="6">
        <v>0.14099999999999999</v>
      </c>
      <c r="S124" s="6">
        <v>5.8000000000000003E-2</v>
      </c>
      <c r="T124" s="4">
        <v>0</v>
      </c>
    </row>
    <row r="125" spans="1:20" ht="18" x14ac:dyDescent="0.2">
      <c r="A125" s="4" t="s">
        <v>1304</v>
      </c>
      <c r="B125" s="4" t="s">
        <v>2021</v>
      </c>
      <c r="C125" s="4" t="s">
        <v>51</v>
      </c>
      <c r="D125" s="4">
        <v>3</v>
      </c>
      <c r="E125" s="4" t="s">
        <v>283</v>
      </c>
      <c r="F125" s="4">
        <v>3</v>
      </c>
      <c r="G125" s="4">
        <v>2</v>
      </c>
      <c r="H125" s="4">
        <v>2</v>
      </c>
      <c r="I125" s="5">
        <v>4.3199999999999998E-4</v>
      </c>
      <c r="J125" s="5">
        <v>1.95E-4</v>
      </c>
      <c r="K125" s="5">
        <v>1.1400000000000001E-4</v>
      </c>
      <c r="L125" s="4">
        <v>0.1614486</v>
      </c>
      <c r="M125" s="4">
        <v>0.1614486</v>
      </c>
      <c r="N125" s="4">
        <v>0.1614486</v>
      </c>
      <c r="O125" s="4">
        <v>6</v>
      </c>
      <c r="P125" s="4">
        <v>2</v>
      </c>
      <c r="Q125" s="4">
        <v>2</v>
      </c>
      <c r="R125" s="6">
        <v>6.5000000000000002E-2</v>
      </c>
      <c r="S125" s="6">
        <v>6.5000000000000002E-2</v>
      </c>
      <c r="T125" s="6">
        <v>6.5000000000000002E-2</v>
      </c>
    </row>
    <row r="126" spans="1:20" ht="18" x14ac:dyDescent="0.2">
      <c r="A126" s="4" t="s">
        <v>1305</v>
      </c>
      <c r="B126" s="4" t="s">
        <v>2022</v>
      </c>
      <c r="C126" s="4" t="s">
        <v>51</v>
      </c>
      <c r="D126" s="4">
        <v>2</v>
      </c>
      <c r="E126" s="4" t="s">
        <v>181</v>
      </c>
      <c r="F126" s="4">
        <v>2</v>
      </c>
      <c r="G126" s="4">
        <v>3</v>
      </c>
      <c r="H126" s="4">
        <v>0</v>
      </c>
      <c r="I126" s="5">
        <v>1.2999999999999999E-4</v>
      </c>
      <c r="J126" s="5">
        <v>2.6600000000000001E-4</v>
      </c>
      <c r="K126" s="4">
        <v>0</v>
      </c>
      <c r="L126" s="4">
        <v>0.15877736000000001</v>
      </c>
      <c r="M126" s="4">
        <v>0.15877736000000001</v>
      </c>
      <c r="N126" s="4">
        <v>0</v>
      </c>
      <c r="O126" s="4">
        <v>2</v>
      </c>
      <c r="P126" s="4">
        <v>3</v>
      </c>
      <c r="Q126" s="4">
        <v>0</v>
      </c>
      <c r="R126" s="6">
        <v>6.4000000000000001E-2</v>
      </c>
      <c r="S126" s="6">
        <v>6.4000000000000001E-2</v>
      </c>
      <c r="T126" s="4">
        <v>0</v>
      </c>
    </row>
    <row r="127" spans="1:20" ht="18" x14ac:dyDescent="0.2">
      <c r="A127" s="4" t="s">
        <v>1306</v>
      </c>
      <c r="B127" s="4" t="s">
        <v>2023</v>
      </c>
      <c r="C127" s="4" t="s">
        <v>51</v>
      </c>
      <c r="D127" s="4">
        <v>2</v>
      </c>
      <c r="E127" s="4" t="s">
        <v>131</v>
      </c>
      <c r="F127" s="4">
        <v>3</v>
      </c>
      <c r="G127" s="4">
        <v>0</v>
      </c>
      <c r="H127" s="4">
        <v>3</v>
      </c>
      <c r="I127" s="5">
        <v>1.18E-4</v>
      </c>
      <c r="J127" s="4">
        <v>0</v>
      </c>
      <c r="K127" s="5">
        <v>7.0699999999999997E-5</v>
      </c>
      <c r="L127" s="4">
        <v>0.10407864999999999</v>
      </c>
      <c r="M127" s="4">
        <v>0</v>
      </c>
      <c r="N127" s="4">
        <v>0.10407864999999999</v>
      </c>
      <c r="O127" s="4">
        <v>4</v>
      </c>
      <c r="P127" s="4">
        <v>0</v>
      </c>
      <c r="Q127" s="4">
        <v>3</v>
      </c>
      <c r="R127" s="6">
        <v>4.2999999999999997E-2</v>
      </c>
      <c r="S127" s="4">
        <v>0</v>
      </c>
      <c r="T127" s="6">
        <v>4.2999999999999997E-2</v>
      </c>
    </row>
    <row r="128" spans="1:20" ht="18" x14ac:dyDescent="0.2">
      <c r="A128" s="4" t="s">
        <v>1307</v>
      </c>
      <c r="B128" s="4" t="s">
        <v>2024</v>
      </c>
      <c r="C128" s="4" t="s">
        <v>51</v>
      </c>
      <c r="D128" s="4">
        <v>2</v>
      </c>
      <c r="E128" s="4" t="s">
        <v>131</v>
      </c>
      <c r="F128" s="4">
        <v>3</v>
      </c>
      <c r="G128" s="4">
        <v>0</v>
      </c>
      <c r="H128" s="4">
        <v>3</v>
      </c>
      <c r="I128" s="5">
        <v>1.1900000000000001E-4</v>
      </c>
      <c r="J128" s="4">
        <v>0</v>
      </c>
      <c r="K128" s="5">
        <v>7.08E-5</v>
      </c>
      <c r="L128" s="4">
        <v>0.10407864999999999</v>
      </c>
      <c r="M128" s="4">
        <v>0</v>
      </c>
      <c r="N128" s="4">
        <v>0.10407864999999999</v>
      </c>
      <c r="O128" s="4">
        <v>4</v>
      </c>
      <c r="P128" s="4">
        <v>0</v>
      </c>
      <c r="Q128" s="4">
        <v>3</v>
      </c>
      <c r="R128" s="6">
        <v>4.2999999999999997E-2</v>
      </c>
      <c r="S128" s="4">
        <v>0</v>
      </c>
      <c r="T128" s="6">
        <v>4.2999999999999997E-2</v>
      </c>
    </row>
    <row r="129" spans="1:20" ht="18" x14ac:dyDescent="0.2">
      <c r="A129" s="4" t="s">
        <v>1308</v>
      </c>
      <c r="B129" s="4" t="s">
        <v>2025</v>
      </c>
      <c r="C129" s="4" t="s">
        <v>51</v>
      </c>
      <c r="D129" s="4">
        <v>2</v>
      </c>
      <c r="E129" s="4" t="s">
        <v>131</v>
      </c>
      <c r="F129" s="4">
        <v>3</v>
      </c>
      <c r="G129" s="4">
        <v>0</v>
      </c>
      <c r="H129" s="4">
        <v>2</v>
      </c>
      <c r="I129" s="5">
        <v>1.54E-4</v>
      </c>
      <c r="J129" s="4">
        <v>0</v>
      </c>
      <c r="K129" s="5">
        <v>4.9100000000000001E-5</v>
      </c>
      <c r="L129" s="4">
        <v>7.8946710000000003E-2</v>
      </c>
      <c r="M129" s="4">
        <v>0</v>
      </c>
      <c r="N129" s="4">
        <v>7.8946710000000003E-2</v>
      </c>
      <c r="O129" s="4">
        <v>5</v>
      </c>
      <c r="P129" s="4">
        <v>0</v>
      </c>
      <c r="Q129" s="4">
        <v>2</v>
      </c>
      <c r="R129" s="6">
        <v>3.3000000000000002E-2</v>
      </c>
      <c r="S129" s="4">
        <v>0</v>
      </c>
      <c r="T129" s="6">
        <v>3.3000000000000002E-2</v>
      </c>
    </row>
    <row r="130" spans="1:20" ht="18" x14ac:dyDescent="0.2">
      <c r="A130" s="4" t="s">
        <v>1309</v>
      </c>
      <c r="B130" s="4" t="s">
        <v>2026</v>
      </c>
      <c r="C130" s="4" t="s">
        <v>51</v>
      </c>
      <c r="D130" s="4">
        <v>2</v>
      </c>
      <c r="E130" s="4" t="s">
        <v>131</v>
      </c>
      <c r="F130" s="4">
        <v>3</v>
      </c>
      <c r="G130" s="4">
        <v>0</v>
      </c>
      <c r="H130" s="4">
        <v>3</v>
      </c>
      <c r="I130" s="5">
        <v>1.94E-4</v>
      </c>
      <c r="J130" s="4">
        <v>0</v>
      </c>
      <c r="K130" s="5">
        <v>1.16E-4</v>
      </c>
      <c r="L130" s="4">
        <v>0.17489755000000001</v>
      </c>
      <c r="M130" s="4">
        <v>0</v>
      </c>
      <c r="N130" s="4">
        <v>0.17489755000000001</v>
      </c>
      <c r="O130" s="4">
        <v>4</v>
      </c>
      <c r="P130" s="4">
        <v>0</v>
      </c>
      <c r="Q130" s="4">
        <v>3</v>
      </c>
      <c r="R130" s="6">
        <v>7.0000000000000007E-2</v>
      </c>
      <c r="S130" s="4">
        <v>0</v>
      </c>
      <c r="T130" s="6">
        <v>7.0000000000000007E-2</v>
      </c>
    </row>
    <row r="131" spans="1:20" ht="18" x14ac:dyDescent="0.2">
      <c r="A131" s="4" t="s">
        <v>1310</v>
      </c>
      <c r="B131" s="4" t="s">
        <v>2027</v>
      </c>
      <c r="C131" s="4" t="s">
        <v>2028</v>
      </c>
      <c r="D131" s="4">
        <v>3</v>
      </c>
      <c r="E131" s="4" t="s">
        <v>283</v>
      </c>
      <c r="F131" s="4">
        <v>5</v>
      </c>
      <c r="G131" s="4">
        <v>2</v>
      </c>
      <c r="H131" s="4">
        <v>3</v>
      </c>
      <c r="I131" s="5">
        <v>1.3999999999999999E-4</v>
      </c>
      <c r="J131" s="5">
        <v>5.4200000000000003E-5</v>
      </c>
      <c r="K131" s="5">
        <v>6.3499999999999999E-5</v>
      </c>
      <c r="L131" s="4">
        <v>9.1440320000000005E-2</v>
      </c>
      <c r="M131" s="4">
        <v>4.2317390000000003E-2</v>
      </c>
      <c r="N131" s="4">
        <v>4.2317390000000003E-2</v>
      </c>
      <c r="O131" s="4">
        <v>7</v>
      </c>
      <c r="P131" s="4">
        <v>2</v>
      </c>
      <c r="Q131" s="4">
        <v>4</v>
      </c>
      <c r="R131" s="6">
        <v>3.7999999999999999E-2</v>
      </c>
      <c r="S131" s="6">
        <v>1.7999999999999999E-2</v>
      </c>
      <c r="T131" s="6">
        <v>1.7999999999999999E-2</v>
      </c>
    </row>
    <row r="132" spans="1:20" ht="18" x14ac:dyDescent="0.2">
      <c r="A132" s="4" t="s">
        <v>1311</v>
      </c>
      <c r="B132" s="4" t="s">
        <v>2029</v>
      </c>
      <c r="C132" s="4" t="s">
        <v>2028</v>
      </c>
      <c r="D132" s="4">
        <v>3</v>
      </c>
      <c r="E132" s="4" t="s">
        <v>283</v>
      </c>
      <c r="F132" s="4">
        <v>3</v>
      </c>
      <c r="G132" s="4">
        <v>2</v>
      </c>
      <c r="H132" s="4">
        <v>2</v>
      </c>
      <c r="I132" s="5">
        <v>4.3199999999999998E-4</v>
      </c>
      <c r="J132" s="5">
        <v>1.95E-4</v>
      </c>
      <c r="K132" s="5">
        <v>1.1400000000000001E-4</v>
      </c>
      <c r="L132" s="4">
        <v>0.1614486</v>
      </c>
      <c r="M132" s="4">
        <v>0.1614486</v>
      </c>
      <c r="N132" s="4">
        <v>0.1614486</v>
      </c>
      <c r="O132" s="4">
        <v>6</v>
      </c>
      <c r="P132" s="4">
        <v>2</v>
      </c>
      <c r="Q132" s="4">
        <v>2</v>
      </c>
      <c r="R132" s="6">
        <v>6.5000000000000002E-2</v>
      </c>
      <c r="S132" s="6">
        <v>6.5000000000000002E-2</v>
      </c>
      <c r="T132" s="6">
        <v>6.5000000000000002E-2</v>
      </c>
    </row>
    <row r="133" spans="1:20" ht="18" x14ac:dyDescent="0.2">
      <c r="A133" s="4" t="s">
        <v>1312</v>
      </c>
      <c r="B133" s="4" t="s">
        <v>2016</v>
      </c>
      <c r="C133" s="4" t="s">
        <v>2028</v>
      </c>
      <c r="D133" s="4">
        <v>2</v>
      </c>
      <c r="E133" s="4" t="s">
        <v>181</v>
      </c>
      <c r="F133" s="4">
        <v>3</v>
      </c>
      <c r="G133" s="4">
        <v>6</v>
      </c>
      <c r="H133" s="4">
        <v>0</v>
      </c>
      <c r="I133" s="5">
        <v>1.64E-4</v>
      </c>
      <c r="J133" s="5">
        <v>1.6699999999999999E-4</v>
      </c>
      <c r="K133" s="4">
        <v>0</v>
      </c>
      <c r="L133" s="4">
        <v>3.9920209999999998E-2</v>
      </c>
      <c r="M133" s="4">
        <v>0.14815365999999999</v>
      </c>
      <c r="N133" s="4">
        <v>0</v>
      </c>
      <c r="O133" s="4">
        <v>8</v>
      </c>
      <c r="P133" s="4">
        <v>6</v>
      </c>
      <c r="Q133" s="4">
        <v>0</v>
      </c>
      <c r="R133" s="6">
        <v>1.7000000000000001E-2</v>
      </c>
      <c r="S133" s="6">
        <v>0.06</v>
      </c>
      <c r="T133" s="4">
        <v>0</v>
      </c>
    </row>
    <row r="134" spans="1:20" ht="18" x14ac:dyDescent="0.2">
      <c r="A134" s="4" t="s">
        <v>1313</v>
      </c>
      <c r="B134" s="4" t="s">
        <v>2030</v>
      </c>
      <c r="C134" s="4" t="s">
        <v>241</v>
      </c>
      <c r="D134" s="4">
        <v>1</v>
      </c>
      <c r="E134" s="4" t="s">
        <v>1180</v>
      </c>
      <c r="F134" s="4">
        <v>9</v>
      </c>
      <c r="G134" s="4">
        <v>0</v>
      </c>
      <c r="H134" s="4">
        <v>0</v>
      </c>
      <c r="I134" s="4">
        <v>2.2266899999999999E-3</v>
      </c>
      <c r="J134" s="4">
        <v>0</v>
      </c>
      <c r="K134" s="4">
        <v>0</v>
      </c>
      <c r="L134" s="4">
        <v>0.74984660000000003</v>
      </c>
      <c r="M134" s="4">
        <v>0</v>
      </c>
      <c r="N134" s="4">
        <v>0</v>
      </c>
      <c r="O134" s="4">
        <v>18</v>
      </c>
      <c r="P134" s="4">
        <v>0</v>
      </c>
      <c r="Q134" s="4">
        <v>0</v>
      </c>
      <c r="R134" s="6">
        <v>0.24299999999999999</v>
      </c>
      <c r="S134" s="4">
        <v>0</v>
      </c>
      <c r="T134" s="4">
        <v>0</v>
      </c>
    </row>
    <row r="135" spans="1:20" ht="18" x14ac:dyDescent="0.2">
      <c r="A135" s="4" t="s">
        <v>1314</v>
      </c>
      <c r="B135" s="4" t="s">
        <v>2031</v>
      </c>
      <c r="C135" s="4" t="s">
        <v>51</v>
      </c>
      <c r="D135" s="4">
        <v>1</v>
      </c>
      <c r="E135" s="4" t="s">
        <v>1180</v>
      </c>
      <c r="F135" s="4">
        <v>6</v>
      </c>
      <c r="G135" s="4">
        <v>0</v>
      </c>
      <c r="H135" s="4">
        <v>0</v>
      </c>
      <c r="I135" s="5">
        <v>3.57E-4</v>
      </c>
      <c r="J135" s="4">
        <v>0</v>
      </c>
      <c r="K135" s="4">
        <v>0</v>
      </c>
      <c r="L135" s="4">
        <v>4.9542429999999998E-2</v>
      </c>
      <c r="M135" s="4">
        <v>0</v>
      </c>
      <c r="N135" s="4">
        <v>0</v>
      </c>
      <c r="O135" s="4">
        <v>14</v>
      </c>
      <c r="P135" s="4">
        <v>0</v>
      </c>
      <c r="Q135" s="4">
        <v>0</v>
      </c>
      <c r="R135" s="6">
        <v>2.1000000000000001E-2</v>
      </c>
      <c r="S135" s="4">
        <v>0</v>
      </c>
      <c r="T135" s="4">
        <v>0</v>
      </c>
    </row>
    <row r="136" spans="1:20" ht="18" x14ac:dyDescent="0.2">
      <c r="A136" s="4" t="s">
        <v>1315</v>
      </c>
      <c r="B136" s="4" t="s">
        <v>2024</v>
      </c>
      <c r="C136" s="4" t="s">
        <v>2028</v>
      </c>
      <c r="D136" s="4">
        <v>1</v>
      </c>
      <c r="E136" s="4" t="s">
        <v>1180</v>
      </c>
      <c r="F136" s="4">
        <v>6</v>
      </c>
      <c r="G136" s="4">
        <v>0</v>
      </c>
      <c r="H136" s="4">
        <v>0</v>
      </c>
      <c r="I136" s="5">
        <v>7.2199999999999999E-4</v>
      </c>
      <c r="J136" s="4">
        <v>0</v>
      </c>
      <c r="K136" s="4">
        <v>0</v>
      </c>
      <c r="L136" s="4">
        <v>0.21618604999999999</v>
      </c>
      <c r="M136" s="4">
        <v>0</v>
      </c>
      <c r="N136" s="4">
        <v>0</v>
      </c>
      <c r="O136" s="4">
        <v>9</v>
      </c>
      <c r="P136" s="4">
        <v>0</v>
      </c>
      <c r="Q136" s="4">
        <v>0</v>
      </c>
      <c r="R136" s="6">
        <v>8.5000000000000006E-2</v>
      </c>
      <c r="S136" s="4">
        <v>0</v>
      </c>
      <c r="T136" s="4">
        <v>0</v>
      </c>
    </row>
    <row r="137" spans="1:20" ht="18" x14ac:dyDescent="0.2">
      <c r="A137" s="4" t="s">
        <v>1316</v>
      </c>
      <c r="B137" s="4" t="s">
        <v>2016</v>
      </c>
      <c r="C137" s="4" t="s">
        <v>2028</v>
      </c>
      <c r="D137" s="4">
        <v>1</v>
      </c>
      <c r="E137" s="4" t="s">
        <v>1180</v>
      </c>
      <c r="F137" s="4">
        <v>6</v>
      </c>
      <c r="G137" s="4">
        <v>0</v>
      </c>
      <c r="H137" s="4">
        <v>0</v>
      </c>
      <c r="I137" s="5">
        <v>3.2600000000000001E-4</v>
      </c>
      <c r="J137" s="4">
        <v>0</v>
      </c>
      <c r="K137" s="4">
        <v>0</v>
      </c>
      <c r="L137" s="4">
        <v>0.30016959999999998</v>
      </c>
      <c r="M137" s="4">
        <v>0</v>
      </c>
      <c r="N137" s="4">
        <v>0</v>
      </c>
      <c r="O137" s="4">
        <v>11</v>
      </c>
      <c r="P137" s="4">
        <v>0</v>
      </c>
      <c r="Q137" s="4">
        <v>0</v>
      </c>
      <c r="R137" s="6">
        <v>0.114</v>
      </c>
      <c r="S137" s="4">
        <v>0</v>
      </c>
      <c r="T137" s="4">
        <v>0</v>
      </c>
    </row>
    <row r="138" spans="1:20" ht="18" x14ac:dyDescent="0.2">
      <c r="A138" s="4" t="s">
        <v>1317</v>
      </c>
      <c r="B138" s="4" t="s">
        <v>2032</v>
      </c>
      <c r="C138" s="4" t="s">
        <v>48</v>
      </c>
      <c r="D138" s="4">
        <v>1</v>
      </c>
      <c r="E138" s="4" t="s">
        <v>1180</v>
      </c>
      <c r="F138" s="4">
        <v>4</v>
      </c>
      <c r="G138" s="4">
        <v>0</v>
      </c>
      <c r="H138" s="4">
        <v>0</v>
      </c>
      <c r="I138" s="5">
        <v>1.0399999999999999E-4</v>
      </c>
      <c r="J138" s="4">
        <v>0</v>
      </c>
      <c r="K138" s="4">
        <v>0</v>
      </c>
      <c r="L138" s="4">
        <v>6.4143060000000002E-2</v>
      </c>
      <c r="M138" s="4">
        <v>0</v>
      </c>
      <c r="N138" s="4">
        <v>0</v>
      </c>
      <c r="O138" s="4">
        <v>7</v>
      </c>
      <c r="P138" s="4">
        <v>0</v>
      </c>
      <c r="Q138" s="4">
        <v>0</v>
      </c>
      <c r="R138" s="6">
        <v>2.7E-2</v>
      </c>
      <c r="S138" s="4">
        <v>0</v>
      </c>
      <c r="T138" s="4">
        <v>0</v>
      </c>
    </row>
    <row r="139" spans="1:20" ht="18" x14ac:dyDescent="0.2">
      <c r="A139" s="4" t="s">
        <v>1318</v>
      </c>
      <c r="B139" s="4" t="s">
        <v>2033</v>
      </c>
      <c r="C139" s="4" t="s">
        <v>48</v>
      </c>
      <c r="D139" s="4">
        <v>1</v>
      </c>
      <c r="E139" s="4" t="s">
        <v>1180</v>
      </c>
      <c r="F139" s="4">
        <v>3</v>
      </c>
      <c r="G139" s="4">
        <v>0</v>
      </c>
      <c r="H139" s="4">
        <v>0</v>
      </c>
      <c r="I139" s="5">
        <v>5.3299999999999998E-6</v>
      </c>
      <c r="J139" s="4">
        <v>0</v>
      </c>
      <c r="K139" s="4">
        <v>0</v>
      </c>
      <c r="L139" s="4">
        <v>6.9316600000000001E-3</v>
      </c>
      <c r="M139" s="4">
        <v>0</v>
      </c>
      <c r="N139" s="4">
        <v>0</v>
      </c>
      <c r="O139" s="4">
        <v>3</v>
      </c>
      <c r="P139" s="4">
        <v>0</v>
      </c>
      <c r="Q139" s="4">
        <v>0</v>
      </c>
      <c r="R139" s="6">
        <v>3.0000000000000001E-3</v>
      </c>
      <c r="S139" s="4">
        <v>0</v>
      </c>
      <c r="T139" s="4">
        <v>0</v>
      </c>
    </row>
    <row r="140" spans="1:20" ht="18" x14ac:dyDescent="0.2">
      <c r="A140" s="4" t="s">
        <v>1319</v>
      </c>
      <c r="B140" s="4" t="s">
        <v>2034</v>
      </c>
      <c r="C140" s="4" t="s">
        <v>48</v>
      </c>
      <c r="D140" s="4">
        <v>1</v>
      </c>
      <c r="E140" s="4" t="s">
        <v>1180</v>
      </c>
      <c r="F140" s="4">
        <v>3</v>
      </c>
      <c r="G140" s="4">
        <v>0</v>
      </c>
      <c r="H140" s="4">
        <v>0</v>
      </c>
      <c r="I140" s="5">
        <v>1.1900000000000001E-4</v>
      </c>
      <c r="J140" s="4">
        <v>0</v>
      </c>
      <c r="K140" s="4">
        <v>0</v>
      </c>
      <c r="L140" s="4">
        <v>7.3989390000000002E-2</v>
      </c>
      <c r="M140" s="4">
        <v>0</v>
      </c>
      <c r="N140" s="4">
        <v>0</v>
      </c>
      <c r="O140" s="4">
        <v>4</v>
      </c>
      <c r="P140" s="4">
        <v>0</v>
      </c>
      <c r="Q140" s="4">
        <v>0</v>
      </c>
      <c r="R140" s="6">
        <v>3.1E-2</v>
      </c>
      <c r="S140" s="4">
        <v>0</v>
      </c>
      <c r="T140" s="4">
        <v>0</v>
      </c>
    </row>
    <row r="141" spans="1:20" ht="18" x14ac:dyDescent="0.2">
      <c r="A141" s="4" t="s">
        <v>1320</v>
      </c>
      <c r="B141" s="4" t="s">
        <v>2035</v>
      </c>
      <c r="C141" s="4" t="s">
        <v>48</v>
      </c>
      <c r="D141" s="4">
        <v>1</v>
      </c>
      <c r="E141" s="4" t="s">
        <v>1180</v>
      </c>
      <c r="F141" s="4">
        <v>3</v>
      </c>
      <c r="G141" s="4">
        <v>0</v>
      </c>
      <c r="H141" s="4">
        <v>0</v>
      </c>
      <c r="I141" s="5">
        <v>8.8999999999999995E-5</v>
      </c>
      <c r="J141" s="4">
        <v>0</v>
      </c>
      <c r="K141" s="4">
        <v>0</v>
      </c>
      <c r="L141" s="4">
        <v>2.3293020000000001E-2</v>
      </c>
      <c r="M141" s="4">
        <v>0</v>
      </c>
      <c r="N141" s="4">
        <v>0</v>
      </c>
      <c r="O141" s="4">
        <v>6</v>
      </c>
      <c r="P141" s="4">
        <v>0</v>
      </c>
      <c r="Q141" s="4">
        <v>0</v>
      </c>
      <c r="R141" s="6">
        <v>0.01</v>
      </c>
      <c r="S141" s="4">
        <v>0</v>
      </c>
      <c r="T141" s="4">
        <v>0</v>
      </c>
    </row>
    <row r="142" spans="1:20" ht="18" x14ac:dyDescent="0.2">
      <c r="A142" s="4" t="s">
        <v>1321</v>
      </c>
      <c r="B142" s="4" t="s">
        <v>2036</v>
      </c>
      <c r="C142" s="4" t="s">
        <v>48</v>
      </c>
      <c r="D142" s="4">
        <v>1</v>
      </c>
      <c r="E142" s="4" t="s">
        <v>1180</v>
      </c>
      <c r="F142" s="4">
        <v>3</v>
      </c>
      <c r="G142" s="4">
        <v>0</v>
      </c>
      <c r="H142" s="4">
        <v>0</v>
      </c>
      <c r="I142" s="5">
        <v>2.7799999999999998E-4</v>
      </c>
      <c r="J142" s="4">
        <v>0</v>
      </c>
      <c r="K142" s="4">
        <v>0</v>
      </c>
      <c r="L142" s="4">
        <v>7.3989390000000002E-2</v>
      </c>
      <c r="M142" s="4">
        <v>0</v>
      </c>
      <c r="N142" s="4">
        <v>0</v>
      </c>
      <c r="O142" s="4">
        <v>6</v>
      </c>
      <c r="P142" s="4">
        <v>0</v>
      </c>
      <c r="Q142" s="4">
        <v>0</v>
      </c>
      <c r="R142" s="6">
        <v>3.1E-2</v>
      </c>
      <c r="S142" s="4">
        <v>0</v>
      </c>
      <c r="T142" s="4">
        <v>0</v>
      </c>
    </row>
    <row r="143" spans="1:20" ht="18" x14ac:dyDescent="0.2">
      <c r="A143" s="4" t="s">
        <v>1322</v>
      </c>
      <c r="B143" s="4" t="s">
        <v>2037</v>
      </c>
      <c r="C143" s="4" t="s">
        <v>48</v>
      </c>
      <c r="D143" s="4">
        <v>1</v>
      </c>
      <c r="E143" s="4" t="s">
        <v>1180</v>
      </c>
      <c r="F143" s="4">
        <v>3</v>
      </c>
      <c r="G143" s="4">
        <v>0</v>
      </c>
      <c r="H143" s="4">
        <v>0</v>
      </c>
      <c r="I143" s="5">
        <v>2.33E-4</v>
      </c>
      <c r="J143" s="4">
        <v>0</v>
      </c>
      <c r="K143" s="4">
        <v>0</v>
      </c>
      <c r="L143" s="4">
        <v>0.11173176999999999</v>
      </c>
      <c r="M143" s="4">
        <v>0</v>
      </c>
      <c r="N143" s="4">
        <v>0</v>
      </c>
      <c r="O143" s="4">
        <v>5</v>
      </c>
      <c r="P143" s="4">
        <v>0</v>
      </c>
      <c r="Q143" s="4">
        <v>0</v>
      </c>
      <c r="R143" s="6">
        <v>4.5999999999999999E-2</v>
      </c>
      <c r="S143" s="4">
        <v>0</v>
      </c>
      <c r="T143" s="4">
        <v>0</v>
      </c>
    </row>
    <row r="144" spans="1:20" ht="18" x14ac:dyDescent="0.2">
      <c r="A144" s="4" t="s">
        <v>1323</v>
      </c>
      <c r="B144" s="4" t="s">
        <v>2038</v>
      </c>
      <c r="C144" s="4" t="s">
        <v>1924</v>
      </c>
      <c r="D144" s="4">
        <v>1</v>
      </c>
      <c r="E144" s="4" t="s">
        <v>1180</v>
      </c>
      <c r="F144" s="4">
        <v>3</v>
      </c>
      <c r="G144" s="4">
        <v>0</v>
      </c>
      <c r="H144" s="4">
        <v>0</v>
      </c>
      <c r="I144" s="5">
        <v>3.6999999999999999E-4</v>
      </c>
      <c r="J144" s="4">
        <v>0</v>
      </c>
      <c r="K144" s="4">
        <v>0</v>
      </c>
      <c r="L144" s="4">
        <v>8.6425660000000001E-2</v>
      </c>
      <c r="M144" s="4">
        <v>0</v>
      </c>
      <c r="N144" s="4">
        <v>0</v>
      </c>
      <c r="O144" s="4">
        <v>11</v>
      </c>
      <c r="P144" s="4">
        <v>0</v>
      </c>
      <c r="Q144" s="4">
        <v>0</v>
      </c>
      <c r="R144" s="6">
        <v>3.5999999999999997E-2</v>
      </c>
      <c r="S144" s="4">
        <v>0</v>
      </c>
      <c r="T144" s="4">
        <v>0</v>
      </c>
    </row>
    <row r="145" spans="1:20" ht="18" x14ac:dyDescent="0.2">
      <c r="A145" s="4" t="s">
        <v>1324</v>
      </c>
      <c r="B145" s="4" t="s">
        <v>2039</v>
      </c>
      <c r="C145" s="4" t="s">
        <v>50</v>
      </c>
      <c r="D145" s="4">
        <v>1</v>
      </c>
      <c r="E145" s="4" t="s">
        <v>1180</v>
      </c>
      <c r="F145" s="4">
        <v>3</v>
      </c>
      <c r="G145" s="4">
        <v>0</v>
      </c>
      <c r="H145" s="4">
        <v>0</v>
      </c>
      <c r="I145" s="5">
        <v>1.1900000000000001E-4</v>
      </c>
      <c r="J145" s="4">
        <v>0</v>
      </c>
      <c r="K145" s="4">
        <v>0</v>
      </c>
      <c r="L145" s="4">
        <v>9.3956349999999994E-2</v>
      </c>
      <c r="M145" s="4">
        <v>0</v>
      </c>
      <c r="N145" s="4">
        <v>0</v>
      </c>
      <c r="O145" s="4">
        <v>3</v>
      </c>
      <c r="P145" s="4">
        <v>0</v>
      </c>
      <c r="Q145" s="4">
        <v>0</v>
      </c>
      <c r="R145" s="6">
        <v>3.9E-2</v>
      </c>
      <c r="S145" s="4">
        <v>0</v>
      </c>
      <c r="T145" s="4">
        <v>0</v>
      </c>
    </row>
    <row r="146" spans="1:20" ht="18" x14ac:dyDescent="0.2">
      <c r="A146" s="4" t="s">
        <v>1325</v>
      </c>
      <c r="B146" s="4" t="s">
        <v>2040</v>
      </c>
      <c r="C146" s="4" t="s">
        <v>50</v>
      </c>
      <c r="D146" s="4">
        <v>1</v>
      </c>
      <c r="E146" s="4" t="s">
        <v>1180</v>
      </c>
      <c r="F146" s="4">
        <v>3</v>
      </c>
      <c r="G146" s="4">
        <v>0</v>
      </c>
      <c r="H146" s="4">
        <v>0</v>
      </c>
      <c r="I146" s="5">
        <v>2.42E-4</v>
      </c>
      <c r="J146" s="4">
        <v>0</v>
      </c>
      <c r="K146" s="4">
        <v>0</v>
      </c>
      <c r="L146" s="4">
        <v>0.16949939999999999</v>
      </c>
      <c r="M146" s="4">
        <v>0</v>
      </c>
      <c r="N146" s="4">
        <v>0</v>
      </c>
      <c r="O146" s="4">
        <v>4</v>
      </c>
      <c r="P146" s="4">
        <v>0</v>
      </c>
      <c r="Q146" s="4">
        <v>0</v>
      </c>
      <c r="R146" s="6">
        <v>6.8000000000000005E-2</v>
      </c>
      <c r="S146" s="4">
        <v>0</v>
      </c>
      <c r="T146" s="4">
        <v>0</v>
      </c>
    </row>
    <row r="147" spans="1:20" ht="18" x14ac:dyDescent="0.2">
      <c r="A147" s="4" t="s">
        <v>1326</v>
      </c>
      <c r="B147" s="4" t="s">
        <v>2041</v>
      </c>
      <c r="C147" s="4" t="s">
        <v>1929</v>
      </c>
      <c r="D147" s="4">
        <v>1</v>
      </c>
      <c r="E147" s="4" t="s">
        <v>1180</v>
      </c>
      <c r="F147" s="4">
        <v>3</v>
      </c>
      <c r="G147" s="4">
        <v>0</v>
      </c>
      <c r="H147" s="4">
        <v>0</v>
      </c>
      <c r="I147" s="5">
        <v>1.1400000000000001E-4</v>
      </c>
      <c r="J147" s="4">
        <v>0</v>
      </c>
      <c r="K147" s="4">
        <v>0</v>
      </c>
      <c r="L147" s="4">
        <v>6.4143060000000002E-2</v>
      </c>
      <c r="M147" s="4">
        <v>0</v>
      </c>
      <c r="N147" s="4">
        <v>0</v>
      </c>
      <c r="O147" s="4">
        <v>7</v>
      </c>
      <c r="P147" s="4">
        <v>0</v>
      </c>
      <c r="Q147" s="4">
        <v>0</v>
      </c>
      <c r="R147" s="6">
        <v>2.7E-2</v>
      </c>
      <c r="S147" s="4">
        <v>0</v>
      </c>
      <c r="T147" s="4">
        <v>0</v>
      </c>
    </row>
    <row r="148" spans="1:20" ht="18" x14ac:dyDescent="0.2">
      <c r="A148" s="4" t="s">
        <v>1327</v>
      </c>
      <c r="B148" s="4" t="s">
        <v>2042</v>
      </c>
      <c r="C148" s="4" t="s">
        <v>1967</v>
      </c>
      <c r="D148" s="4">
        <v>1</v>
      </c>
      <c r="E148" s="4" t="s">
        <v>1180</v>
      </c>
      <c r="F148" s="4">
        <v>3</v>
      </c>
      <c r="G148" s="4">
        <v>0</v>
      </c>
      <c r="H148" s="4">
        <v>0</v>
      </c>
      <c r="I148" s="4">
        <v>2.6963099999999999E-3</v>
      </c>
      <c r="J148" s="4">
        <v>0</v>
      </c>
      <c r="K148" s="4">
        <v>0</v>
      </c>
      <c r="L148" s="4">
        <v>0.59955800000000004</v>
      </c>
      <c r="M148" s="4">
        <v>0</v>
      </c>
      <c r="N148" s="4">
        <v>0</v>
      </c>
      <c r="O148" s="4">
        <v>11</v>
      </c>
      <c r="P148" s="4">
        <v>0</v>
      </c>
      <c r="Q148" s="4">
        <v>0</v>
      </c>
      <c r="R148" s="6">
        <v>0.20399999999999999</v>
      </c>
      <c r="S148" s="4">
        <v>0</v>
      </c>
      <c r="T148" s="4">
        <v>0</v>
      </c>
    </row>
    <row r="149" spans="1:20" ht="18" x14ac:dyDescent="0.2">
      <c r="A149" s="4" t="s">
        <v>1328</v>
      </c>
      <c r="B149" s="4" t="s">
        <v>2043</v>
      </c>
      <c r="C149" s="4" t="s">
        <v>271</v>
      </c>
      <c r="D149" s="4">
        <v>1</v>
      </c>
      <c r="E149" s="4" t="s">
        <v>1180</v>
      </c>
      <c r="F149" s="4">
        <v>3</v>
      </c>
      <c r="G149" s="4">
        <v>0</v>
      </c>
      <c r="H149" s="4">
        <v>0</v>
      </c>
      <c r="I149" s="5">
        <v>1.3200000000000001E-5</v>
      </c>
      <c r="J149" s="4">
        <v>0</v>
      </c>
      <c r="K149" s="4">
        <v>0</v>
      </c>
      <c r="L149" s="4">
        <v>2.0939470000000002E-2</v>
      </c>
      <c r="M149" s="4">
        <v>0</v>
      </c>
      <c r="N149" s="4">
        <v>0</v>
      </c>
      <c r="O149" s="4">
        <v>3</v>
      </c>
      <c r="P149" s="4">
        <v>0</v>
      </c>
      <c r="Q149" s="4">
        <v>0</v>
      </c>
      <c r="R149" s="6">
        <v>8.9999999999999993E-3</v>
      </c>
      <c r="S149" s="4">
        <v>0</v>
      </c>
      <c r="T149" s="4">
        <v>0</v>
      </c>
    </row>
    <row r="150" spans="1:20" ht="18" x14ac:dyDescent="0.2">
      <c r="A150" s="4" t="s">
        <v>1329</v>
      </c>
      <c r="B150" s="4" t="s">
        <v>2044</v>
      </c>
      <c r="C150" s="4" t="s">
        <v>2045</v>
      </c>
      <c r="D150" s="4">
        <v>1</v>
      </c>
      <c r="E150" s="4" t="s">
        <v>1180</v>
      </c>
      <c r="F150" s="4">
        <v>3</v>
      </c>
      <c r="G150" s="4">
        <v>0</v>
      </c>
      <c r="H150" s="4">
        <v>0</v>
      </c>
      <c r="I150" s="5">
        <v>2.05E-5</v>
      </c>
      <c r="J150" s="4">
        <v>0</v>
      </c>
      <c r="K150" s="4">
        <v>0</v>
      </c>
      <c r="L150" s="4">
        <v>9.2529099999999996E-3</v>
      </c>
      <c r="M150" s="4">
        <v>0</v>
      </c>
      <c r="N150" s="4">
        <v>0</v>
      </c>
      <c r="O150" s="4">
        <v>4</v>
      </c>
      <c r="P150" s="4">
        <v>0</v>
      </c>
      <c r="Q150" s="4">
        <v>0</v>
      </c>
      <c r="R150" s="6">
        <v>4.0000000000000001E-3</v>
      </c>
      <c r="S150" s="4">
        <v>0</v>
      </c>
      <c r="T150" s="4">
        <v>0</v>
      </c>
    </row>
    <row r="151" spans="1:20" ht="18" x14ac:dyDescent="0.2">
      <c r="A151" s="4" t="s">
        <v>1330</v>
      </c>
      <c r="B151" s="4" t="s">
        <v>2046</v>
      </c>
      <c r="C151" s="4" t="s">
        <v>2045</v>
      </c>
      <c r="D151" s="4">
        <v>1</v>
      </c>
      <c r="E151" s="4" t="s">
        <v>1180</v>
      </c>
      <c r="F151" s="4">
        <v>3</v>
      </c>
      <c r="G151" s="4">
        <v>0</v>
      </c>
      <c r="H151" s="4">
        <v>0</v>
      </c>
      <c r="I151" s="5">
        <v>1.25E-4</v>
      </c>
      <c r="J151" s="4">
        <v>0</v>
      </c>
      <c r="K151" s="4">
        <v>0</v>
      </c>
      <c r="L151" s="4">
        <v>8.6425660000000001E-2</v>
      </c>
      <c r="M151" s="4">
        <v>0</v>
      </c>
      <c r="N151" s="4">
        <v>0</v>
      </c>
      <c r="O151" s="4">
        <v>5</v>
      </c>
      <c r="P151" s="4">
        <v>0</v>
      </c>
      <c r="Q151" s="4">
        <v>0</v>
      </c>
      <c r="R151" s="6">
        <v>3.5999999999999997E-2</v>
      </c>
      <c r="S151" s="4">
        <v>0</v>
      </c>
      <c r="T151" s="4">
        <v>0</v>
      </c>
    </row>
    <row r="152" spans="1:20" ht="18" x14ac:dyDescent="0.2">
      <c r="A152" s="4" t="s">
        <v>1331</v>
      </c>
      <c r="B152" s="4" t="s">
        <v>2047</v>
      </c>
      <c r="C152" s="4" t="s">
        <v>2006</v>
      </c>
      <c r="D152" s="4">
        <v>1</v>
      </c>
      <c r="E152" s="4" t="s">
        <v>1180</v>
      </c>
      <c r="F152" s="4">
        <v>3</v>
      </c>
      <c r="G152" s="4">
        <v>0</v>
      </c>
      <c r="H152" s="4">
        <v>0</v>
      </c>
      <c r="I152" s="5">
        <v>2.7599999999999999E-4</v>
      </c>
      <c r="J152" s="4">
        <v>0</v>
      </c>
      <c r="K152" s="4">
        <v>0</v>
      </c>
      <c r="L152" s="4">
        <v>0.12201846</v>
      </c>
      <c r="M152" s="4">
        <v>0</v>
      </c>
      <c r="N152" s="4">
        <v>0</v>
      </c>
      <c r="O152" s="4">
        <v>5</v>
      </c>
      <c r="P152" s="4">
        <v>0</v>
      </c>
      <c r="Q152" s="4">
        <v>0</v>
      </c>
      <c r="R152" s="6">
        <v>0.05</v>
      </c>
      <c r="S152" s="4">
        <v>0</v>
      </c>
      <c r="T152" s="4">
        <v>0</v>
      </c>
    </row>
    <row r="153" spans="1:20" ht="18" x14ac:dyDescent="0.2">
      <c r="A153" s="4" t="s">
        <v>1332</v>
      </c>
      <c r="B153" s="4" t="s">
        <v>2048</v>
      </c>
      <c r="C153" s="4" t="s">
        <v>2006</v>
      </c>
      <c r="D153" s="4">
        <v>1</v>
      </c>
      <c r="E153" s="4" t="s">
        <v>1180</v>
      </c>
      <c r="F153" s="4">
        <v>3</v>
      </c>
      <c r="G153" s="4">
        <v>0</v>
      </c>
      <c r="H153" s="4">
        <v>0</v>
      </c>
      <c r="I153" s="5">
        <v>2.4300000000000001E-5</v>
      </c>
      <c r="J153" s="4">
        <v>0</v>
      </c>
      <c r="K153" s="4">
        <v>0</v>
      </c>
      <c r="L153" s="4">
        <v>6.9316600000000001E-3</v>
      </c>
      <c r="M153" s="4">
        <v>0</v>
      </c>
      <c r="N153" s="4">
        <v>0</v>
      </c>
      <c r="O153" s="4">
        <v>9</v>
      </c>
      <c r="P153" s="4">
        <v>0</v>
      </c>
      <c r="Q153" s="4">
        <v>0</v>
      </c>
      <c r="R153" s="6">
        <v>3.0000000000000001E-3</v>
      </c>
      <c r="S153" s="4">
        <v>0</v>
      </c>
      <c r="T153" s="4">
        <v>0</v>
      </c>
    </row>
    <row r="154" spans="1:20" ht="18" x14ac:dyDescent="0.2">
      <c r="A154" s="4" t="s">
        <v>1333</v>
      </c>
      <c r="B154" s="4" t="s">
        <v>2049</v>
      </c>
      <c r="C154" s="4" t="s">
        <v>144</v>
      </c>
      <c r="D154" s="4">
        <v>1</v>
      </c>
      <c r="E154" s="4" t="s">
        <v>1180</v>
      </c>
      <c r="F154" s="4">
        <v>3</v>
      </c>
      <c r="G154" s="4">
        <v>0</v>
      </c>
      <c r="H154" s="4">
        <v>0</v>
      </c>
      <c r="I154" s="5">
        <v>8.3800000000000004E-5</v>
      </c>
      <c r="J154" s="4">
        <v>0</v>
      </c>
      <c r="K154" s="4">
        <v>0</v>
      </c>
      <c r="L154" s="4">
        <v>8.1434010000000001E-2</v>
      </c>
      <c r="M154" s="4">
        <v>0</v>
      </c>
      <c r="N154" s="4">
        <v>0</v>
      </c>
      <c r="O154" s="4">
        <v>3</v>
      </c>
      <c r="P154" s="4">
        <v>0</v>
      </c>
      <c r="Q154" s="4">
        <v>0</v>
      </c>
      <c r="R154" s="6">
        <v>3.4000000000000002E-2</v>
      </c>
      <c r="S154" s="4">
        <v>0</v>
      </c>
      <c r="T154" s="4">
        <v>0</v>
      </c>
    </row>
    <row r="155" spans="1:20" ht="18" x14ac:dyDescent="0.2">
      <c r="A155" s="4" t="s">
        <v>1334</v>
      </c>
      <c r="B155" s="4" t="s">
        <v>2050</v>
      </c>
      <c r="C155" s="4" t="s">
        <v>144</v>
      </c>
      <c r="D155" s="4">
        <v>1</v>
      </c>
      <c r="E155" s="4" t="s">
        <v>1180</v>
      </c>
      <c r="F155" s="4">
        <v>3</v>
      </c>
      <c r="G155" s="4">
        <v>0</v>
      </c>
      <c r="H155" s="4">
        <v>0</v>
      </c>
      <c r="I155" s="5">
        <v>9.7600000000000001E-5</v>
      </c>
      <c r="J155" s="4">
        <v>0</v>
      </c>
      <c r="K155" s="4">
        <v>0</v>
      </c>
      <c r="L155" s="4">
        <v>5.9253689999999998E-2</v>
      </c>
      <c r="M155" s="4">
        <v>0</v>
      </c>
      <c r="N155" s="4">
        <v>0</v>
      </c>
      <c r="O155" s="4">
        <v>3</v>
      </c>
      <c r="P155" s="4">
        <v>0</v>
      </c>
      <c r="Q155" s="4">
        <v>0</v>
      </c>
      <c r="R155" s="6">
        <v>2.5000000000000001E-2</v>
      </c>
      <c r="S155" s="4">
        <v>0</v>
      </c>
      <c r="T155" s="4">
        <v>0</v>
      </c>
    </row>
    <row r="156" spans="1:20" ht="18" x14ac:dyDescent="0.2">
      <c r="A156" s="4" t="s">
        <v>1335</v>
      </c>
      <c r="B156" s="4" t="s">
        <v>2051</v>
      </c>
      <c r="C156" s="4" t="s">
        <v>144</v>
      </c>
      <c r="D156" s="4">
        <v>1</v>
      </c>
      <c r="E156" s="4" t="s">
        <v>1180</v>
      </c>
      <c r="F156" s="4">
        <v>3</v>
      </c>
      <c r="G156" s="4">
        <v>0</v>
      </c>
      <c r="H156" s="4">
        <v>0</v>
      </c>
      <c r="I156" s="5">
        <v>9.7800000000000006E-5</v>
      </c>
      <c r="J156" s="4">
        <v>0</v>
      </c>
      <c r="K156" s="4">
        <v>0</v>
      </c>
      <c r="L156" s="4">
        <v>5.9253689999999998E-2</v>
      </c>
      <c r="M156" s="4">
        <v>0</v>
      </c>
      <c r="N156" s="4">
        <v>0</v>
      </c>
      <c r="O156" s="4">
        <v>3</v>
      </c>
      <c r="P156" s="4">
        <v>0</v>
      </c>
      <c r="Q156" s="4">
        <v>0</v>
      </c>
      <c r="R156" s="6">
        <v>2.5000000000000001E-2</v>
      </c>
      <c r="S156" s="4">
        <v>0</v>
      </c>
      <c r="T156" s="4">
        <v>0</v>
      </c>
    </row>
    <row r="157" spans="1:20" ht="18" x14ac:dyDescent="0.2">
      <c r="A157" s="4" t="s">
        <v>1336</v>
      </c>
      <c r="B157" s="4" t="s">
        <v>2052</v>
      </c>
      <c r="C157" s="4" t="s">
        <v>144</v>
      </c>
      <c r="D157" s="4">
        <v>1</v>
      </c>
      <c r="E157" s="4" t="s">
        <v>1180</v>
      </c>
      <c r="F157" s="4">
        <v>3</v>
      </c>
      <c r="G157" s="4">
        <v>0</v>
      </c>
      <c r="H157" s="4">
        <v>0</v>
      </c>
      <c r="I157" s="5">
        <v>4.6900000000000002E-4</v>
      </c>
      <c r="J157" s="4">
        <v>0</v>
      </c>
      <c r="K157" s="4">
        <v>0</v>
      </c>
      <c r="L157" s="4">
        <v>7.6465249999999998E-2</v>
      </c>
      <c r="M157" s="4">
        <v>0</v>
      </c>
      <c r="N157" s="4">
        <v>0</v>
      </c>
      <c r="O157" s="4">
        <v>10</v>
      </c>
      <c r="P157" s="4">
        <v>0</v>
      </c>
      <c r="Q157" s="4">
        <v>0</v>
      </c>
      <c r="R157" s="6">
        <v>3.2000000000000001E-2</v>
      </c>
      <c r="S157" s="4">
        <v>0</v>
      </c>
      <c r="T157" s="4">
        <v>0</v>
      </c>
    </row>
    <row r="158" spans="1:20" ht="18" x14ac:dyDescent="0.2">
      <c r="A158" s="4" t="s">
        <v>1337</v>
      </c>
      <c r="B158" s="4" t="s">
        <v>2053</v>
      </c>
      <c r="C158" s="4" t="s">
        <v>96</v>
      </c>
      <c r="D158" s="4">
        <v>1</v>
      </c>
      <c r="E158" s="4" t="s">
        <v>1180</v>
      </c>
      <c r="F158" s="4">
        <v>3</v>
      </c>
      <c r="G158" s="4">
        <v>0</v>
      </c>
      <c r="H158" s="4">
        <v>0</v>
      </c>
      <c r="I158" s="5">
        <v>8.6600000000000002E-4</v>
      </c>
      <c r="J158" s="4">
        <v>0</v>
      </c>
      <c r="K158" s="4">
        <v>0</v>
      </c>
      <c r="L158" s="4">
        <v>0.22743917</v>
      </c>
      <c r="M158" s="4">
        <v>0</v>
      </c>
      <c r="N158" s="4">
        <v>0</v>
      </c>
      <c r="O158" s="4">
        <v>14</v>
      </c>
      <c r="P158" s="4">
        <v>0</v>
      </c>
      <c r="Q158" s="4">
        <v>0</v>
      </c>
      <c r="R158" s="6">
        <v>8.8999999999999996E-2</v>
      </c>
      <c r="S158" s="4">
        <v>0</v>
      </c>
      <c r="T158" s="4">
        <v>0</v>
      </c>
    </row>
    <row r="159" spans="1:20" ht="18" x14ac:dyDescent="0.2">
      <c r="A159" s="4" t="s">
        <v>1338</v>
      </c>
      <c r="B159" s="4" t="s">
        <v>2054</v>
      </c>
      <c r="C159" s="7" t="s">
        <v>96</v>
      </c>
      <c r="D159" s="4">
        <v>1</v>
      </c>
      <c r="E159" s="4" t="s">
        <v>1180</v>
      </c>
      <c r="F159" s="4">
        <v>3</v>
      </c>
      <c r="G159" s="4">
        <v>0</v>
      </c>
      <c r="H159" s="4">
        <v>0</v>
      </c>
      <c r="I159" s="5">
        <v>4.7800000000000002E-4</v>
      </c>
      <c r="J159" s="4">
        <v>0</v>
      </c>
      <c r="K159" s="4">
        <v>0</v>
      </c>
      <c r="L159" s="4">
        <v>0.51705040000000002</v>
      </c>
      <c r="M159" s="4">
        <v>0</v>
      </c>
      <c r="N159" s="4">
        <v>0</v>
      </c>
      <c r="O159" s="4">
        <v>3</v>
      </c>
      <c r="P159" s="4">
        <v>0</v>
      </c>
      <c r="Q159" s="4">
        <v>0</v>
      </c>
      <c r="R159" s="6">
        <v>0.18099999999999999</v>
      </c>
      <c r="S159" s="4">
        <v>0</v>
      </c>
      <c r="T159" s="4">
        <v>0</v>
      </c>
    </row>
    <row r="160" spans="1:20" ht="18" x14ac:dyDescent="0.2">
      <c r="A160" s="4" t="s">
        <v>1339</v>
      </c>
      <c r="B160" s="4" t="s">
        <v>2055</v>
      </c>
      <c r="C160" s="7" t="s">
        <v>96</v>
      </c>
      <c r="D160" s="4">
        <v>1</v>
      </c>
      <c r="E160" s="4" t="s">
        <v>1180</v>
      </c>
      <c r="F160" s="4">
        <v>3</v>
      </c>
      <c r="G160" s="4">
        <v>0</v>
      </c>
      <c r="H160" s="4">
        <v>0</v>
      </c>
      <c r="I160" s="5">
        <v>1.5200000000000001E-4</v>
      </c>
      <c r="J160" s="4">
        <v>0</v>
      </c>
      <c r="K160" s="4">
        <v>0</v>
      </c>
      <c r="L160" s="4">
        <v>0.20226443</v>
      </c>
      <c r="M160" s="4">
        <v>0</v>
      </c>
      <c r="N160" s="4">
        <v>0</v>
      </c>
      <c r="O160" s="4">
        <v>3</v>
      </c>
      <c r="P160" s="4">
        <v>0</v>
      </c>
      <c r="Q160" s="4">
        <v>0</v>
      </c>
      <c r="R160" s="6">
        <v>0.08</v>
      </c>
      <c r="S160" s="4">
        <v>0</v>
      </c>
      <c r="T160" s="4">
        <v>0</v>
      </c>
    </row>
    <row r="161" spans="1:20" ht="18" x14ac:dyDescent="0.2">
      <c r="A161" s="4" t="s">
        <v>1340</v>
      </c>
      <c r="B161" s="4" t="s">
        <v>2056</v>
      </c>
      <c r="C161" s="7" t="s">
        <v>96</v>
      </c>
      <c r="D161" s="4">
        <v>1</v>
      </c>
      <c r="E161" s="4" t="s">
        <v>1180</v>
      </c>
      <c r="F161" s="4">
        <v>3</v>
      </c>
      <c r="G161" s="4">
        <v>0</v>
      </c>
      <c r="H161" s="4">
        <v>0</v>
      </c>
      <c r="I161" s="5">
        <v>7.85E-4</v>
      </c>
      <c r="J161" s="4">
        <v>0</v>
      </c>
      <c r="K161" s="4">
        <v>0</v>
      </c>
      <c r="L161" s="4">
        <v>0.16949939999999999</v>
      </c>
      <c r="M161" s="4">
        <v>0</v>
      </c>
      <c r="N161" s="4">
        <v>0</v>
      </c>
      <c r="O161" s="4">
        <v>7</v>
      </c>
      <c r="P161" s="4">
        <v>0</v>
      </c>
      <c r="Q161" s="4">
        <v>0</v>
      </c>
      <c r="R161" s="6">
        <v>6.8000000000000005E-2</v>
      </c>
      <c r="S161" s="4">
        <v>0</v>
      </c>
      <c r="T161" s="4">
        <v>0</v>
      </c>
    </row>
    <row r="162" spans="1:20" ht="18" x14ac:dyDescent="0.2">
      <c r="A162" s="4" t="s">
        <v>1341</v>
      </c>
      <c r="B162" s="4" t="s">
        <v>2057</v>
      </c>
      <c r="C162" s="7" t="s">
        <v>96</v>
      </c>
      <c r="D162" s="4">
        <v>1</v>
      </c>
      <c r="E162" s="4" t="s">
        <v>1180</v>
      </c>
      <c r="F162" s="4">
        <v>3</v>
      </c>
      <c r="G162" s="4">
        <v>0</v>
      </c>
      <c r="H162" s="4">
        <v>0</v>
      </c>
      <c r="I162" s="5">
        <v>1.25E-4</v>
      </c>
      <c r="J162" s="4">
        <v>0</v>
      </c>
      <c r="K162" s="4">
        <v>0</v>
      </c>
      <c r="L162" s="4">
        <v>7.3989390000000002E-2</v>
      </c>
      <c r="M162" s="4">
        <v>0</v>
      </c>
      <c r="N162" s="4">
        <v>0</v>
      </c>
      <c r="O162" s="4">
        <v>3</v>
      </c>
      <c r="P162" s="4">
        <v>0</v>
      </c>
      <c r="Q162" s="4">
        <v>0</v>
      </c>
      <c r="R162" s="6">
        <v>3.1E-2</v>
      </c>
      <c r="S162" s="4">
        <v>0</v>
      </c>
      <c r="T162" s="4">
        <v>0</v>
      </c>
    </row>
    <row r="163" spans="1:20" ht="18" x14ac:dyDescent="0.2">
      <c r="A163" s="4" t="s">
        <v>1342</v>
      </c>
      <c r="B163" s="4" t="s">
        <v>2058</v>
      </c>
      <c r="C163" s="4" t="s">
        <v>51</v>
      </c>
      <c r="D163" s="4">
        <v>1</v>
      </c>
      <c r="E163" s="4" t="s">
        <v>1180</v>
      </c>
      <c r="F163" s="4">
        <v>3</v>
      </c>
      <c r="G163" s="4">
        <v>0</v>
      </c>
      <c r="H163" s="4">
        <v>0</v>
      </c>
      <c r="I163" s="5">
        <v>1.06E-4</v>
      </c>
      <c r="J163" s="4">
        <v>0</v>
      </c>
      <c r="K163" s="4">
        <v>0</v>
      </c>
      <c r="L163" s="4">
        <v>0.19674051000000001</v>
      </c>
      <c r="M163" s="4">
        <v>0</v>
      </c>
      <c r="N163" s="4">
        <v>0</v>
      </c>
      <c r="O163" s="4">
        <v>3</v>
      </c>
      <c r="P163" s="4">
        <v>0</v>
      </c>
      <c r="Q163" s="4">
        <v>0</v>
      </c>
      <c r="R163" s="6">
        <v>7.8E-2</v>
      </c>
      <c r="S163" s="4">
        <v>0</v>
      </c>
      <c r="T163" s="4">
        <v>0</v>
      </c>
    </row>
    <row r="164" spans="1:20" ht="18" x14ac:dyDescent="0.2">
      <c r="A164" s="4" t="s">
        <v>1343</v>
      </c>
      <c r="B164" s="4" t="s">
        <v>2059</v>
      </c>
      <c r="C164" s="4" t="s">
        <v>51</v>
      </c>
      <c r="D164" s="4">
        <v>1</v>
      </c>
      <c r="E164" s="4" t="s">
        <v>1180</v>
      </c>
      <c r="F164" s="4">
        <v>3</v>
      </c>
      <c r="G164" s="4">
        <v>0</v>
      </c>
      <c r="H164" s="4">
        <v>0</v>
      </c>
      <c r="I164" s="5">
        <v>6.4599999999999998E-5</v>
      </c>
      <c r="J164" s="4">
        <v>0</v>
      </c>
      <c r="K164" s="4">
        <v>0</v>
      </c>
      <c r="L164" s="4">
        <v>5.6817529999999998E-2</v>
      </c>
      <c r="M164" s="4">
        <v>0</v>
      </c>
      <c r="N164" s="4">
        <v>0</v>
      </c>
      <c r="O164" s="4">
        <v>4</v>
      </c>
      <c r="P164" s="4">
        <v>0</v>
      </c>
      <c r="Q164" s="4">
        <v>0</v>
      </c>
      <c r="R164" s="6">
        <v>2.4E-2</v>
      </c>
      <c r="S164" s="4">
        <v>0</v>
      </c>
      <c r="T164" s="4">
        <v>0</v>
      </c>
    </row>
    <row r="165" spans="1:20" ht="18" x14ac:dyDescent="0.2">
      <c r="A165" s="4" t="s">
        <v>1344</v>
      </c>
      <c r="B165" s="4" t="s">
        <v>2060</v>
      </c>
      <c r="C165" s="4" t="s">
        <v>51</v>
      </c>
      <c r="D165" s="4">
        <v>1</v>
      </c>
      <c r="E165" s="4" t="s">
        <v>1180</v>
      </c>
      <c r="F165" s="4">
        <v>3</v>
      </c>
      <c r="G165" s="4">
        <v>0</v>
      </c>
      <c r="H165" s="4">
        <v>0</v>
      </c>
      <c r="I165" s="5">
        <v>3.6000000000000001E-5</v>
      </c>
      <c r="J165" s="4">
        <v>0</v>
      </c>
      <c r="K165" s="4">
        <v>0</v>
      </c>
      <c r="L165" s="4">
        <v>3.5142180000000002E-2</v>
      </c>
      <c r="M165" s="4">
        <v>0</v>
      </c>
      <c r="N165" s="4">
        <v>0</v>
      </c>
      <c r="O165" s="4">
        <v>3</v>
      </c>
      <c r="P165" s="4">
        <v>0</v>
      </c>
      <c r="Q165" s="4">
        <v>0</v>
      </c>
      <c r="R165" s="6">
        <v>1.4999999999999999E-2</v>
      </c>
      <c r="S165" s="4">
        <v>0</v>
      </c>
      <c r="T165" s="4">
        <v>0</v>
      </c>
    </row>
    <row r="166" spans="1:20" ht="18" x14ac:dyDescent="0.2">
      <c r="A166" s="4" t="s">
        <v>1345</v>
      </c>
      <c r="B166" s="4" t="s">
        <v>2061</v>
      </c>
      <c r="C166" s="4" t="s">
        <v>51</v>
      </c>
      <c r="D166" s="4">
        <v>1</v>
      </c>
      <c r="E166" s="4" t="s">
        <v>1180</v>
      </c>
      <c r="F166" s="4">
        <v>3</v>
      </c>
      <c r="G166" s="4">
        <v>0</v>
      </c>
      <c r="H166" s="4">
        <v>0</v>
      </c>
      <c r="I166" s="5">
        <v>2.9399999999999999E-4</v>
      </c>
      <c r="J166" s="4">
        <v>0</v>
      </c>
      <c r="K166" s="4">
        <v>0</v>
      </c>
      <c r="L166" s="4">
        <v>0.25314115999999998</v>
      </c>
      <c r="M166" s="4">
        <v>0</v>
      </c>
      <c r="N166" s="4">
        <v>0</v>
      </c>
      <c r="O166" s="4">
        <v>5</v>
      </c>
      <c r="P166" s="4">
        <v>0</v>
      </c>
      <c r="Q166" s="4">
        <v>0</v>
      </c>
      <c r="R166" s="6">
        <v>9.8000000000000004E-2</v>
      </c>
      <c r="S166" s="4">
        <v>0</v>
      </c>
      <c r="T166" s="4">
        <v>0</v>
      </c>
    </row>
    <row r="167" spans="1:20" ht="18" x14ac:dyDescent="0.2">
      <c r="A167" s="4" t="s">
        <v>1346</v>
      </c>
      <c r="B167" s="4" t="s">
        <v>2062</v>
      </c>
      <c r="C167" s="4" t="s">
        <v>51</v>
      </c>
      <c r="D167" s="4">
        <v>1</v>
      </c>
      <c r="E167" s="4" t="s">
        <v>1180</v>
      </c>
      <c r="F167" s="4">
        <v>3</v>
      </c>
      <c r="G167" s="4">
        <v>0</v>
      </c>
      <c r="H167" s="4">
        <v>0</v>
      </c>
      <c r="I167" s="5">
        <v>2.2599999999999999E-4</v>
      </c>
      <c r="J167" s="4">
        <v>0</v>
      </c>
      <c r="K167" s="4">
        <v>0</v>
      </c>
      <c r="L167" s="4">
        <v>0.18850218999999999</v>
      </c>
      <c r="M167" s="4">
        <v>0</v>
      </c>
      <c r="N167" s="4">
        <v>0</v>
      </c>
      <c r="O167" s="4">
        <v>5</v>
      </c>
      <c r="P167" s="4">
        <v>0</v>
      </c>
      <c r="Q167" s="4">
        <v>0</v>
      </c>
      <c r="R167" s="6">
        <v>7.4999999999999997E-2</v>
      </c>
      <c r="S167" s="4">
        <v>0</v>
      </c>
      <c r="T167" s="4">
        <v>0</v>
      </c>
    </row>
    <row r="168" spans="1:20" ht="18" x14ac:dyDescent="0.2">
      <c r="A168" s="4" t="s">
        <v>1347</v>
      </c>
      <c r="B168" s="4" t="s">
        <v>2063</v>
      </c>
      <c r="C168" s="4" t="s">
        <v>51</v>
      </c>
      <c r="D168" s="4">
        <v>1</v>
      </c>
      <c r="E168" s="4" t="s">
        <v>1180</v>
      </c>
      <c r="F168" s="4">
        <v>3</v>
      </c>
      <c r="G168" s="4">
        <v>0</v>
      </c>
      <c r="H168" s="4">
        <v>0</v>
      </c>
      <c r="I168" s="5">
        <v>1.66E-4</v>
      </c>
      <c r="J168" s="4">
        <v>0</v>
      </c>
      <c r="K168" s="4">
        <v>0</v>
      </c>
      <c r="L168" s="4">
        <v>0.12979590999999999</v>
      </c>
      <c r="M168" s="4">
        <v>0</v>
      </c>
      <c r="N168" s="4">
        <v>0</v>
      </c>
      <c r="O168" s="4">
        <v>5</v>
      </c>
      <c r="P168" s="4">
        <v>0</v>
      </c>
      <c r="Q168" s="4">
        <v>0</v>
      </c>
      <c r="R168" s="6">
        <v>5.2999999999999999E-2</v>
      </c>
      <c r="S168" s="4">
        <v>0</v>
      </c>
      <c r="T168" s="4">
        <v>0</v>
      </c>
    </row>
    <row r="169" spans="1:20" ht="18" x14ac:dyDescent="0.2">
      <c r="A169" s="4" t="s">
        <v>1348</v>
      </c>
      <c r="B169" s="4" t="s">
        <v>2064</v>
      </c>
      <c r="C169" s="4" t="s">
        <v>51</v>
      </c>
      <c r="D169" s="4">
        <v>1</v>
      </c>
      <c r="E169" s="4" t="s">
        <v>1180</v>
      </c>
      <c r="F169" s="4">
        <v>3</v>
      </c>
      <c r="G169" s="4">
        <v>0</v>
      </c>
      <c r="H169" s="4">
        <v>0</v>
      </c>
      <c r="I169" s="5">
        <v>1.0399999999999999E-4</v>
      </c>
      <c r="J169" s="4">
        <v>0</v>
      </c>
      <c r="K169" s="4">
        <v>0</v>
      </c>
      <c r="L169" s="4">
        <v>7.3989390000000002E-2</v>
      </c>
      <c r="M169" s="4">
        <v>0</v>
      </c>
      <c r="N169" s="4">
        <v>0</v>
      </c>
      <c r="O169" s="4">
        <v>3</v>
      </c>
      <c r="P169" s="4">
        <v>0</v>
      </c>
      <c r="Q169" s="4">
        <v>0</v>
      </c>
      <c r="R169" s="6">
        <v>3.1E-2</v>
      </c>
      <c r="S169" s="4">
        <v>0</v>
      </c>
      <c r="T169" s="4">
        <v>0</v>
      </c>
    </row>
    <row r="170" spans="1:20" ht="18" x14ac:dyDescent="0.2">
      <c r="A170" s="4" t="s">
        <v>1349</v>
      </c>
      <c r="B170" s="4" t="s">
        <v>2065</v>
      </c>
      <c r="C170" s="4" t="s">
        <v>51</v>
      </c>
      <c r="D170" s="4">
        <v>1</v>
      </c>
      <c r="E170" s="4" t="s">
        <v>1180</v>
      </c>
      <c r="F170" s="4">
        <v>3</v>
      </c>
      <c r="G170" s="4">
        <v>0</v>
      </c>
      <c r="H170" s="4">
        <v>0</v>
      </c>
      <c r="I170" s="5">
        <v>2.52E-4</v>
      </c>
      <c r="J170" s="4">
        <v>0</v>
      </c>
      <c r="K170" s="4">
        <v>0</v>
      </c>
      <c r="L170" s="4">
        <v>0.17489755000000001</v>
      </c>
      <c r="M170" s="4">
        <v>0</v>
      </c>
      <c r="N170" s="4">
        <v>0</v>
      </c>
      <c r="O170" s="4">
        <v>6</v>
      </c>
      <c r="P170" s="4">
        <v>0</v>
      </c>
      <c r="Q170" s="4">
        <v>0</v>
      </c>
      <c r="R170" s="6">
        <v>7.0000000000000007E-2</v>
      </c>
      <c r="S170" s="4">
        <v>0</v>
      </c>
      <c r="T170" s="4">
        <v>0</v>
      </c>
    </row>
    <row r="171" spans="1:20" ht="18" x14ac:dyDescent="0.2">
      <c r="A171" s="4" t="s">
        <v>1350</v>
      </c>
      <c r="B171" s="4" t="s">
        <v>2066</v>
      </c>
      <c r="C171" s="4" t="s">
        <v>51</v>
      </c>
      <c r="D171" s="4">
        <v>1</v>
      </c>
      <c r="E171" s="4" t="s">
        <v>1180</v>
      </c>
      <c r="F171" s="4">
        <v>3</v>
      </c>
      <c r="G171" s="4">
        <v>0</v>
      </c>
      <c r="H171" s="4">
        <v>0</v>
      </c>
      <c r="I171" s="5">
        <v>4.3800000000000002E-4</v>
      </c>
      <c r="J171" s="4">
        <v>0</v>
      </c>
      <c r="K171" s="4">
        <v>0</v>
      </c>
      <c r="L171" s="4">
        <v>0.11686325</v>
      </c>
      <c r="M171" s="4">
        <v>0</v>
      </c>
      <c r="N171" s="4">
        <v>0</v>
      </c>
      <c r="O171" s="4">
        <v>9</v>
      </c>
      <c r="P171" s="4">
        <v>0</v>
      </c>
      <c r="Q171" s="4">
        <v>0</v>
      </c>
      <c r="R171" s="6">
        <v>4.8000000000000001E-2</v>
      </c>
      <c r="S171" s="4">
        <v>0</v>
      </c>
      <c r="T171" s="4">
        <v>0</v>
      </c>
    </row>
    <row r="172" spans="1:20" ht="18" x14ac:dyDescent="0.2">
      <c r="A172" s="4" t="s">
        <v>1351</v>
      </c>
      <c r="B172" s="4" t="s">
        <v>2067</v>
      </c>
      <c r="C172" s="4" t="s">
        <v>51</v>
      </c>
      <c r="D172" s="4">
        <v>1</v>
      </c>
      <c r="E172" s="4" t="s">
        <v>1180</v>
      </c>
      <c r="F172" s="4">
        <v>3</v>
      </c>
      <c r="G172" s="4">
        <v>0</v>
      </c>
      <c r="H172" s="4">
        <v>0</v>
      </c>
      <c r="I172" s="5">
        <v>1.8000000000000001E-4</v>
      </c>
      <c r="J172" s="4">
        <v>0</v>
      </c>
      <c r="K172" s="4">
        <v>0</v>
      </c>
      <c r="L172" s="4">
        <v>2.565193E-2</v>
      </c>
      <c r="M172" s="4">
        <v>0</v>
      </c>
      <c r="N172" s="4">
        <v>0</v>
      </c>
      <c r="O172" s="4">
        <v>11</v>
      </c>
      <c r="P172" s="4">
        <v>0</v>
      </c>
      <c r="Q172" s="4">
        <v>0</v>
      </c>
      <c r="R172" s="6">
        <v>1.0999999999999999E-2</v>
      </c>
      <c r="S172" s="4">
        <v>0</v>
      </c>
      <c r="T172" s="4">
        <v>0</v>
      </c>
    </row>
    <row r="173" spans="1:20" ht="18" x14ac:dyDescent="0.2">
      <c r="A173" s="4" t="s">
        <v>1352</v>
      </c>
      <c r="B173" s="4" t="s">
        <v>2068</v>
      </c>
      <c r="C173" s="4" t="s">
        <v>51</v>
      </c>
      <c r="D173" s="4">
        <v>1</v>
      </c>
      <c r="E173" s="4" t="s">
        <v>1180</v>
      </c>
      <c r="F173" s="4">
        <v>3</v>
      </c>
      <c r="G173" s="4">
        <v>0</v>
      </c>
      <c r="H173" s="4">
        <v>0</v>
      </c>
      <c r="I173" s="5">
        <v>2.3000000000000001E-4</v>
      </c>
      <c r="J173" s="4">
        <v>0</v>
      </c>
      <c r="K173" s="4">
        <v>0</v>
      </c>
      <c r="L173" s="4">
        <v>0.23594749000000001</v>
      </c>
      <c r="M173" s="4">
        <v>0</v>
      </c>
      <c r="N173" s="4">
        <v>0</v>
      </c>
      <c r="O173" s="4">
        <v>3</v>
      </c>
      <c r="P173" s="4">
        <v>0</v>
      </c>
      <c r="Q173" s="4">
        <v>0</v>
      </c>
      <c r="R173" s="6">
        <v>9.1999999999999998E-2</v>
      </c>
      <c r="S173" s="4">
        <v>0</v>
      </c>
      <c r="T173" s="4">
        <v>0</v>
      </c>
    </row>
    <row r="174" spans="1:20" ht="18" x14ac:dyDescent="0.2">
      <c r="A174" s="4" t="s">
        <v>1353</v>
      </c>
      <c r="B174" s="4" t="s">
        <v>2069</v>
      </c>
      <c r="C174" s="4" t="s">
        <v>51</v>
      </c>
      <c r="D174" s="4">
        <v>1</v>
      </c>
      <c r="E174" s="4" t="s">
        <v>1180</v>
      </c>
      <c r="F174" s="4">
        <v>3</v>
      </c>
      <c r="G174" s="4">
        <v>0</v>
      </c>
      <c r="H174" s="4">
        <v>0</v>
      </c>
      <c r="I174" s="5">
        <v>2.44E-5</v>
      </c>
      <c r="J174" s="4">
        <v>0</v>
      </c>
      <c r="K174" s="4">
        <v>0</v>
      </c>
      <c r="L174" s="4">
        <v>2.3293020000000001E-2</v>
      </c>
      <c r="M174" s="4">
        <v>0</v>
      </c>
      <c r="N174" s="4">
        <v>0</v>
      </c>
      <c r="O174" s="4">
        <v>5</v>
      </c>
      <c r="P174" s="4">
        <v>0</v>
      </c>
      <c r="Q174" s="4">
        <v>0</v>
      </c>
      <c r="R174" s="6">
        <v>0.01</v>
      </c>
      <c r="S174" s="4">
        <v>0</v>
      </c>
      <c r="T174" s="4">
        <v>0</v>
      </c>
    </row>
    <row r="175" spans="1:20" ht="18" x14ac:dyDescent="0.2">
      <c r="A175" s="4" t="s">
        <v>1354</v>
      </c>
      <c r="B175" s="4" t="s">
        <v>2070</v>
      </c>
      <c r="C175" s="4" t="s">
        <v>51</v>
      </c>
      <c r="D175" s="4">
        <v>1</v>
      </c>
      <c r="E175" s="4" t="s">
        <v>1180</v>
      </c>
      <c r="F175" s="4">
        <v>3</v>
      </c>
      <c r="G175" s="4">
        <v>0</v>
      </c>
      <c r="H175" s="4">
        <v>0</v>
      </c>
      <c r="I175" s="5">
        <v>7.7999999999999999E-5</v>
      </c>
      <c r="J175" s="4">
        <v>0</v>
      </c>
      <c r="K175" s="4">
        <v>0</v>
      </c>
      <c r="L175" s="4">
        <v>9.3956349999999994E-2</v>
      </c>
      <c r="M175" s="4">
        <v>0</v>
      </c>
      <c r="N175" s="4">
        <v>0</v>
      </c>
      <c r="O175" s="4">
        <v>3</v>
      </c>
      <c r="P175" s="4">
        <v>0</v>
      </c>
      <c r="Q175" s="4">
        <v>0</v>
      </c>
      <c r="R175" s="6">
        <v>3.9E-2</v>
      </c>
      <c r="S175" s="4">
        <v>0</v>
      </c>
      <c r="T175" s="4">
        <v>0</v>
      </c>
    </row>
    <row r="176" spans="1:20" ht="18" x14ac:dyDescent="0.2">
      <c r="A176" s="4" t="s">
        <v>1355</v>
      </c>
      <c r="B176" s="4" t="s">
        <v>2071</v>
      </c>
      <c r="C176" s="4" t="s">
        <v>2072</v>
      </c>
      <c r="D176" s="4">
        <v>1</v>
      </c>
      <c r="E176" s="4" t="s">
        <v>1180</v>
      </c>
      <c r="F176" s="4">
        <v>3</v>
      </c>
      <c r="G176" s="4">
        <v>0</v>
      </c>
      <c r="H176" s="4">
        <v>0</v>
      </c>
      <c r="I176" s="5">
        <v>3.39E-4</v>
      </c>
      <c r="J176" s="4">
        <v>0</v>
      </c>
      <c r="K176" s="4">
        <v>0</v>
      </c>
      <c r="L176" s="4">
        <v>0.10662377000000001</v>
      </c>
      <c r="M176" s="4">
        <v>0</v>
      </c>
      <c r="N176" s="4">
        <v>0</v>
      </c>
      <c r="O176" s="4">
        <v>7</v>
      </c>
      <c r="P176" s="4">
        <v>0</v>
      </c>
      <c r="Q176" s="4">
        <v>0</v>
      </c>
      <c r="R176" s="6">
        <v>4.3999999999999997E-2</v>
      </c>
      <c r="S176" s="4">
        <v>0</v>
      </c>
      <c r="T176" s="4">
        <v>0</v>
      </c>
    </row>
    <row r="177" spans="1:20" ht="18" x14ac:dyDescent="0.2">
      <c r="A177" s="4" t="s">
        <v>1356</v>
      </c>
      <c r="B177" s="4" t="s">
        <v>2073</v>
      </c>
      <c r="C177" s="4" t="s">
        <v>2074</v>
      </c>
      <c r="D177" s="4">
        <v>1</v>
      </c>
      <c r="E177" s="4" t="s">
        <v>1180</v>
      </c>
      <c r="F177" s="4">
        <v>3</v>
      </c>
      <c r="G177" s="4">
        <v>0</v>
      </c>
      <c r="H177" s="4">
        <v>0</v>
      </c>
      <c r="I177" s="5">
        <v>2.8800000000000001E-4</v>
      </c>
      <c r="J177" s="4">
        <v>0</v>
      </c>
      <c r="K177" s="4">
        <v>0</v>
      </c>
      <c r="L177" s="4">
        <v>8.8930129999999996E-2</v>
      </c>
      <c r="M177" s="4">
        <v>0</v>
      </c>
      <c r="N177" s="4">
        <v>0</v>
      </c>
      <c r="O177" s="4">
        <v>7</v>
      </c>
      <c r="P177" s="4">
        <v>0</v>
      </c>
      <c r="Q177" s="4">
        <v>0</v>
      </c>
      <c r="R177" s="6">
        <v>3.6999999999999998E-2</v>
      </c>
      <c r="S177" s="4">
        <v>0</v>
      </c>
      <c r="T177" s="4">
        <v>0</v>
      </c>
    </row>
    <row r="178" spans="1:20" ht="18" x14ac:dyDescent="0.2">
      <c r="A178" s="4" t="s">
        <v>1357</v>
      </c>
      <c r="B178" s="4" t="s">
        <v>2016</v>
      </c>
      <c r="C178" s="4" t="s">
        <v>2028</v>
      </c>
      <c r="D178" s="4">
        <v>1</v>
      </c>
      <c r="E178" s="4" t="s">
        <v>1180</v>
      </c>
      <c r="F178" s="4">
        <v>3</v>
      </c>
      <c r="G178" s="4">
        <v>0</v>
      </c>
      <c r="H178" s="4">
        <v>0</v>
      </c>
      <c r="I178" s="5">
        <v>6.0999999999999997E-4</v>
      </c>
      <c r="J178" s="4">
        <v>0</v>
      </c>
      <c r="K178" s="4">
        <v>0</v>
      </c>
      <c r="L178" s="4">
        <v>0.12979590999999999</v>
      </c>
      <c r="M178" s="4">
        <v>0</v>
      </c>
      <c r="N178" s="4">
        <v>0</v>
      </c>
      <c r="O178" s="4">
        <v>7</v>
      </c>
      <c r="P178" s="4">
        <v>0</v>
      </c>
      <c r="Q178" s="4">
        <v>0</v>
      </c>
      <c r="R178" s="6">
        <v>5.2999999999999999E-2</v>
      </c>
      <c r="S178" s="4">
        <v>0</v>
      </c>
      <c r="T178" s="4">
        <v>0</v>
      </c>
    </row>
    <row r="179" spans="1:20" ht="18" x14ac:dyDescent="0.2">
      <c r="A179" s="4" t="s">
        <v>1358</v>
      </c>
      <c r="B179" s="4" t="s">
        <v>2075</v>
      </c>
      <c r="C179" s="4" t="s">
        <v>48</v>
      </c>
      <c r="D179" s="4">
        <v>1</v>
      </c>
      <c r="E179" s="4" t="s">
        <v>1180</v>
      </c>
      <c r="F179" s="4">
        <v>2</v>
      </c>
      <c r="G179" s="4">
        <v>0</v>
      </c>
      <c r="H179" s="4">
        <v>0</v>
      </c>
      <c r="I179" s="5">
        <v>8.7700000000000007E-6</v>
      </c>
      <c r="J179" s="4">
        <v>0</v>
      </c>
      <c r="K179" s="4">
        <v>0</v>
      </c>
      <c r="L179" s="4">
        <v>1.3911369999999999E-2</v>
      </c>
      <c r="M179" s="4">
        <v>0</v>
      </c>
      <c r="N179" s="4">
        <v>0</v>
      </c>
      <c r="O179" s="4">
        <v>2</v>
      </c>
      <c r="P179" s="4">
        <v>0</v>
      </c>
      <c r="Q179" s="4">
        <v>0</v>
      </c>
      <c r="R179" s="6">
        <v>6.0000000000000001E-3</v>
      </c>
      <c r="S179" s="4">
        <v>0</v>
      </c>
      <c r="T179" s="4">
        <v>0</v>
      </c>
    </row>
    <row r="180" spans="1:20" ht="18" x14ac:dyDescent="0.2">
      <c r="A180" s="4" t="s">
        <v>1359</v>
      </c>
      <c r="B180" s="4" t="s">
        <v>2076</v>
      </c>
      <c r="C180" s="4" t="s">
        <v>48</v>
      </c>
      <c r="D180" s="4">
        <v>1</v>
      </c>
      <c r="E180" s="4" t="s">
        <v>1180</v>
      </c>
      <c r="F180" s="4">
        <v>2</v>
      </c>
      <c r="G180" s="4">
        <v>0</v>
      </c>
      <c r="H180" s="4">
        <v>0</v>
      </c>
      <c r="I180" s="5">
        <v>2.1800000000000001E-5</v>
      </c>
      <c r="J180" s="4">
        <v>0</v>
      </c>
      <c r="K180" s="4">
        <v>0</v>
      </c>
      <c r="L180" s="4">
        <v>3.2761459999999999E-2</v>
      </c>
      <c r="M180" s="4">
        <v>0</v>
      </c>
      <c r="N180" s="4">
        <v>0</v>
      </c>
      <c r="O180" s="4">
        <v>2</v>
      </c>
      <c r="P180" s="4">
        <v>0</v>
      </c>
      <c r="Q180" s="4">
        <v>0</v>
      </c>
      <c r="R180" s="6">
        <v>1.4E-2</v>
      </c>
      <c r="S180" s="4">
        <v>0</v>
      </c>
      <c r="T180" s="4">
        <v>0</v>
      </c>
    </row>
    <row r="181" spans="1:20" ht="18" x14ac:dyDescent="0.2">
      <c r="A181" s="4" t="s">
        <v>1360</v>
      </c>
      <c r="B181" s="4" t="s">
        <v>2077</v>
      </c>
      <c r="C181" s="4" t="s">
        <v>48</v>
      </c>
      <c r="D181" s="4">
        <v>1</v>
      </c>
      <c r="E181" s="4" t="s">
        <v>1180</v>
      </c>
      <c r="F181" s="4">
        <v>2</v>
      </c>
      <c r="G181" s="4">
        <v>0</v>
      </c>
      <c r="H181" s="4">
        <v>0</v>
      </c>
      <c r="I181" s="5">
        <v>1.2500000000000001E-5</v>
      </c>
      <c r="J181" s="4">
        <v>0</v>
      </c>
      <c r="K181" s="4">
        <v>0</v>
      </c>
      <c r="L181" s="4">
        <v>1.1579509999999999E-2</v>
      </c>
      <c r="M181" s="4">
        <v>0</v>
      </c>
      <c r="N181" s="4">
        <v>0</v>
      </c>
      <c r="O181" s="4">
        <v>2</v>
      </c>
      <c r="P181" s="4">
        <v>0</v>
      </c>
      <c r="Q181" s="4">
        <v>0</v>
      </c>
      <c r="R181" s="6">
        <v>5.0000000000000001E-3</v>
      </c>
      <c r="S181" s="4">
        <v>0</v>
      </c>
      <c r="T181" s="4">
        <v>0</v>
      </c>
    </row>
    <row r="182" spans="1:20" ht="18" x14ac:dyDescent="0.2">
      <c r="A182" s="4" t="s">
        <v>1361</v>
      </c>
      <c r="B182" s="4" t="s">
        <v>2078</v>
      </c>
      <c r="C182" s="4" t="s">
        <v>48</v>
      </c>
      <c r="D182" s="4">
        <v>1</v>
      </c>
      <c r="E182" s="4" t="s">
        <v>1180</v>
      </c>
      <c r="F182" s="4">
        <v>2</v>
      </c>
      <c r="G182" s="4">
        <v>0</v>
      </c>
      <c r="H182" s="4">
        <v>0</v>
      </c>
      <c r="I182" s="5">
        <v>9.8800000000000003E-5</v>
      </c>
      <c r="J182" s="4">
        <v>0</v>
      </c>
      <c r="K182" s="4">
        <v>0</v>
      </c>
      <c r="L182" s="4">
        <v>0.10917485</v>
      </c>
      <c r="M182" s="4">
        <v>0</v>
      </c>
      <c r="N182" s="4">
        <v>0</v>
      </c>
      <c r="O182" s="4">
        <v>2</v>
      </c>
      <c r="P182" s="4">
        <v>0</v>
      </c>
      <c r="Q182" s="4">
        <v>0</v>
      </c>
      <c r="R182" s="6">
        <v>4.4999999999999998E-2</v>
      </c>
      <c r="S182" s="4">
        <v>0</v>
      </c>
      <c r="T182" s="4">
        <v>0</v>
      </c>
    </row>
    <row r="183" spans="1:20" ht="18" x14ac:dyDescent="0.2">
      <c r="A183" s="4" t="s">
        <v>1362</v>
      </c>
      <c r="B183" s="4" t="s">
        <v>2079</v>
      </c>
      <c r="C183" s="4" t="s">
        <v>48</v>
      </c>
      <c r="D183" s="4">
        <v>1</v>
      </c>
      <c r="E183" s="4" t="s">
        <v>1180</v>
      </c>
      <c r="F183" s="4">
        <v>2</v>
      </c>
      <c r="G183" s="4">
        <v>0</v>
      </c>
      <c r="H183" s="4">
        <v>0</v>
      </c>
      <c r="I183" s="5">
        <v>1.7100000000000001E-4</v>
      </c>
      <c r="J183" s="4">
        <v>0</v>
      </c>
      <c r="K183" s="4">
        <v>0</v>
      </c>
      <c r="L183" s="4">
        <v>0.19398808000000001</v>
      </c>
      <c r="M183" s="4">
        <v>0</v>
      </c>
      <c r="N183" s="4">
        <v>0</v>
      </c>
      <c r="O183" s="4">
        <v>2</v>
      </c>
      <c r="P183" s="4">
        <v>0</v>
      </c>
      <c r="Q183" s="4">
        <v>0</v>
      </c>
      <c r="R183" s="6">
        <v>7.6999999999999999E-2</v>
      </c>
      <c r="S183" s="4">
        <v>0</v>
      </c>
      <c r="T183" s="4">
        <v>0</v>
      </c>
    </row>
    <row r="184" spans="1:20" ht="18" x14ac:dyDescent="0.2">
      <c r="A184" s="4" t="s">
        <v>1363</v>
      </c>
      <c r="B184" s="4" t="s">
        <v>2026</v>
      </c>
      <c r="C184" s="4" t="s">
        <v>48</v>
      </c>
      <c r="D184" s="4">
        <v>1</v>
      </c>
      <c r="E184" s="4" t="s">
        <v>1180</v>
      </c>
      <c r="F184" s="4">
        <v>2</v>
      </c>
      <c r="G184" s="4">
        <v>0</v>
      </c>
      <c r="H184" s="4">
        <v>0</v>
      </c>
      <c r="I184" s="5">
        <v>3.5899999999999998E-5</v>
      </c>
      <c r="J184" s="4">
        <v>0</v>
      </c>
      <c r="K184" s="4">
        <v>0</v>
      </c>
      <c r="L184" s="4">
        <v>8.8930129999999996E-2</v>
      </c>
      <c r="M184" s="4">
        <v>0</v>
      </c>
      <c r="N184" s="4">
        <v>0</v>
      </c>
      <c r="O184" s="4">
        <v>2</v>
      </c>
      <c r="P184" s="4">
        <v>0</v>
      </c>
      <c r="Q184" s="4">
        <v>0</v>
      </c>
      <c r="R184" s="6">
        <v>3.6999999999999998E-2</v>
      </c>
      <c r="S184" s="4">
        <v>0</v>
      </c>
      <c r="T184" s="4">
        <v>0</v>
      </c>
    </row>
    <row r="185" spans="1:20" ht="18" x14ac:dyDescent="0.2">
      <c r="A185" s="4" t="s">
        <v>1364</v>
      </c>
      <c r="B185" s="4" t="s">
        <v>2080</v>
      </c>
      <c r="C185" s="4" t="s">
        <v>50</v>
      </c>
      <c r="D185" s="4">
        <v>1</v>
      </c>
      <c r="E185" s="4" t="s">
        <v>1180</v>
      </c>
      <c r="F185" s="4">
        <v>2</v>
      </c>
      <c r="G185" s="4">
        <v>0</v>
      </c>
      <c r="H185" s="4">
        <v>0</v>
      </c>
      <c r="I185" s="5">
        <v>5.1999999999999997E-5</v>
      </c>
      <c r="J185" s="4">
        <v>0</v>
      </c>
      <c r="K185" s="4">
        <v>0</v>
      </c>
      <c r="L185" s="4">
        <v>6.9054840000000006E-2</v>
      </c>
      <c r="M185" s="4">
        <v>0</v>
      </c>
      <c r="N185" s="4">
        <v>0</v>
      </c>
      <c r="O185" s="4">
        <v>2</v>
      </c>
      <c r="P185" s="4">
        <v>0</v>
      </c>
      <c r="Q185" s="4">
        <v>0</v>
      </c>
      <c r="R185" s="6">
        <v>2.9000000000000001E-2</v>
      </c>
      <c r="S185" s="4">
        <v>0</v>
      </c>
      <c r="T185" s="4">
        <v>0</v>
      </c>
    </row>
    <row r="186" spans="1:20" ht="18" x14ac:dyDescent="0.2">
      <c r="A186" s="4" t="s">
        <v>1365</v>
      </c>
      <c r="B186" s="4" t="s">
        <v>2081</v>
      </c>
      <c r="C186" s="4" t="s">
        <v>50</v>
      </c>
      <c r="D186" s="4">
        <v>1</v>
      </c>
      <c r="E186" s="4" t="s">
        <v>1180</v>
      </c>
      <c r="F186" s="4">
        <v>2</v>
      </c>
      <c r="G186" s="4">
        <v>0</v>
      </c>
      <c r="H186" s="4">
        <v>0</v>
      </c>
      <c r="I186" s="5">
        <v>3.0000000000000001E-5</v>
      </c>
      <c r="J186" s="4">
        <v>0</v>
      </c>
      <c r="K186" s="4">
        <v>0</v>
      </c>
      <c r="L186" s="4">
        <v>5.1961899999999998E-2</v>
      </c>
      <c r="M186" s="4">
        <v>0</v>
      </c>
      <c r="N186" s="4">
        <v>0</v>
      </c>
      <c r="O186" s="4">
        <v>2</v>
      </c>
      <c r="P186" s="4">
        <v>0</v>
      </c>
      <c r="Q186" s="4">
        <v>0</v>
      </c>
      <c r="R186" s="6">
        <v>2.1999999999999999E-2</v>
      </c>
      <c r="S186" s="4">
        <v>0</v>
      </c>
      <c r="T186" s="4">
        <v>0</v>
      </c>
    </row>
    <row r="187" spans="1:20" ht="18" x14ac:dyDescent="0.2">
      <c r="A187" s="4" t="s">
        <v>1366</v>
      </c>
      <c r="B187" s="4" t="s">
        <v>2082</v>
      </c>
      <c r="C187" s="4" t="s">
        <v>50</v>
      </c>
      <c r="D187" s="4">
        <v>1</v>
      </c>
      <c r="E187" s="4" t="s">
        <v>1180</v>
      </c>
      <c r="F187" s="4">
        <v>2</v>
      </c>
      <c r="G187" s="4">
        <v>0</v>
      </c>
      <c r="H187" s="4">
        <v>0</v>
      </c>
      <c r="I187" s="5">
        <v>2.04E-4</v>
      </c>
      <c r="J187" s="4">
        <v>0</v>
      </c>
      <c r="K187" s="4">
        <v>0</v>
      </c>
      <c r="L187" s="4">
        <v>6.169558E-2</v>
      </c>
      <c r="M187" s="4">
        <v>0</v>
      </c>
      <c r="N187" s="4">
        <v>0</v>
      </c>
      <c r="O187" s="4">
        <v>6</v>
      </c>
      <c r="P187" s="4">
        <v>0</v>
      </c>
      <c r="Q187" s="4">
        <v>0</v>
      </c>
      <c r="R187" s="6">
        <v>2.5999999999999999E-2</v>
      </c>
      <c r="S187" s="4">
        <v>0</v>
      </c>
      <c r="T187" s="4">
        <v>0</v>
      </c>
    </row>
    <row r="188" spans="1:20" ht="18" x14ac:dyDescent="0.2">
      <c r="A188" s="4" t="s">
        <v>1367</v>
      </c>
      <c r="B188" s="4" t="s">
        <v>2083</v>
      </c>
      <c r="C188" s="4" t="s">
        <v>50</v>
      </c>
      <c r="D188" s="4">
        <v>1</v>
      </c>
      <c r="E188" s="4" t="s">
        <v>1180</v>
      </c>
      <c r="F188" s="4">
        <v>2</v>
      </c>
      <c r="G188" s="4">
        <v>0</v>
      </c>
      <c r="H188" s="4">
        <v>0</v>
      </c>
      <c r="I188" s="5">
        <v>1.84E-5</v>
      </c>
      <c r="J188" s="4">
        <v>0</v>
      </c>
      <c r="K188" s="4">
        <v>0</v>
      </c>
      <c r="L188" s="4">
        <v>1.8591400000000001E-2</v>
      </c>
      <c r="M188" s="4">
        <v>0</v>
      </c>
      <c r="N188" s="4">
        <v>0</v>
      </c>
      <c r="O188" s="4">
        <v>2</v>
      </c>
      <c r="P188" s="4">
        <v>0</v>
      </c>
      <c r="Q188" s="4">
        <v>0</v>
      </c>
      <c r="R188" s="6">
        <v>8.0000000000000002E-3</v>
      </c>
      <c r="S188" s="4">
        <v>0</v>
      </c>
      <c r="T188" s="4">
        <v>0</v>
      </c>
    </row>
    <row r="189" spans="1:20" ht="18" x14ac:dyDescent="0.2">
      <c r="A189" s="4" t="s">
        <v>1368</v>
      </c>
      <c r="B189" s="4" t="s">
        <v>2084</v>
      </c>
      <c r="C189" s="4" t="s">
        <v>50</v>
      </c>
      <c r="D189" s="4">
        <v>1</v>
      </c>
      <c r="E189" s="4" t="s">
        <v>1180</v>
      </c>
      <c r="F189" s="4">
        <v>2</v>
      </c>
      <c r="G189" s="4">
        <v>0</v>
      </c>
      <c r="H189" s="4">
        <v>0</v>
      </c>
      <c r="I189" s="5">
        <v>5.9899999999999999E-5</v>
      </c>
      <c r="J189" s="4">
        <v>0</v>
      </c>
      <c r="K189" s="4">
        <v>0</v>
      </c>
      <c r="L189" s="4">
        <v>5.438685E-2</v>
      </c>
      <c r="M189" s="4">
        <v>0</v>
      </c>
      <c r="N189" s="4">
        <v>0</v>
      </c>
      <c r="O189" s="4">
        <v>2</v>
      </c>
      <c r="P189" s="4">
        <v>0</v>
      </c>
      <c r="Q189" s="4">
        <v>0</v>
      </c>
      <c r="R189" s="6">
        <v>2.3E-2</v>
      </c>
      <c r="S189" s="4">
        <v>0</v>
      </c>
      <c r="T189" s="4">
        <v>0</v>
      </c>
    </row>
    <row r="190" spans="1:20" ht="18" x14ac:dyDescent="0.2">
      <c r="A190" s="4" t="s">
        <v>1369</v>
      </c>
      <c r="B190" s="4" t="s">
        <v>2085</v>
      </c>
      <c r="C190" s="4" t="s">
        <v>1929</v>
      </c>
      <c r="D190" s="4">
        <v>1</v>
      </c>
      <c r="E190" s="4" t="s">
        <v>1180</v>
      </c>
      <c r="F190" s="4">
        <v>2</v>
      </c>
      <c r="G190" s="4">
        <v>0</v>
      </c>
      <c r="H190" s="4">
        <v>0</v>
      </c>
      <c r="I190" s="5">
        <v>5.4400000000000001E-5</v>
      </c>
      <c r="J190" s="4">
        <v>0</v>
      </c>
      <c r="K190" s="4">
        <v>0</v>
      </c>
      <c r="L190" s="4">
        <v>0.20226443</v>
      </c>
      <c r="M190" s="4">
        <v>0</v>
      </c>
      <c r="N190" s="4">
        <v>0</v>
      </c>
      <c r="O190" s="4">
        <v>2</v>
      </c>
      <c r="P190" s="4">
        <v>0</v>
      </c>
      <c r="Q190" s="4">
        <v>0</v>
      </c>
      <c r="R190" s="6">
        <v>0.08</v>
      </c>
      <c r="S190" s="4">
        <v>0</v>
      </c>
      <c r="T190" s="4">
        <v>0</v>
      </c>
    </row>
    <row r="191" spans="1:20" ht="18" x14ac:dyDescent="0.2">
      <c r="A191" s="4" t="s">
        <v>1370</v>
      </c>
      <c r="B191" s="4" t="s">
        <v>2086</v>
      </c>
      <c r="C191" s="4" t="s">
        <v>1929</v>
      </c>
      <c r="D191" s="4">
        <v>1</v>
      </c>
      <c r="E191" s="4" t="s">
        <v>1180</v>
      </c>
      <c r="F191" s="4">
        <v>2</v>
      </c>
      <c r="G191" s="4">
        <v>0</v>
      </c>
      <c r="H191" s="4">
        <v>0</v>
      </c>
      <c r="I191" s="5">
        <v>5.5399999999999998E-5</v>
      </c>
      <c r="J191" s="4">
        <v>0</v>
      </c>
      <c r="K191" s="4">
        <v>0</v>
      </c>
      <c r="L191" s="4">
        <v>7.8946710000000003E-2</v>
      </c>
      <c r="M191" s="4">
        <v>0</v>
      </c>
      <c r="N191" s="4">
        <v>0</v>
      </c>
      <c r="O191" s="4">
        <v>2</v>
      </c>
      <c r="P191" s="4">
        <v>0</v>
      </c>
      <c r="Q191" s="4">
        <v>0</v>
      </c>
      <c r="R191" s="6">
        <v>3.3000000000000002E-2</v>
      </c>
      <c r="S191" s="4">
        <v>0</v>
      </c>
      <c r="T191" s="4">
        <v>0</v>
      </c>
    </row>
    <row r="192" spans="1:20" ht="18" x14ac:dyDescent="0.2">
      <c r="A192" s="4" t="s">
        <v>1371</v>
      </c>
      <c r="B192" s="4" t="s">
        <v>2087</v>
      </c>
      <c r="C192" s="4" t="s">
        <v>2088</v>
      </c>
      <c r="D192" s="4">
        <v>1</v>
      </c>
      <c r="E192" s="4" t="s">
        <v>1180</v>
      </c>
      <c r="F192" s="4">
        <v>2</v>
      </c>
      <c r="G192" s="4">
        <v>0</v>
      </c>
      <c r="H192" s="4">
        <v>0</v>
      </c>
      <c r="I192" s="5">
        <v>4.7599999999999998E-5</v>
      </c>
      <c r="J192" s="4">
        <v>0</v>
      </c>
      <c r="K192" s="4">
        <v>0</v>
      </c>
      <c r="L192" s="4">
        <v>4.712856E-2</v>
      </c>
      <c r="M192" s="4">
        <v>0</v>
      </c>
      <c r="N192" s="4">
        <v>0</v>
      </c>
      <c r="O192" s="4">
        <v>2</v>
      </c>
      <c r="P192" s="4">
        <v>0</v>
      </c>
      <c r="Q192" s="4">
        <v>0</v>
      </c>
      <c r="R192" s="6">
        <v>0.02</v>
      </c>
      <c r="S192" s="4">
        <v>0</v>
      </c>
      <c r="T192" s="4">
        <v>0</v>
      </c>
    </row>
    <row r="193" spans="1:20" ht="18" x14ac:dyDescent="0.2">
      <c r="A193" s="4" t="s">
        <v>1372</v>
      </c>
      <c r="B193" s="4" t="s">
        <v>2089</v>
      </c>
      <c r="C193" s="4" t="s">
        <v>2090</v>
      </c>
      <c r="D193" s="4">
        <v>1</v>
      </c>
      <c r="E193" s="4" t="s">
        <v>1180</v>
      </c>
      <c r="F193" s="4">
        <v>2</v>
      </c>
      <c r="G193" s="4">
        <v>0</v>
      </c>
      <c r="H193" s="4">
        <v>0</v>
      </c>
      <c r="I193" s="5">
        <v>1.1400000000000001E-4</v>
      </c>
      <c r="J193" s="4">
        <v>0</v>
      </c>
      <c r="K193" s="4">
        <v>0</v>
      </c>
      <c r="L193" s="4">
        <v>0.14287830000000001</v>
      </c>
      <c r="M193" s="4">
        <v>0</v>
      </c>
      <c r="N193" s="4">
        <v>0</v>
      </c>
      <c r="O193" s="4">
        <v>3</v>
      </c>
      <c r="P193" s="4">
        <v>0</v>
      </c>
      <c r="Q193" s="4">
        <v>0</v>
      </c>
      <c r="R193" s="6">
        <v>5.8000000000000003E-2</v>
      </c>
      <c r="S193" s="4">
        <v>0</v>
      </c>
      <c r="T193" s="4">
        <v>0</v>
      </c>
    </row>
    <row r="194" spans="1:20" ht="18" x14ac:dyDescent="0.2">
      <c r="A194" s="4" t="s">
        <v>1373</v>
      </c>
      <c r="B194" s="4" t="s">
        <v>2091</v>
      </c>
      <c r="C194" s="4" t="s">
        <v>2090</v>
      </c>
      <c r="D194" s="4">
        <v>1</v>
      </c>
      <c r="E194" s="4" t="s">
        <v>1180</v>
      </c>
      <c r="F194" s="4">
        <v>2</v>
      </c>
      <c r="G194" s="4">
        <v>0</v>
      </c>
      <c r="H194" s="4">
        <v>0</v>
      </c>
      <c r="I194" s="5">
        <v>6.3200000000000005E-5</v>
      </c>
      <c r="J194" s="4">
        <v>0</v>
      </c>
      <c r="K194" s="4">
        <v>0</v>
      </c>
      <c r="L194" s="4">
        <v>0.10407864999999999</v>
      </c>
      <c r="M194" s="4">
        <v>0</v>
      </c>
      <c r="N194" s="4">
        <v>0</v>
      </c>
      <c r="O194" s="4">
        <v>2</v>
      </c>
      <c r="P194" s="4">
        <v>0</v>
      </c>
      <c r="Q194" s="4">
        <v>0</v>
      </c>
      <c r="R194" s="6">
        <v>4.2999999999999997E-2</v>
      </c>
      <c r="S194" s="4">
        <v>0</v>
      </c>
      <c r="T194" s="4">
        <v>0</v>
      </c>
    </row>
    <row r="195" spans="1:20" ht="18" x14ac:dyDescent="0.2">
      <c r="A195" s="4" t="s">
        <v>1374</v>
      </c>
      <c r="B195" s="4" t="s">
        <v>2092</v>
      </c>
      <c r="C195" s="4" t="s">
        <v>2090</v>
      </c>
      <c r="D195" s="4">
        <v>1</v>
      </c>
      <c r="E195" s="4" t="s">
        <v>1180</v>
      </c>
      <c r="F195" s="4">
        <v>2</v>
      </c>
      <c r="G195" s="4">
        <v>0</v>
      </c>
      <c r="H195" s="4">
        <v>0</v>
      </c>
      <c r="I195" s="5">
        <v>3.3699999999999999E-5</v>
      </c>
      <c r="J195" s="4">
        <v>0</v>
      </c>
      <c r="K195" s="4">
        <v>0</v>
      </c>
      <c r="L195" s="4">
        <v>6.6596150000000007E-2</v>
      </c>
      <c r="M195" s="4">
        <v>0</v>
      </c>
      <c r="N195" s="4">
        <v>0</v>
      </c>
      <c r="O195" s="4">
        <v>2</v>
      </c>
      <c r="P195" s="4">
        <v>0</v>
      </c>
      <c r="Q195" s="4">
        <v>0</v>
      </c>
      <c r="R195" s="6">
        <v>2.8000000000000001E-2</v>
      </c>
      <c r="S195" s="4">
        <v>0</v>
      </c>
      <c r="T195" s="4">
        <v>0</v>
      </c>
    </row>
    <row r="196" spans="1:20" ht="18" x14ac:dyDescent="0.2">
      <c r="A196" s="4" t="s">
        <v>1375</v>
      </c>
      <c r="B196" s="4" t="s">
        <v>2093</v>
      </c>
      <c r="C196" s="4" t="s">
        <v>2045</v>
      </c>
      <c r="D196" s="4">
        <v>1</v>
      </c>
      <c r="E196" s="4" t="s">
        <v>1180</v>
      </c>
      <c r="F196" s="4">
        <v>2</v>
      </c>
      <c r="G196" s="4">
        <v>0</v>
      </c>
      <c r="H196" s="4">
        <v>0</v>
      </c>
      <c r="I196" s="5">
        <v>2.4199999999999999E-5</v>
      </c>
      <c r="J196" s="4">
        <v>0</v>
      </c>
      <c r="K196" s="4">
        <v>0</v>
      </c>
      <c r="L196" s="4">
        <v>4.4720169999999997E-2</v>
      </c>
      <c r="M196" s="4">
        <v>0</v>
      </c>
      <c r="N196" s="4">
        <v>0</v>
      </c>
      <c r="O196" s="4">
        <v>2</v>
      </c>
      <c r="P196" s="4">
        <v>0</v>
      </c>
      <c r="Q196" s="4">
        <v>0</v>
      </c>
      <c r="R196" s="6">
        <v>1.9E-2</v>
      </c>
      <c r="S196" s="4">
        <v>0</v>
      </c>
      <c r="T196" s="4">
        <v>0</v>
      </c>
    </row>
    <row r="197" spans="1:20" ht="18" x14ac:dyDescent="0.2">
      <c r="A197" s="4" t="s">
        <v>1376</v>
      </c>
      <c r="B197" s="4" t="s">
        <v>2094</v>
      </c>
      <c r="C197" s="4" t="s">
        <v>2045</v>
      </c>
      <c r="D197" s="4">
        <v>1</v>
      </c>
      <c r="E197" s="4" t="s">
        <v>1180</v>
      </c>
      <c r="F197" s="4">
        <v>2</v>
      </c>
      <c r="G197" s="4">
        <v>0</v>
      </c>
      <c r="H197" s="4">
        <v>0</v>
      </c>
      <c r="I197" s="5">
        <v>4.46E-5</v>
      </c>
      <c r="J197" s="4">
        <v>0</v>
      </c>
      <c r="K197" s="4">
        <v>0</v>
      </c>
      <c r="L197" s="4">
        <v>5.1961899999999998E-2</v>
      </c>
      <c r="M197" s="4">
        <v>0</v>
      </c>
      <c r="N197" s="4">
        <v>0</v>
      </c>
      <c r="O197" s="4">
        <v>2</v>
      </c>
      <c r="P197" s="4">
        <v>0</v>
      </c>
      <c r="Q197" s="4">
        <v>0</v>
      </c>
      <c r="R197" s="6">
        <v>2.1999999999999999E-2</v>
      </c>
      <c r="S197" s="4">
        <v>0</v>
      </c>
      <c r="T197" s="4">
        <v>0</v>
      </c>
    </row>
    <row r="198" spans="1:20" ht="18" x14ac:dyDescent="0.2">
      <c r="A198" s="4" t="s">
        <v>1377</v>
      </c>
      <c r="B198" s="4" t="s">
        <v>2095</v>
      </c>
      <c r="C198" s="4" t="s">
        <v>2045</v>
      </c>
      <c r="D198" s="4">
        <v>1</v>
      </c>
      <c r="E198" s="4" t="s">
        <v>1180</v>
      </c>
      <c r="F198" s="4">
        <v>2</v>
      </c>
      <c r="G198" s="4">
        <v>0</v>
      </c>
      <c r="H198" s="4">
        <v>0</v>
      </c>
      <c r="I198" s="5">
        <v>2.2399999999999999E-5</v>
      </c>
      <c r="J198" s="4">
        <v>0</v>
      </c>
      <c r="K198" s="4">
        <v>0</v>
      </c>
      <c r="L198" s="4">
        <v>2.3293020000000001E-2</v>
      </c>
      <c r="M198" s="4">
        <v>0</v>
      </c>
      <c r="N198" s="4">
        <v>0</v>
      </c>
      <c r="O198" s="4">
        <v>2</v>
      </c>
      <c r="P198" s="4">
        <v>0</v>
      </c>
      <c r="Q198" s="4">
        <v>0</v>
      </c>
      <c r="R198" s="6">
        <v>0.01</v>
      </c>
      <c r="S198" s="4">
        <v>0</v>
      </c>
      <c r="T198" s="4">
        <v>0</v>
      </c>
    </row>
    <row r="199" spans="1:20" ht="18" x14ac:dyDescent="0.2">
      <c r="A199" s="4" t="s">
        <v>1378</v>
      </c>
      <c r="B199" s="4" t="s">
        <v>2096</v>
      </c>
      <c r="C199" s="4" t="s">
        <v>2006</v>
      </c>
      <c r="D199" s="4">
        <v>1</v>
      </c>
      <c r="E199" s="4" t="s">
        <v>1180</v>
      </c>
      <c r="F199" s="4">
        <v>2</v>
      </c>
      <c r="G199" s="4">
        <v>0</v>
      </c>
      <c r="H199" s="4">
        <v>0</v>
      </c>
      <c r="I199" s="5">
        <v>4.4700000000000002E-5</v>
      </c>
      <c r="J199" s="4">
        <v>0</v>
      </c>
      <c r="K199" s="4">
        <v>0</v>
      </c>
      <c r="L199" s="4">
        <v>5.9253689999999998E-2</v>
      </c>
      <c r="M199" s="4">
        <v>0</v>
      </c>
      <c r="N199" s="4">
        <v>0</v>
      </c>
      <c r="O199" s="4">
        <v>2</v>
      </c>
      <c r="P199" s="4">
        <v>0</v>
      </c>
      <c r="Q199" s="4">
        <v>0</v>
      </c>
      <c r="R199" s="6">
        <v>2.5000000000000001E-2</v>
      </c>
      <c r="S199" s="4">
        <v>0</v>
      </c>
      <c r="T199" s="4">
        <v>0</v>
      </c>
    </row>
    <row r="200" spans="1:20" ht="18" x14ac:dyDescent="0.2">
      <c r="A200" s="4" t="s">
        <v>1379</v>
      </c>
      <c r="B200" s="4" t="s">
        <v>2097</v>
      </c>
      <c r="C200" s="4" t="s">
        <v>144</v>
      </c>
      <c r="D200" s="4">
        <v>1</v>
      </c>
      <c r="E200" s="4" t="s">
        <v>1180</v>
      </c>
      <c r="F200" s="4">
        <v>2</v>
      </c>
      <c r="G200" s="4">
        <v>0</v>
      </c>
      <c r="H200" s="4">
        <v>0</v>
      </c>
      <c r="I200" s="5">
        <v>5.1999999999999997E-5</v>
      </c>
      <c r="J200" s="4">
        <v>0</v>
      </c>
      <c r="K200" s="4">
        <v>0</v>
      </c>
      <c r="L200" s="4">
        <v>7.3989390000000002E-2</v>
      </c>
      <c r="M200" s="4">
        <v>0</v>
      </c>
      <c r="N200" s="4">
        <v>0</v>
      </c>
      <c r="O200" s="4">
        <v>2</v>
      </c>
      <c r="P200" s="4">
        <v>0</v>
      </c>
      <c r="Q200" s="4">
        <v>0</v>
      </c>
      <c r="R200" s="6">
        <v>3.1E-2</v>
      </c>
      <c r="S200" s="4">
        <v>0</v>
      </c>
      <c r="T200" s="4">
        <v>0</v>
      </c>
    </row>
    <row r="201" spans="1:20" ht="18" x14ac:dyDescent="0.2">
      <c r="A201" s="4" t="s">
        <v>1380</v>
      </c>
      <c r="B201" s="4" t="s">
        <v>2098</v>
      </c>
      <c r="C201" s="4" t="s">
        <v>144</v>
      </c>
      <c r="D201" s="4">
        <v>1</v>
      </c>
      <c r="E201" s="4" t="s">
        <v>1180</v>
      </c>
      <c r="F201" s="4">
        <v>2</v>
      </c>
      <c r="G201" s="4">
        <v>0</v>
      </c>
      <c r="H201" s="4">
        <v>0</v>
      </c>
      <c r="I201" s="5">
        <v>4.8600000000000002E-5</v>
      </c>
      <c r="J201" s="4">
        <v>0</v>
      </c>
      <c r="K201" s="4">
        <v>0</v>
      </c>
      <c r="L201" s="4">
        <v>5.1961899999999998E-2</v>
      </c>
      <c r="M201" s="4">
        <v>0</v>
      </c>
      <c r="N201" s="4">
        <v>0</v>
      </c>
      <c r="O201" s="4">
        <v>2</v>
      </c>
      <c r="P201" s="4">
        <v>0</v>
      </c>
      <c r="Q201" s="4">
        <v>0</v>
      </c>
      <c r="R201" s="6">
        <v>2.1999999999999999E-2</v>
      </c>
      <c r="S201" s="4">
        <v>0</v>
      </c>
      <c r="T201" s="4">
        <v>0</v>
      </c>
    </row>
    <row r="202" spans="1:20" ht="18" x14ac:dyDescent="0.2">
      <c r="A202" s="4" t="s">
        <v>1381</v>
      </c>
      <c r="B202" s="4" t="s">
        <v>2099</v>
      </c>
      <c r="C202" s="4" t="s">
        <v>96</v>
      </c>
      <c r="D202" s="4">
        <v>1</v>
      </c>
      <c r="E202" s="4" t="s">
        <v>1180</v>
      </c>
      <c r="F202" s="4">
        <v>2</v>
      </c>
      <c r="G202" s="4">
        <v>0</v>
      </c>
      <c r="H202" s="4">
        <v>0</v>
      </c>
      <c r="I202" s="5">
        <v>1.85E-4</v>
      </c>
      <c r="J202" s="4">
        <v>0</v>
      </c>
      <c r="K202" s="4">
        <v>0</v>
      </c>
      <c r="L202" s="4">
        <v>0.19398808000000001</v>
      </c>
      <c r="M202" s="4">
        <v>0</v>
      </c>
      <c r="N202" s="4">
        <v>0</v>
      </c>
      <c r="O202" s="4">
        <v>2</v>
      </c>
      <c r="P202" s="4">
        <v>0</v>
      </c>
      <c r="Q202" s="4">
        <v>0</v>
      </c>
      <c r="R202" s="6">
        <v>7.6999999999999999E-2</v>
      </c>
      <c r="S202" s="4">
        <v>0</v>
      </c>
      <c r="T202" s="4">
        <v>0</v>
      </c>
    </row>
    <row r="203" spans="1:20" ht="18" x14ac:dyDescent="0.2">
      <c r="A203" s="4" t="s">
        <v>1382</v>
      </c>
      <c r="B203" s="4" t="s">
        <v>2100</v>
      </c>
      <c r="C203" s="7" t="s">
        <v>96</v>
      </c>
      <c r="D203" s="4">
        <v>1</v>
      </c>
      <c r="E203" s="4" t="s">
        <v>1180</v>
      </c>
      <c r="F203" s="4">
        <v>2</v>
      </c>
      <c r="G203" s="4">
        <v>0</v>
      </c>
      <c r="H203" s="4">
        <v>0</v>
      </c>
      <c r="I203" s="5">
        <v>1.0900000000000001E-4</v>
      </c>
      <c r="J203" s="4">
        <v>0</v>
      </c>
      <c r="K203" s="4">
        <v>0</v>
      </c>
      <c r="L203" s="4">
        <v>0.1324004</v>
      </c>
      <c r="M203" s="4">
        <v>0</v>
      </c>
      <c r="N203" s="4">
        <v>0</v>
      </c>
      <c r="O203" s="4">
        <v>2</v>
      </c>
      <c r="P203" s="4">
        <v>0</v>
      </c>
      <c r="Q203" s="4">
        <v>0</v>
      </c>
      <c r="R203" s="6">
        <v>5.3999999999999999E-2</v>
      </c>
      <c r="S203" s="4">
        <v>0</v>
      </c>
      <c r="T203" s="4">
        <v>0</v>
      </c>
    </row>
    <row r="204" spans="1:20" ht="18" x14ac:dyDescent="0.2">
      <c r="A204" s="4" t="s">
        <v>1383</v>
      </c>
      <c r="B204" s="4" t="s">
        <v>2101</v>
      </c>
      <c r="C204" s="7" t="s">
        <v>96</v>
      </c>
      <c r="D204" s="4">
        <v>1</v>
      </c>
      <c r="E204" s="4" t="s">
        <v>1180</v>
      </c>
      <c r="F204" s="4">
        <v>2</v>
      </c>
      <c r="G204" s="4">
        <v>0</v>
      </c>
      <c r="H204" s="4">
        <v>0</v>
      </c>
      <c r="I204" s="5">
        <v>1.4100000000000001E-4</v>
      </c>
      <c r="J204" s="4">
        <v>0</v>
      </c>
      <c r="K204" s="4">
        <v>0</v>
      </c>
      <c r="L204" s="4">
        <v>0.21618604999999999</v>
      </c>
      <c r="M204" s="4">
        <v>0</v>
      </c>
      <c r="N204" s="4">
        <v>0</v>
      </c>
      <c r="O204" s="4">
        <v>2</v>
      </c>
      <c r="P204" s="4">
        <v>0</v>
      </c>
      <c r="Q204" s="4">
        <v>0</v>
      </c>
      <c r="R204" s="6">
        <v>8.5000000000000006E-2</v>
      </c>
      <c r="S204" s="4">
        <v>0</v>
      </c>
      <c r="T204" s="4">
        <v>0</v>
      </c>
    </row>
    <row r="205" spans="1:20" ht="18" x14ac:dyDescent="0.2">
      <c r="A205" s="4" t="s">
        <v>1384</v>
      </c>
      <c r="B205" s="4" t="s">
        <v>2102</v>
      </c>
      <c r="C205" s="7" t="s">
        <v>96</v>
      </c>
      <c r="D205" s="4">
        <v>1</v>
      </c>
      <c r="E205" s="4" t="s">
        <v>1180</v>
      </c>
      <c r="F205" s="4">
        <v>2</v>
      </c>
      <c r="G205" s="4">
        <v>0</v>
      </c>
      <c r="H205" s="4">
        <v>0</v>
      </c>
      <c r="I205" s="5">
        <v>5.3699999999999997E-5</v>
      </c>
      <c r="J205" s="4">
        <v>0</v>
      </c>
      <c r="K205" s="4">
        <v>0</v>
      </c>
      <c r="L205" s="4">
        <v>0.18850218999999999</v>
      </c>
      <c r="M205" s="4">
        <v>0</v>
      </c>
      <c r="N205" s="4">
        <v>0</v>
      </c>
      <c r="O205" s="4">
        <v>2</v>
      </c>
      <c r="P205" s="4">
        <v>0</v>
      </c>
      <c r="Q205" s="4">
        <v>0</v>
      </c>
      <c r="R205" s="6">
        <v>7.4999999999999997E-2</v>
      </c>
      <c r="S205" s="4">
        <v>0</v>
      </c>
      <c r="T205" s="4">
        <v>0</v>
      </c>
    </row>
    <row r="206" spans="1:20" ht="18" x14ac:dyDescent="0.2">
      <c r="A206" s="4" t="s">
        <v>1385</v>
      </c>
      <c r="B206" s="4" t="s">
        <v>2103</v>
      </c>
      <c r="C206" s="4" t="s">
        <v>51</v>
      </c>
      <c r="D206" s="4">
        <v>1</v>
      </c>
      <c r="E206" s="4" t="s">
        <v>1180</v>
      </c>
      <c r="F206" s="4">
        <v>2</v>
      </c>
      <c r="G206" s="4">
        <v>0</v>
      </c>
      <c r="H206" s="4">
        <v>0</v>
      </c>
      <c r="I206" s="5">
        <v>4.0399999999999999E-5</v>
      </c>
      <c r="J206" s="4">
        <v>0</v>
      </c>
      <c r="K206" s="4">
        <v>0</v>
      </c>
      <c r="L206" s="4">
        <v>6.4143060000000002E-2</v>
      </c>
      <c r="M206" s="4">
        <v>0</v>
      </c>
      <c r="N206" s="4">
        <v>0</v>
      </c>
      <c r="O206" s="4">
        <v>2</v>
      </c>
      <c r="P206" s="4">
        <v>0</v>
      </c>
      <c r="Q206" s="4">
        <v>0</v>
      </c>
      <c r="R206" s="6">
        <v>2.7E-2</v>
      </c>
      <c r="S206" s="4">
        <v>0</v>
      </c>
      <c r="T206" s="4">
        <v>0</v>
      </c>
    </row>
    <row r="207" spans="1:20" ht="18" x14ac:dyDescent="0.2">
      <c r="A207" s="4" t="s">
        <v>1386</v>
      </c>
      <c r="B207" s="4" t="s">
        <v>2104</v>
      </c>
      <c r="C207" s="4" t="s">
        <v>51</v>
      </c>
      <c r="D207" s="4">
        <v>1</v>
      </c>
      <c r="E207" s="4" t="s">
        <v>1180</v>
      </c>
      <c r="F207" s="4">
        <v>2</v>
      </c>
      <c r="G207" s="4">
        <v>0</v>
      </c>
      <c r="H207" s="4">
        <v>0</v>
      </c>
      <c r="I207" s="5">
        <v>5.3100000000000003E-5</v>
      </c>
      <c r="J207" s="4">
        <v>0</v>
      </c>
      <c r="K207" s="4">
        <v>0</v>
      </c>
      <c r="L207" s="4">
        <v>5.6817529999999998E-2</v>
      </c>
      <c r="M207" s="4">
        <v>0</v>
      </c>
      <c r="N207" s="4">
        <v>0</v>
      </c>
      <c r="O207" s="4">
        <v>2</v>
      </c>
      <c r="P207" s="4">
        <v>0</v>
      </c>
      <c r="Q207" s="4">
        <v>0</v>
      </c>
      <c r="R207" s="6">
        <v>2.4E-2</v>
      </c>
      <c r="S207" s="4">
        <v>0</v>
      </c>
      <c r="T207" s="4">
        <v>0</v>
      </c>
    </row>
    <row r="208" spans="1:20" ht="18" x14ac:dyDescent="0.2">
      <c r="A208" s="4" t="s">
        <v>1387</v>
      </c>
      <c r="B208" s="4" t="s">
        <v>2105</v>
      </c>
      <c r="C208" s="4" t="s">
        <v>51</v>
      </c>
      <c r="D208" s="4">
        <v>1</v>
      </c>
      <c r="E208" s="4" t="s">
        <v>1180</v>
      </c>
      <c r="F208" s="4">
        <v>2</v>
      </c>
      <c r="G208" s="4">
        <v>0</v>
      </c>
      <c r="H208" s="4">
        <v>0</v>
      </c>
      <c r="I208" s="5">
        <v>6.7599999999999997E-6</v>
      </c>
      <c r="J208" s="4">
        <v>0</v>
      </c>
      <c r="K208" s="4">
        <v>0</v>
      </c>
      <c r="L208" s="4">
        <v>1.8591400000000001E-2</v>
      </c>
      <c r="M208" s="4">
        <v>0</v>
      </c>
      <c r="N208" s="4">
        <v>0</v>
      </c>
      <c r="O208" s="4">
        <v>2</v>
      </c>
      <c r="P208" s="4">
        <v>0</v>
      </c>
      <c r="Q208" s="4">
        <v>0</v>
      </c>
      <c r="R208" s="6">
        <v>8.0000000000000002E-3</v>
      </c>
      <c r="S208" s="4">
        <v>0</v>
      </c>
      <c r="T208" s="4">
        <v>0</v>
      </c>
    </row>
    <row r="209" spans="1:20" ht="18" x14ac:dyDescent="0.2">
      <c r="A209" s="4" t="s">
        <v>1388</v>
      </c>
      <c r="B209" s="4" t="s">
        <v>2106</v>
      </c>
      <c r="C209" s="4" t="s">
        <v>51</v>
      </c>
      <c r="D209" s="4">
        <v>1</v>
      </c>
      <c r="E209" s="4" t="s">
        <v>1180</v>
      </c>
      <c r="F209" s="4">
        <v>2</v>
      </c>
      <c r="G209" s="4">
        <v>0</v>
      </c>
      <c r="H209" s="4">
        <v>0</v>
      </c>
      <c r="I209" s="5">
        <v>4.1999999999999998E-5</v>
      </c>
      <c r="J209" s="4">
        <v>0</v>
      </c>
      <c r="K209" s="4">
        <v>0</v>
      </c>
      <c r="L209" s="4">
        <v>7.6465249999999998E-2</v>
      </c>
      <c r="M209" s="4">
        <v>0</v>
      </c>
      <c r="N209" s="4">
        <v>0</v>
      </c>
      <c r="O209" s="4">
        <v>2</v>
      </c>
      <c r="P209" s="4">
        <v>0</v>
      </c>
      <c r="Q209" s="4">
        <v>0</v>
      </c>
      <c r="R209" s="6">
        <v>3.2000000000000001E-2</v>
      </c>
      <c r="S209" s="4">
        <v>0</v>
      </c>
      <c r="T209" s="4">
        <v>0</v>
      </c>
    </row>
    <row r="210" spans="1:20" ht="18" x14ac:dyDescent="0.2">
      <c r="A210" s="4" t="s">
        <v>1389</v>
      </c>
      <c r="B210" s="4" t="s">
        <v>2107</v>
      </c>
      <c r="C210" s="4" t="s">
        <v>51</v>
      </c>
      <c r="D210" s="4">
        <v>1</v>
      </c>
      <c r="E210" s="4" t="s">
        <v>1180</v>
      </c>
      <c r="F210" s="4">
        <v>2</v>
      </c>
      <c r="G210" s="4">
        <v>0</v>
      </c>
      <c r="H210" s="4">
        <v>0</v>
      </c>
      <c r="I210" s="5">
        <v>1.49E-5</v>
      </c>
      <c r="J210" s="4">
        <v>0</v>
      </c>
      <c r="K210" s="4">
        <v>0</v>
      </c>
      <c r="L210" s="4">
        <v>2.8016329999999999E-2</v>
      </c>
      <c r="M210" s="4">
        <v>0</v>
      </c>
      <c r="N210" s="4">
        <v>0</v>
      </c>
      <c r="O210" s="4">
        <v>2</v>
      </c>
      <c r="P210" s="4">
        <v>0</v>
      </c>
      <c r="Q210" s="4">
        <v>0</v>
      </c>
      <c r="R210" s="6">
        <v>1.2E-2</v>
      </c>
      <c r="S210" s="4">
        <v>0</v>
      </c>
      <c r="T210" s="4">
        <v>0</v>
      </c>
    </row>
    <row r="211" spans="1:20" ht="18" x14ac:dyDescent="0.2">
      <c r="A211" s="4" t="s">
        <v>1390</v>
      </c>
      <c r="B211" s="4" t="s">
        <v>2108</v>
      </c>
      <c r="C211" s="4" t="s">
        <v>51</v>
      </c>
      <c r="D211" s="4">
        <v>1</v>
      </c>
      <c r="E211" s="4" t="s">
        <v>1180</v>
      </c>
      <c r="F211" s="4">
        <v>2</v>
      </c>
      <c r="G211" s="4">
        <v>0</v>
      </c>
      <c r="H211" s="4">
        <v>0</v>
      </c>
      <c r="I211" s="5">
        <v>9.7999999999999997E-5</v>
      </c>
      <c r="J211" s="4">
        <v>0</v>
      </c>
      <c r="K211" s="4">
        <v>0</v>
      </c>
      <c r="L211" s="4">
        <v>0.29121923</v>
      </c>
      <c r="M211" s="4">
        <v>0</v>
      </c>
      <c r="N211" s="4">
        <v>0</v>
      </c>
      <c r="O211" s="4">
        <v>2</v>
      </c>
      <c r="P211" s="4">
        <v>0</v>
      </c>
      <c r="Q211" s="4">
        <v>0</v>
      </c>
      <c r="R211" s="6">
        <v>0.111</v>
      </c>
      <c r="S211" s="4">
        <v>0</v>
      </c>
      <c r="T211" s="4">
        <v>0</v>
      </c>
    </row>
    <row r="212" spans="1:20" ht="18" x14ac:dyDescent="0.2">
      <c r="A212" s="4" t="s">
        <v>1391</v>
      </c>
      <c r="B212" s="4" t="s">
        <v>2109</v>
      </c>
      <c r="C212" s="4" t="s">
        <v>51</v>
      </c>
      <c r="D212" s="4">
        <v>1</v>
      </c>
      <c r="E212" s="4" t="s">
        <v>1180</v>
      </c>
      <c r="F212" s="4">
        <v>2</v>
      </c>
      <c r="G212" s="4">
        <v>0</v>
      </c>
      <c r="H212" s="4">
        <v>0</v>
      </c>
      <c r="I212" s="5">
        <v>1.42E-5</v>
      </c>
      <c r="J212" s="4">
        <v>0</v>
      </c>
      <c r="K212" s="4">
        <v>0</v>
      </c>
      <c r="L212" s="4">
        <v>1.1579509999999999E-2</v>
      </c>
      <c r="M212" s="4">
        <v>0</v>
      </c>
      <c r="N212" s="4">
        <v>0</v>
      </c>
      <c r="O212" s="4">
        <v>4</v>
      </c>
      <c r="P212" s="4">
        <v>0</v>
      </c>
      <c r="Q212" s="4">
        <v>0</v>
      </c>
      <c r="R212" s="6">
        <v>5.0000000000000001E-3</v>
      </c>
      <c r="S212" s="4">
        <v>0</v>
      </c>
      <c r="T212" s="4">
        <v>0</v>
      </c>
    </row>
    <row r="213" spans="1:20" ht="18" x14ac:dyDescent="0.2">
      <c r="A213" s="4" t="s">
        <v>1392</v>
      </c>
      <c r="B213" s="4" t="s">
        <v>2110</v>
      </c>
      <c r="C213" s="4" t="s">
        <v>51</v>
      </c>
      <c r="D213" s="4">
        <v>1</v>
      </c>
      <c r="E213" s="4" t="s">
        <v>1180</v>
      </c>
      <c r="F213" s="4">
        <v>2</v>
      </c>
      <c r="G213" s="4">
        <v>0</v>
      </c>
      <c r="H213" s="4">
        <v>0</v>
      </c>
      <c r="I213" s="5">
        <v>5.8699999999999997E-5</v>
      </c>
      <c r="J213" s="4">
        <v>0</v>
      </c>
      <c r="K213" s="4">
        <v>0</v>
      </c>
      <c r="L213" s="4">
        <v>9.6478220000000003E-2</v>
      </c>
      <c r="M213" s="4">
        <v>0</v>
      </c>
      <c r="N213" s="4">
        <v>0</v>
      </c>
      <c r="O213" s="4">
        <v>2</v>
      </c>
      <c r="P213" s="4">
        <v>0</v>
      </c>
      <c r="Q213" s="4">
        <v>0</v>
      </c>
      <c r="R213" s="6">
        <v>0.04</v>
      </c>
      <c r="S213" s="4">
        <v>0</v>
      </c>
      <c r="T213" s="4">
        <v>0</v>
      </c>
    </row>
    <row r="214" spans="1:20" ht="18" x14ac:dyDescent="0.2">
      <c r="A214" s="4" t="s">
        <v>1393</v>
      </c>
      <c r="B214" s="4" t="s">
        <v>2111</v>
      </c>
      <c r="C214" s="4" t="s">
        <v>51</v>
      </c>
      <c r="D214" s="4">
        <v>1</v>
      </c>
      <c r="E214" s="4" t="s">
        <v>1180</v>
      </c>
      <c r="F214" s="4">
        <v>2</v>
      </c>
      <c r="G214" s="4">
        <v>0</v>
      </c>
      <c r="H214" s="4">
        <v>0</v>
      </c>
      <c r="I214" s="5">
        <v>6.4700000000000001E-5</v>
      </c>
      <c r="J214" s="4">
        <v>0</v>
      </c>
      <c r="K214" s="4">
        <v>0</v>
      </c>
      <c r="L214" s="4">
        <v>0.15877736000000001</v>
      </c>
      <c r="M214" s="4">
        <v>0</v>
      </c>
      <c r="N214" s="4">
        <v>0</v>
      </c>
      <c r="O214" s="4">
        <v>3</v>
      </c>
      <c r="P214" s="4">
        <v>0</v>
      </c>
      <c r="Q214" s="4">
        <v>0</v>
      </c>
      <c r="R214" s="6">
        <v>6.4000000000000001E-2</v>
      </c>
      <c r="S214" s="4">
        <v>0</v>
      </c>
      <c r="T214" s="4">
        <v>0</v>
      </c>
    </row>
    <row r="215" spans="1:20" ht="18" x14ac:dyDescent="0.2">
      <c r="A215" s="4" t="s">
        <v>1394</v>
      </c>
      <c r="B215" s="4" t="s">
        <v>2112</v>
      </c>
      <c r="C215" s="4" t="s">
        <v>2028</v>
      </c>
      <c r="D215" s="4">
        <v>1</v>
      </c>
      <c r="E215" s="4" t="s">
        <v>1180</v>
      </c>
      <c r="F215" s="4">
        <v>2</v>
      </c>
      <c r="G215" s="4">
        <v>0</v>
      </c>
      <c r="H215" s="4">
        <v>0</v>
      </c>
      <c r="I215" s="5">
        <v>4.1499999999999999E-5</v>
      </c>
      <c r="J215" s="4">
        <v>0</v>
      </c>
      <c r="K215" s="4">
        <v>0</v>
      </c>
      <c r="L215" s="4">
        <v>4.712856E-2</v>
      </c>
      <c r="M215" s="4">
        <v>0</v>
      </c>
      <c r="N215" s="4">
        <v>0</v>
      </c>
      <c r="O215" s="4">
        <v>2</v>
      </c>
      <c r="P215" s="4">
        <v>0</v>
      </c>
      <c r="Q215" s="4">
        <v>0</v>
      </c>
      <c r="R215" s="6">
        <v>0.02</v>
      </c>
      <c r="S215" s="4">
        <v>0</v>
      </c>
      <c r="T215" s="4">
        <v>0</v>
      </c>
    </row>
    <row r="216" spans="1:20" ht="18" x14ac:dyDescent="0.2">
      <c r="A216" s="4" t="s">
        <v>1395</v>
      </c>
      <c r="B216" s="4" t="s">
        <v>2016</v>
      </c>
      <c r="C216" s="4" t="s">
        <v>2028</v>
      </c>
      <c r="D216" s="4">
        <v>1</v>
      </c>
      <c r="E216" s="4" t="s">
        <v>1180</v>
      </c>
      <c r="F216" s="4">
        <v>2</v>
      </c>
      <c r="G216" s="4">
        <v>0</v>
      </c>
      <c r="H216" s="4">
        <v>0</v>
      </c>
      <c r="I216" s="5">
        <v>7.6299999999999998E-5</v>
      </c>
      <c r="J216" s="4">
        <v>0</v>
      </c>
      <c r="K216" s="4">
        <v>0</v>
      </c>
      <c r="L216" s="4">
        <v>8.3926920000000002E-2</v>
      </c>
      <c r="M216" s="4">
        <v>0</v>
      </c>
      <c r="N216" s="4">
        <v>0</v>
      </c>
      <c r="O216" s="4">
        <v>2</v>
      </c>
      <c r="P216" s="4">
        <v>0</v>
      </c>
      <c r="Q216" s="4">
        <v>0</v>
      </c>
      <c r="R216" s="6">
        <v>3.5000000000000003E-2</v>
      </c>
      <c r="S216" s="4">
        <v>0</v>
      </c>
      <c r="T216" s="4">
        <v>0</v>
      </c>
    </row>
    <row r="217" spans="1:20" ht="18" x14ac:dyDescent="0.2">
      <c r="A217" s="4" t="s">
        <v>1396</v>
      </c>
      <c r="B217" s="4" t="s">
        <v>2113</v>
      </c>
      <c r="C217" s="4" t="s">
        <v>2028</v>
      </c>
      <c r="D217" s="4">
        <v>1</v>
      </c>
      <c r="E217" s="4" t="s">
        <v>1180</v>
      </c>
      <c r="F217" s="4">
        <v>2</v>
      </c>
      <c r="G217" s="4">
        <v>0</v>
      </c>
      <c r="H217" s="4">
        <v>0</v>
      </c>
      <c r="I217" s="5">
        <v>8.5099999999999995E-5</v>
      </c>
      <c r="J217" s="4">
        <v>0</v>
      </c>
      <c r="K217" s="4">
        <v>0</v>
      </c>
      <c r="L217" s="4">
        <v>0.16949939999999999</v>
      </c>
      <c r="M217" s="4">
        <v>0</v>
      </c>
      <c r="N217" s="4">
        <v>0</v>
      </c>
      <c r="O217" s="4">
        <v>2</v>
      </c>
      <c r="P217" s="4">
        <v>0</v>
      </c>
      <c r="Q217" s="4">
        <v>0</v>
      </c>
      <c r="R217" s="6">
        <v>6.8000000000000005E-2</v>
      </c>
      <c r="S217" s="4">
        <v>0</v>
      </c>
      <c r="T217" s="4">
        <v>0</v>
      </c>
    </row>
    <row r="218" spans="1:20" ht="18" x14ac:dyDescent="0.2">
      <c r="A218" s="4" t="s">
        <v>1397</v>
      </c>
      <c r="B218" s="4" t="s">
        <v>2024</v>
      </c>
      <c r="C218" s="4" t="s">
        <v>2028</v>
      </c>
      <c r="D218" s="4">
        <v>1</v>
      </c>
      <c r="E218" s="4" t="s">
        <v>1180</v>
      </c>
      <c r="F218" s="4">
        <v>2</v>
      </c>
      <c r="G218" s="4">
        <v>0</v>
      </c>
      <c r="H218" s="4">
        <v>0</v>
      </c>
      <c r="I218" s="5">
        <v>2.6400000000000001E-5</v>
      </c>
      <c r="J218" s="4">
        <v>0</v>
      </c>
      <c r="K218" s="4">
        <v>0</v>
      </c>
      <c r="L218" s="4">
        <v>3.5142180000000002E-2</v>
      </c>
      <c r="M218" s="4">
        <v>0</v>
      </c>
      <c r="N218" s="4">
        <v>0</v>
      </c>
      <c r="O218" s="4">
        <v>2</v>
      </c>
      <c r="P218" s="4">
        <v>0</v>
      </c>
      <c r="Q218" s="4">
        <v>0</v>
      </c>
      <c r="R218" s="6">
        <v>1.4999999999999999E-2</v>
      </c>
      <c r="S218" s="4">
        <v>0</v>
      </c>
      <c r="T218" s="4">
        <v>0</v>
      </c>
    </row>
    <row r="219" spans="1:20" ht="18" x14ac:dyDescent="0.2">
      <c r="A219" s="4" t="s">
        <v>1398</v>
      </c>
      <c r="B219" s="4" t="s">
        <v>2114</v>
      </c>
      <c r="C219" s="4" t="s">
        <v>2028</v>
      </c>
      <c r="D219" s="4">
        <v>1</v>
      </c>
      <c r="E219" s="4" t="s">
        <v>1180</v>
      </c>
      <c r="F219" s="4">
        <v>2</v>
      </c>
      <c r="G219" s="4">
        <v>0</v>
      </c>
      <c r="H219" s="4">
        <v>0</v>
      </c>
      <c r="I219" s="5">
        <v>9.4199999999999999E-5</v>
      </c>
      <c r="J219" s="4">
        <v>0</v>
      </c>
      <c r="K219" s="4">
        <v>0</v>
      </c>
      <c r="L219" s="4">
        <v>0.11173176999999999</v>
      </c>
      <c r="M219" s="4">
        <v>0</v>
      </c>
      <c r="N219" s="4">
        <v>0</v>
      </c>
      <c r="O219" s="4">
        <v>2</v>
      </c>
      <c r="P219" s="4">
        <v>0</v>
      </c>
      <c r="Q219" s="4">
        <v>0</v>
      </c>
      <c r="R219" s="6">
        <v>4.5999999999999999E-2</v>
      </c>
      <c r="S219" s="4">
        <v>0</v>
      </c>
      <c r="T219" s="4">
        <v>0</v>
      </c>
    </row>
    <row r="220" spans="1:20" ht="18" x14ac:dyDescent="0.2">
      <c r="A220" s="4" t="s">
        <v>1399</v>
      </c>
      <c r="B220" s="4" t="s">
        <v>2024</v>
      </c>
      <c r="C220" s="4" t="s">
        <v>2028</v>
      </c>
      <c r="D220" s="4">
        <v>1</v>
      </c>
      <c r="E220" s="4" t="s">
        <v>1180</v>
      </c>
      <c r="F220" s="4">
        <v>2</v>
      </c>
      <c r="G220" s="4">
        <v>0</v>
      </c>
      <c r="H220" s="4">
        <v>0</v>
      </c>
      <c r="I220" s="5">
        <v>1.08E-4</v>
      </c>
      <c r="J220" s="4">
        <v>0</v>
      </c>
      <c r="K220" s="4">
        <v>0</v>
      </c>
      <c r="L220" s="4">
        <v>0.27938128000000001</v>
      </c>
      <c r="M220" s="4">
        <v>0</v>
      </c>
      <c r="N220" s="4">
        <v>0</v>
      </c>
      <c r="O220" s="4">
        <v>3</v>
      </c>
      <c r="P220" s="4">
        <v>0</v>
      </c>
      <c r="Q220" s="4">
        <v>0</v>
      </c>
      <c r="R220" s="6">
        <v>0.107</v>
      </c>
      <c r="S220" s="4">
        <v>0</v>
      </c>
      <c r="T220" s="4">
        <v>0</v>
      </c>
    </row>
    <row r="221" spans="1:20" ht="18" x14ac:dyDescent="0.2">
      <c r="A221" s="4" t="s">
        <v>1400</v>
      </c>
      <c r="B221" s="4" t="s">
        <v>2115</v>
      </c>
      <c r="C221" s="4" t="s">
        <v>2028</v>
      </c>
      <c r="D221" s="4">
        <v>1</v>
      </c>
      <c r="E221" s="4" t="s">
        <v>1180</v>
      </c>
      <c r="F221" s="4">
        <v>2</v>
      </c>
      <c r="G221" s="4">
        <v>0</v>
      </c>
      <c r="H221" s="4">
        <v>0</v>
      </c>
      <c r="I221" s="5">
        <v>1.85E-4</v>
      </c>
      <c r="J221" s="4">
        <v>0</v>
      </c>
      <c r="K221" s="4">
        <v>0</v>
      </c>
      <c r="L221" s="4">
        <v>0.19398808000000001</v>
      </c>
      <c r="M221" s="4">
        <v>0</v>
      </c>
      <c r="N221" s="4">
        <v>0</v>
      </c>
      <c r="O221" s="4">
        <v>2</v>
      </c>
      <c r="P221" s="4">
        <v>0</v>
      </c>
      <c r="Q221" s="4">
        <v>0</v>
      </c>
      <c r="R221" s="6">
        <v>7.6999999999999999E-2</v>
      </c>
      <c r="S221" s="4">
        <v>0</v>
      </c>
      <c r="T221" s="4">
        <v>0</v>
      </c>
    </row>
    <row r="222" spans="1:20" ht="18" x14ac:dyDescent="0.2">
      <c r="A222" s="4" t="s">
        <v>1401</v>
      </c>
      <c r="B222" s="4" t="s">
        <v>2116</v>
      </c>
      <c r="C222" s="4" t="s">
        <v>2028</v>
      </c>
      <c r="D222" s="4">
        <v>1</v>
      </c>
      <c r="E222" s="4" t="s">
        <v>1180</v>
      </c>
      <c r="F222" s="4">
        <v>2</v>
      </c>
      <c r="G222" s="4">
        <v>0</v>
      </c>
      <c r="H222" s="4">
        <v>0</v>
      </c>
      <c r="I222" s="5">
        <v>1.85E-4</v>
      </c>
      <c r="J222" s="4">
        <v>0</v>
      </c>
      <c r="K222" s="4">
        <v>0</v>
      </c>
      <c r="L222" s="4">
        <v>0.19398808000000001</v>
      </c>
      <c r="M222" s="4">
        <v>0</v>
      </c>
      <c r="N222" s="4">
        <v>0</v>
      </c>
      <c r="O222" s="4">
        <v>2</v>
      </c>
      <c r="P222" s="4">
        <v>0</v>
      </c>
      <c r="Q222" s="4">
        <v>0</v>
      </c>
      <c r="R222" s="6">
        <v>7.6999999999999999E-2</v>
      </c>
      <c r="S222" s="4">
        <v>0</v>
      </c>
      <c r="T222" s="4">
        <v>0</v>
      </c>
    </row>
    <row r="223" spans="1:20" ht="18" x14ac:dyDescent="0.2">
      <c r="A223" s="4" t="s">
        <v>1402</v>
      </c>
      <c r="B223" s="4" t="s">
        <v>2117</v>
      </c>
      <c r="C223" s="4" t="s">
        <v>2028</v>
      </c>
      <c r="D223" s="4">
        <v>1</v>
      </c>
      <c r="E223" s="4" t="s">
        <v>1180</v>
      </c>
      <c r="F223" s="4">
        <v>2</v>
      </c>
      <c r="G223" s="4">
        <v>0</v>
      </c>
      <c r="H223" s="4">
        <v>0</v>
      </c>
      <c r="I223" s="5">
        <v>3.8999999999999999E-5</v>
      </c>
      <c r="J223" s="4">
        <v>0</v>
      </c>
      <c r="K223" s="4">
        <v>0</v>
      </c>
      <c r="L223" s="4">
        <v>6.9054840000000006E-2</v>
      </c>
      <c r="M223" s="4">
        <v>0</v>
      </c>
      <c r="N223" s="4">
        <v>0</v>
      </c>
      <c r="O223" s="4">
        <v>3</v>
      </c>
      <c r="P223" s="4">
        <v>0</v>
      </c>
      <c r="Q223" s="4">
        <v>0</v>
      </c>
      <c r="R223" s="6">
        <v>2.9000000000000001E-2</v>
      </c>
      <c r="S223" s="4">
        <v>0</v>
      </c>
      <c r="T223" s="4">
        <v>0</v>
      </c>
    </row>
    <row r="224" spans="1:20" ht="18" x14ac:dyDescent="0.2">
      <c r="A224" s="4" t="s">
        <v>1403</v>
      </c>
      <c r="B224" s="4" t="s">
        <v>2118</v>
      </c>
      <c r="C224" s="4" t="s">
        <v>241</v>
      </c>
      <c r="D224" s="4">
        <v>2</v>
      </c>
      <c r="E224" s="4" t="s">
        <v>116</v>
      </c>
      <c r="F224" s="4">
        <v>0</v>
      </c>
      <c r="G224" s="4">
        <v>26</v>
      </c>
      <c r="H224" s="4">
        <v>15</v>
      </c>
      <c r="I224" s="4">
        <v>0</v>
      </c>
      <c r="J224" s="4">
        <v>1.0084862E-2</v>
      </c>
      <c r="K224" s="4">
        <v>2.9890032000000001E-3</v>
      </c>
      <c r="L224" s="4">
        <v>0</v>
      </c>
      <c r="M224" s="4">
        <v>1.7925435999999999</v>
      </c>
      <c r="N224" s="4">
        <v>1.7925435999999999</v>
      </c>
      <c r="O224" s="4">
        <v>0</v>
      </c>
      <c r="P224" s="4">
        <v>83</v>
      </c>
      <c r="Q224" s="4">
        <v>42</v>
      </c>
      <c r="R224" s="4">
        <v>0</v>
      </c>
      <c r="S224" s="6">
        <v>0.44600000000000001</v>
      </c>
      <c r="T224" s="6">
        <v>0.44600000000000001</v>
      </c>
    </row>
    <row r="225" spans="1:20" ht="18" x14ac:dyDescent="0.2">
      <c r="A225" s="4" t="s">
        <v>1404</v>
      </c>
      <c r="B225" s="4" t="s">
        <v>2119</v>
      </c>
      <c r="C225" s="4" t="s">
        <v>241</v>
      </c>
      <c r="D225" s="4">
        <v>2</v>
      </c>
      <c r="E225" s="4" t="s">
        <v>116</v>
      </c>
      <c r="F225" s="4">
        <v>0</v>
      </c>
      <c r="G225" s="4">
        <v>25</v>
      </c>
      <c r="H225" s="4">
        <v>25</v>
      </c>
      <c r="I225" s="4">
        <v>0</v>
      </c>
      <c r="J225" s="4">
        <v>8.0078960000000005E-3</v>
      </c>
      <c r="K225" s="4">
        <v>4.1966136000000003E-3</v>
      </c>
      <c r="L225" s="4">
        <v>0</v>
      </c>
      <c r="M225" s="4">
        <v>2.2809526999999998</v>
      </c>
      <c r="N225" s="4">
        <v>2.1045596999999998</v>
      </c>
      <c r="O225" s="4">
        <v>0</v>
      </c>
      <c r="P225" s="4">
        <v>57</v>
      </c>
      <c r="Q225" s="4">
        <v>51</v>
      </c>
      <c r="R225" s="4">
        <v>0</v>
      </c>
      <c r="S225" s="6">
        <v>0.51600000000000001</v>
      </c>
      <c r="T225" s="6">
        <v>0.49199999999999999</v>
      </c>
    </row>
    <row r="226" spans="1:20" ht="18" x14ac:dyDescent="0.2">
      <c r="A226" s="4" t="s">
        <v>1405</v>
      </c>
      <c r="B226" s="4" t="s">
        <v>2120</v>
      </c>
      <c r="C226" s="4" t="s">
        <v>241</v>
      </c>
      <c r="D226" s="4">
        <v>2</v>
      </c>
      <c r="E226" s="4" t="s">
        <v>116</v>
      </c>
      <c r="F226" s="4">
        <v>0</v>
      </c>
      <c r="G226" s="4">
        <v>6</v>
      </c>
      <c r="H226" s="4">
        <v>5</v>
      </c>
      <c r="I226" s="4">
        <v>0</v>
      </c>
      <c r="J226" s="4">
        <v>2.397686E-3</v>
      </c>
      <c r="K226" s="4">
        <v>1.0031122000000001E-3</v>
      </c>
      <c r="L226" s="4">
        <v>0</v>
      </c>
      <c r="M226" s="4">
        <v>0.80717410000000001</v>
      </c>
      <c r="N226" s="4">
        <v>0.80717410000000001</v>
      </c>
      <c r="O226" s="4">
        <v>0</v>
      </c>
      <c r="P226" s="4">
        <v>14</v>
      </c>
      <c r="Q226" s="4">
        <v>10</v>
      </c>
      <c r="R226" s="4">
        <v>0</v>
      </c>
      <c r="S226" s="6">
        <v>0.25700000000000001</v>
      </c>
      <c r="T226" s="6">
        <v>0.25700000000000001</v>
      </c>
    </row>
    <row r="227" spans="1:20" ht="18" x14ac:dyDescent="0.2">
      <c r="A227" s="4" t="s">
        <v>1406</v>
      </c>
      <c r="B227" s="4" t="s">
        <v>2121</v>
      </c>
      <c r="C227" s="4" t="s">
        <v>241</v>
      </c>
      <c r="D227" s="4">
        <v>2</v>
      </c>
      <c r="E227" s="4" t="s">
        <v>116</v>
      </c>
      <c r="F227" s="4">
        <v>0</v>
      </c>
      <c r="G227" s="4">
        <v>2</v>
      </c>
      <c r="H227" s="4">
        <v>2</v>
      </c>
      <c r="I227" s="4">
        <v>0</v>
      </c>
      <c r="J227" s="5">
        <v>3.5609196999999998E-4</v>
      </c>
      <c r="K227" s="5">
        <v>2.0856786999999999E-4</v>
      </c>
      <c r="L227" s="4">
        <v>0</v>
      </c>
      <c r="M227" s="4">
        <v>0.57761119999999999</v>
      </c>
      <c r="N227" s="4">
        <v>0.28528666000000003</v>
      </c>
      <c r="O227" s="4">
        <v>0</v>
      </c>
      <c r="P227" s="4">
        <v>2</v>
      </c>
      <c r="Q227" s="4">
        <v>2</v>
      </c>
      <c r="R227" s="4">
        <v>0</v>
      </c>
      <c r="S227" s="6">
        <v>0.19800000000000001</v>
      </c>
      <c r="T227" s="6">
        <v>0.109</v>
      </c>
    </row>
    <row r="228" spans="1:20" ht="18" x14ac:dyDescent="0.2">
      <c r="A228" s="4" t="s">
        <v>1407</v>
      </c>
      <c r="B228" s="4" t="s">
        <v>2122</v>
      </c>
      <c r="C228" s="4" t="s">
        <v>241</v>
      </c>
      <c r="D228" s="4">
        <v>2</v>
      </c>
      <c r="E228" s="4" t="s">
        <v>116</v>
      </c>
      <c r="F228" s="4">
        <v>0</v>
      </c>
      <c r="G228" s="4">
        <v>14</v>
      </c>
      <c r="H228" s="4">
        <v>3</v>
      </c>
      <c r="I228" s="4">
        <v>0</v>
      </c>
      <c r="J228" s="4">
        <v>9.9005570000000008E-3</v>
      </c>
      <c r="K228" s="4">
        <v>1.0651021999999999E-3</v>
      </c>
      <c r="L228" s="4">
        <v>0</v>
      </c>
      <c r="M228" s="4">
        <v>1.3496326999999999</v>
      </c>
      <c r="N228" s="4">
        <v>0.33045447</v>
      </c>
      <c r="O228" s="4">
        <v>0</v>
      </c>
      <c r="P228" s="4">
        <v>49</v>
      </c>
      <c r="Q228" s="4">
        <v>9</v>
      </c>
      <c r="R228" s="4">
        <v>0</v>
      </c>
      <c r="S228" s="6">
        <v>0.371</v>
      </c>
      <c r="T228" s="6">
        <v>0.124</v>
      </c>
    </row>
    <row r="229" spans="1:20" ht="18" x14ac:dyDescent="0.2">
      <c r="A229" s="4" t="s">
        <v>1408</v>
      </c>
      <c r="B229" s="4" t="s">
        <v>2123</v>
      </c>
      <c r="C229" s="4" t="s">
        <v>241</v>
      </c>
      <c r="D229" s="4">
        <v>2</v>
      </c>
      <c r="E229" s="4" t="s">
        <v>116</v>
      </c>
      <c r="F229" s="4">
        <v>0</v>
      </c>
      <c r="G229" s="4">
        <v>17</v>
      </c>
      <c r="H229" s="4">
        <v>11</v>
      </c>
      <c r="I229" s="4">
        <v>0</v>
      </c>
      <c r="J229" s="4">
        <v>7.2902612999999998E-3</v>
      </c>
      <c r="K229" s="4">
        <v>2.2773359E-3</v>
      </c>
      <c r="L229" s="4">
        <v>0</v>
      </c>
      <c r="M229" s="4">
        <v>1.0137240999999999</v>
      </c>
      <c r="N229" s="4">
        <v>1.0137240999999999</v>
      </c>
      <c r="O229" s="4">
        <v>0</v>
      </c>
      <c r="P229" s="4">
        <v>60</v>
      </c>
      <c r="Q229" s="4">
        <v>32</v>
      </c>
      <c r="R229" s="4">
        <v>0</v>
      </c>
      <c r="S229" s="6">
        <v>0.30399999999999999</v>
      </c>
      <c r="T229" s="6">
        <v>0.30399999999999999</v>
      </c>
    </row>
    <row r="230" spans="1:20" ht="18" x14ac:dyDescent="0.2">
      <c r="A230" s="4" t="s">
        <v>1409</v>
      </c>
      <c r="B230" s="4" t="s">
        <v>2124</v>
      </c>
      <c r="C230" s="4" t="s">
        <v>241</v>
      </c>
      <c r="D230" s="4">
        <v>2</v>
      </c>
      <c r="E230" s="4" t="s">
        <v>116</v>
      </c>
      <c r="F230" s="4">
        <v>0</v>
      </c>
      <c r="G230" s="4">
        <v>11</v>
      </c>
      <c r="H230" s="4">
        <v>10</v>
      </c>
      <c r="I230" s="4">
        <v>0</v>
      </c>
      <c r="J230" s="5">
        <v>7.0885950000000001E-4</v>
      </c>
      <c r="K230" s="5">
        <v>2.8407638000000002E-4</v>
      </c>
      <c r="L230" s="4">
        <v>0</v>
      </c>
      <c r="M230" s="4">
        <v>0.20503592000000001</v>
      </c>
      <c r="N230" s="4">
        <v>0.34586035999999998</v>
      </c>
      <c r="O230" s="4">
        <v>0</v>
      </c>
      <c r="P230" s="4">
        <v>19</v>
      </c>
      <c r="Q230" s="4">
        <v>13</v>
      </c>
      <c r="R230" s="4">
        <v>0</v>
      </c>
      <c r="S230" s="6">
        <v>8.1000000000000003E-2</v>
      </c>
      <c r="T230" s="6">
        <v>0.129</v>
      </c>
    </row>
    <row r="231" spans="1:20" ht="18" x14ac:dyDescent="0.2">
      <c r="A231" s="4" t="s">
        <v>1410</v>
      </c>
      <c r="B231" s="4" t="s">
        <v>2125</v>
      </c>
      <c r="C231" s="4" t="s">
        <v>241</v>
      </c>
      <c r="D231" s="4">
        <v>2</v>
      </c>
      <c r="E231" s="4" t="s">
        <v>116</v>
      </c>
      <c r="F231" s="4">
        <v>0</v>
      </c>
      <c r="G231" s="4">
        <v>17</v>
      </c>
      <c r="H231" s="4">
        <v>11</v>
      </c>
      <c r="I231" s="4">
        <v>0</v>
      </c>
      <c r="J231" s="4">
        <v>7.2902612999999998E-3</v>
      </c>
      <c r="K231" s="4">
        <v>2.2773359E-3</v>
      </c>
      <c r="L231" s="4">
        <v>0</v>
      </c>
      <c r="M231" s="4">
        <v>1.0137240999999999</v>
      </c>
      <c r="N231" s="4">
        <v>1.0137240999999999</v>
      </c>
      <c r="O231" s="4">
        <v>0</v>
      </c>
      <c r="P231" s="4">
        <v>60</v>
      </c>
      <c r="Q231" s="4">
        <v>32</v>
      </c>
      <c r="R231" s="4">
        <v>0</v>
      </c>
      <c r="S231" s="6">
        <v>0.30399999999999999</v>
      </c>
      <c r="T231" s="6">
        <v>0.30399999999999999</v>
      </c>
    </row>
    <row r="232" spans="1:20" ht="18" x14ac:dyDescent="0.2">
      <c r="A232" s="4" t="s">
        <v>1411</v>
      </c>
      <c r="B232" s="4" t="s">
        <v>2126</v>
      </c>
      <c r="C232" s="4" t="s">
        <v>241</v>
      </c>
      <c r="D232" s="4">
        <v>2</v>
      </c>
      <c r="E232" s="4" t="s">
        <v>116</v>
      </c>
      <c r="F232" s="4">
        <v>0</v>
      </c>
      <c r="G232" s="4">
        <v>4</v>
      </c>
      <c r="H232" s="4">
        <v>3</v>
      </c>
      <c r="I232" s="4">
        <v>0</v>
      </c>
      <c r="J232" s="4">
        <v>2.6500740000000001E-3</v>
      </c>
      <c r="K232" s="5">
        <v>8.8696233999999998E-4</v>
      </c>
      <c r="L232" s="4">
        <v>0</v>
      </c>
      <c r="M232" s="4">
        <v>0.47231244999999999</v>
      </c>
      <c r="N232" s="4">
        <v>0.43879855000000001</v>
      </c>
      <c r="O232" s="4">
        <v>0</v>
      </c>
      <c r="P232" s="4">
        <v>14</v>
      </c>
      <c r="Q232" s="4">
        <v>8</v>
      </c>
      <c r="R232" s="4">
        <v>0</v>
      </c>
      <c r="S232" s="6">
        <v>0.16800000000000001</v>
      </c>
      <c r="T232" s="6">
        <v>0.158</v>
      </c>
    </row>
    <row r="233" spans="1:20" ht="18" x14ac:dyDescent="0.2">
      <c r="A233" s="4" t="s">
        <v>1412</v>
      </c>
      <c r="B233" s="4" t="s">
        <v>2127</v>
      </c>
      <c r="C233" s="4" t="s">
        <v>241</v>
      </c>
      <c r="D233" s="4">
        <v>2</v>
      </c>
      <c r="E233" s="4" t="s">
        <v>116</v>
      </c>
      <c r="F233" s="4">
        <v>0</v>
      </c>
      <c r="G233" s="4">
        <v>10</v>
      </c>
      <c r="H233" s="4">
        <v>6</v>
      </c>
      <c r="I233" s="4">
        <v>0</v>
      </c>
      <c r="J233" s="4">
        <v>5.4141297E-3</v>
      </c>
      <c r="K233" s="4">
        <v>1.8120734999999999E-3</v>
      </c>
      <c r="L233" s="4">
        <v>0</v>
      </c>
      <c r="M233" s="4">
        <v>0.41579378</v>
      </c>
      <c r="N233" s="4">
        <v>0.41579378</v>
      </c>
      <c r="O233" s="4">
        <v>0</v>
      </c>
      <c r="P233" s="4">
        <v>28</v>
      </c>
      <c r="Q233" s="4">
        <v>16</v>
      </c>
      <c r="R233" s="4">
        <v>0</v>
      </c>
      <c r="S233" s="6">
        <v>0.151</v>
      </c>
      <c r="T233" s="6">
        <v>0.151</v>
      </c>
    </row>
    <row r="234" spans="1:20" ht="18" x14ac:dyDescent="0.2">
      <c r="A234" s="4" t="s">
        <v>1413</v>
      </c>
      <c r="B234" s="4" t="s">
        <v>2128</v>
      </c>
      <c r="C234" s="4" t="s">
        <v>241</v>
      </c>
      <c r="D234" s="4">
        <v>2</v>
      </c>
      <c r="E234" s="4" t="s">
        <v>116</v>
      </c>
      <c r="F234" s="4">
        <v>0</v>
      </c>
      <c r="G234" s="4">
        <v>19</v>
      </c>
      <c r="H234" s="4">
        <v>20</v>
      </c>
      <c r="I234" s="4">
        <v>0</v>
      </c>
      <c r="J234" s="4">
        <v>1.3408113E-3</v>
      </c>
      <c r="K234" s="4">
        <v>1.0856049000000001E-3</v>
      </c>
      <c r="L234" s="4">
        <v>0</v>
      </c>
      <c r="M234" s="4">
        <v>0.48936105000000002</v>
      </c>
      <c r="N234" s="4">
        <v>0.43218790000000001</v>
      </c>
      <c r="O234" s="4">
        <v>0</v>
      </c>
      <c r="P234" s="4">
        <v>34</v>
      </c>
      <c r="Q234" s="4">
        <v>47</v>
      </c>
      <c r="R234" s="4">
        <v>0</v>
      </c>
      <c r="S234" s="6">
        <v>0.17299999999999999</v>
      </c>
      <c r="T234" s="6">
        <v>0.156</v>
      </c>
    </row>
    <row r="235" spans="1:20" ht="18" x14ac:dyDescent="0.2">
      <c r="A235" s="4" t="s">
        <v>1414</v>
      </c>
      <c r="B235" s="4" t="s">
        <v>2129</v>
      </c>
      <c r="C235" s="4" t="s">
        <v>241</v>
      </c>
      <c r="D235" s="4">
        <v>2</v>
      </c>
      <c r="E235" s="4" t="s">
        <v>116</v>
      </c>
      <c r="F235" s="4">
        <v>0</v>
      </c>
      <c r="G235" s="4">
        <v>3</v>
      </c>
      <c r="H235" s="4">
        <v>3</v>
      </c>
      <c r="I235" s="4">
        <v>0</v>
      </c>
      <c r="J235" s="4">
        <v>3.5965289999999998E-3</v>
      </c>
      <c r="K235" s="5">
        <v>3.3261085999999998E-4</v>
      </c>
      <c r="L235" s="4">
        <v>0</v>
      </c>
      <c r="M235" s="4">
        <v>0.21338879999999999</v>
      </c>
      <c r="N235" s="4">
        <v>0.21338879999999999</v>
      </c>
      <c r="O235" s="4">
        <v>0</v>
      </c>
      <c r="P235" s="4">
        <v>19</v>
      </c>
      <c r="Q235" s="4">
        <v>3</v>
      </c>
      <c r="R235" s="4">
        <v>0</v>
      </c>
      <c r="S235" s="6">
        <v>8.4000000000000005E-2</v>
      </c>
      <c r="T235" s="6">
        <v>8.4000000000000005E-2</v>
      </c>
    </row>
    <row r="236" spans="1:20" ht="18" x14ac:dyDescent="0.2">
      <c r="A236" s="4" t="s">
        <v>1415</v>
      </c>
      <c r="B236" s="4" t="s">
        <v>2130</v>
      </c>
      <c r="C236" s="4" t="s">
        <v>241</v>
      </c>
      <c r="D236" s="4">
        <v>2</v>
      </c>
      <c r="E236" s="4" t="s">
        <v>116</v>
      </c>
      <c r="F236" s="4">
        <v>0</v>
      </c>
      <c r="G236" s="4">
        <v>19</v>
      </c>
      <c r="H236" s="4">
        <v>10</v>
      </c>
      <c r="I236" s="4">
        <v>0</v>
      </c>
      <c r="J236" s="4">
        <v>4.9425983E-3</v>
      </c>
      <c r="K236" s="4">
        <v>1.3550813000000001E-3</v>
      </c>
      <c r="L236" s="4">
        <v>0</v>
      </c>
      <c r="M236" s="4">
        <v>1.5644841</v>
      </c>
      <c r="N236" s="4">
        <v>1.4322037999999999</v>
      </c>
      <c r="O236" s="4">
        <v>0</v>
      </c>
      <c r="P236" s="4">
        <v>47</v>
      </c>
      <c r="Q236" s="4">
        <v>22</v>
      </c>
      <c r="R236" s="4">
        <v>0</v>
      </c>
      <c r="S236" s="6">
        <v>0.40899999999999997</v>
      </c>
      <c r="T236" s="6">
        <v>0.38600000000000001</v>
      </c>
    </row>
    <row r="237" spans="1:20" ht="18" x14ac:dyDescent="0.2">
      <c r="A237" s="4" t="s">
        <v>1416</v>
      </c>
      <c r="B237" s="4" t="s">
        <v>2131</v>
      </c>
      <c r="C237" s="4" t="s">
        <v>241</v>
      </c>
      <c r="D237" s="4">
        <v>2</v>
      </c>
      <c r="E237" s="4" t="s">
        <v>116</v>
      </c>
      <c r="F237" s="4">
        <v>0</v>
      </c>
      <c r="G237" s="4">
        <v>5</v>
      </c>
      <c r="H237" s="4">
        <v>3</v>
      </c>
      <c r="I237" s="4">
        <v>0</v>
      </c>
      <c r="J237" s="5">
        <v>6.3904210000000005E-5</v>
      </c>
      <c r="K237" s="5">
        <v>4.4915471999999997E-5</v>
      </c>
      <c r="L237" s="4">
        <v>0</v>
      </c>
      <c r="M237" s="4">
        <v>3.2761455000000002E-2</v>
      </c>
      <c r="N237" s="4">
        <v>5.4386853999999998E-2</v>
      </c>
      <c r="O237" s="4">
        <v>0</v>
      </c>
      <c r="P237" s="4">
        <v>5</v>
      </c>
      <c r="Q237" s="4">
        <v>6</v>
      </c>
      <c r="R237" s="4">
        <v>0</v>
      </c>
      <c r="S237" s="6">
        <v>1.4E-2</v>
      </c>
      <c r="T237" s="6">
        <v>2.3E-2</v>
      </c>
    </row>
    <row r="238" spans="1:20" ht="18" x14ac:dyDescent="0.2">
      <c r="A238" s="4" t="s">
        <v>1417</v>
      </c>
      <c r="B238" s="4" t="s">
        <v>2132</v>
      </c>
      <c r="C238" s="4" t="s">
        <v>241</v>
      </c>
      <c r="D238" s="4">
        <v>2</v>
      </c>
      <c r="E238" s="4" t="s">
        <v>116</v>
      </c>
      <c r="F238" s="4">
        <v>0</v>
      </c>
      <c r="G238" s="4">
        <v>14</v>
      </c>
      <c r="H238" s="4">
        <v>8</v>
      </c>
      <c r="I238" s="4">
        <v>0</v>
      </c>
      <c r="J238" s="4">
        <v>5.1768216999999997E-3</v>
      </c>
      <c r="K238" s="4">
        <v>1.5160671999999999E-3</v>
      </c>
      <c r="L238" s="4">
        <v>0</v>
      </c>
      <c r="M238" s="4">
        <v>1.6121614</v>
      </c>
      <c r="N238" s="4">
        <v>1.1183609999999999</v>
      </c>
      <c r="O238" s="4">
        <v>0</v>
      </c>
      <c r="P238" s="4">
        <v>38</v>
      </c>
      <c r="Q238" s="4">
        <v>19</v>
      </c>
      <c r="R238" s="4">
        <v>0</v>
      </c>
      <c r="S238" s="6">
        <v>0.41699999999999998</v>
      </c>
      <c r="T238" s="6">
        <v>0.32600000000000001</v>
      </c>
    </row>
    <row r="239" spans="1:20" ht="18" x14ac:dyDescent="0.2">
      <c r="A239" s="4" t="s">
        <v>1418</v>
      </c>
      <c r="B239" s="4" t="s">
        <v>2133</v>
      </c>
      <c r="C239" s="4" t="s">
        <v>241</v>
      </c>
      <c r="D239" s="4">
        <v>2</v>
      </c>
      <c r="E239" s="4" t="s">
        <v>116</v>
      </c>
      <c r="F239" s="4">
        <v>0</v>
      </c>
      <c r="G239" s="4">
        <v>7</v>
      </c>
      <c r="H239" s="4">
        <v>6</v>
      </c>
      <c r="I239" s="4">
        <v>0</v>
      </c>
      <c r="J239" s="4">
        <v>2.4100451E-3</v>
      </c>
      <c r="K239" s="4">
        <v>1.4115957999999999E-3</v>
      </c>
      <c r="L239" s="4">
        <v>0</v>
      </c>
      <c r="M239" s="4">
        <v>0.89670587000000002</v>
      </c>
      <c r="N239" s="4">
        <v>0.4962356</v>
      </c>
      <c r="O239" s="4">
        <v>0</v>
      </c>
      <c r="P239" s="4">
        <v>13</v>
      </c>
      <c r="Q239" s="4">
        <v>13</v>
      </c>
      <c r="R239" s="4">
        <v>0</v>
      </c>
      <c r="S239" s="6">
        <v>0.27800000000000002</v>
      </c>
      <c r="T239" s="6">
        <v>0.17499999999999999</v>
      </c>
    </row>
    <row r="240" spans="1:20" ht="18" x14ac:dyDescent="0.2">
      <c r="A240" s="4" t="s">
        <v>1419</v>
      </c>
      <c r="B240" s="4" t="s">
        <v>2134</v>
      </c>
      <c r="C240" s="4" t="s">
        <v>248</v>
      </c>
      <c r="D240" s="4">
        <v>2</v>
      </c>
      <c r="E240" s="4" t="s">
        <v>116</v>
      </c>
      <c r="F240" s="4">
        <v>0</v>
      </c>
      <c r="G240" s="4">
        <v>44</v>
      </c>
      <c r="H240" s="4">
        <v>29</v>
      </c>
      <c r="I240" s="4">
        <v>0</v>
      </c>
      <c r="J240" s="4">
        <v>3.1625920000000001E-3</v>
      </c>
      <c r="K240" s="4">
        <v>1.2708139000000001E-3</v>
      </c>
      <c r="L240" s="4">
        <v>0</v>
      </c>
      <c r="M240" s="4">
        <v>1.2080047</v>
      </c>
      <c r="N240" s="4">
        <v>0.90546070000000001</v>
      </c>
      <c r="O240" s="4">
        <v>0</v>
      </c>
      <c r="P240" s="4">
        <v>86</v>
      </c>
      <c r="Q240" s="4">
        <v>59</v>
      </c>
      <c r="R240" s="4">
        <v>0</v>
      </c>
      <c r="S240" s="6">
        <v>0.34399999999999997</v>
      </c>
      <c r="T240" s="6">
        <v>0.28000000000000003</v>
      </c>
    </row>
    <row r="241" spans="1:20" ht="18" x14ac:dyDescent="0.2">
      <c r="A241" s="4" t="s">
        <v>1420</v>
      </c>
      <c r="B241" s="4" t="s">
        <v>2135</v>
      </c>
      <c r="C241" s="4" t="s">
        <v>248</v>
      </c>
      <c r="D241" s="4">
        <v>2</v>
      </c>
      <c r="E241" s="4" t="s">
        <v>116</v>
      </c>
      <c r="F241" s="4">
        <v>0</v>
      </c>
      <c r="G241" s="4">
        <v>3</v>
      </c>
      <c r="H241" s="4">
        <v>9</v>
      </c>
      <c r="I241" s="4">
        <v>0</v>
      </c>
      <c r="J241" s="5">
        <v>1.4572644E-4</v>
      </c>
      <c r="K241" s="5">
        <v>1.7070789E-4</v>
      </c>
      <c r="L241" s="4">
        <v>0</v>
      </c>
      <c r="M241" s="4">
        <v>0.11943793</v>
      </c>
      <c r="N241" s="4">
        <v>0.19674051000000001</v>
      </c>
      <c r="O241" s="4">
        <v>0</v>
      </c>
      <c r="P241" s="4">
        <v>5</v>
      </c>
      <c r="Q241" s="4">
        <v>10</v>
      </c>
      <c r="R241" s="4">
        <v>0</v>
      </c>
      <c r="S241" s="6">
        <v>4.9000000000000002E-2</v>
      </c>
      <c r="T241" s="6">
        <v>7.8E-2</v>
      </c>
    </row>
    <row r="242" spans="1:20" ht="18" x14ac:dyDescent="0.2">
      <c r="A242" s="4" t="s">
        <v>1421</v>
      </c>
      <c r="B242" s="4" t="s">
        <v>2136</v>
      </c>
      <c r="C242" s="4" t="s">
        <v>248</v>
      </c>
      <c r="D242" s="4">
        <v>2</v>
      </c>
      <c r="E242" s="4" t="s">
        <v>116</v>
      </c>
      <c r="F242" s="4">
        <v>0</v>
      </c>
      <c r="G242" s="4">
        <v>41</v>
      </c>
      <c r="H242" s="4">
        <v>32</v>
      </c>
      <c r="I242" s="4">
        <v>0</v>
      </c>
      <c r="J242" s="4">
        <v>3.2508671000000002E-3</v>
      </c>
      <c r="K242" s="4">
        <v>1.3738274999999999E-3</v>
      </c>
      <c r="L242" s="4">
        <v>0</v>
      </c>
      <c r="M242" s="4">
        <v>1.1037783999999999</v>
      </c>
      <c r="N242" s="4">
        <v>0.85353159999999995</v>
      </c>
      <c r="O242" s="4">
        <v>0</v>
      </c>
      <c r="P242" s="4">
        <v>79</v>
      </c>
      <c r="Q242" s="4">
        <v>57</v>
      </c>
      <c r="R242" s="4">
        <v>0</v>
      </c>
      <c r="S242" s="6">
        <v>0.32300000000000001</v>
      </c>
      <c r="T242" s="6">
        <v>0.26800000000000002</v>
      </c>
    </row>
    <row r="243" spans="1:20" ht="18" x14ac:dyDescent="0.2">
      <c r="A243" s="4" t="s">
        <v>1422</v>
      </c>
      <c r="B243" s="4" t="s">
        <v>2137</v>
      </c>
      <c r="C243" s="4" t="s">
        <v>248</v>
      </c>
      <c r="D243" s="4">
        <v>2</v>
      </c>
      <c r="E243" s="4" t="s">
        <v>116</v>
      </c>
      <c r="F243" s="4">
        <v>0</v>
      </c>
      <c r="G243" s="4">
        <v>23</v>
      </c>
      <c r="H243" s="4">
        <v>12</v>
      </c>
      <c r="I243" s="4">
        <v>0</v>
      </c>
      <c r="J243" s="5">
        <v>9.6163875000000005E-4</v>
      </c>
      <c r="K243" s="5">
        <v>3.5202797000000001E-4</v>
      </c>
      <c r="L243" s="4">
        <v>0</v>
      </c>
      <c r="M243" s="4">
        <v>0.41253757000000002</v>
      </c>
      <c r="N243" s="4">
        <v>0.26473629999999998</v>
      </c>
      <c r="O243" s="4">
        <v>0</v>
      </c>
      <c r="P243" s="4">
        <v>40</v>
      </c>
      <c r="Q243" s="4">
        <v>25</v>
      </c>
      <c r="R243" s="4">
        <v>0</v>
      </c>
      <c r="S243" s="6">
        <v>0.15</v>
      </c>
      <c r="T243" s="6">
        <v>0.10199999999999999</v>
      </c>
    </row>
    <row r="244" spans="1:20" ht="18" x14ac:dyDescent="0.2">
      <c r="A244" s="4" t="s">
        <v>1423</v>
      </c>
      <c r="B244" s="4" t="s">
        <v>2138</v>
      </c>
      <c r="C244" s="4" t="s">
        <v>248</v>
      </c>
      <c r="D244" s="4">
        <v>2</v>
      </c>
      <c r="E244" s="4" t="s">
        <v>116</v>
      </c>
      <c r="F244" s="4">
        <v>0</v>
      </c>
      <c r="G244" s="4">
        <v>34</v>
      </c>
      <c r="H244" s="4">
        <v>31</v>
      </c>
      <c r="I244" s="4">
        <v>0</v>
      </c>
      <c r="J244" s="4">
        <v>5.1191472000000002E-3</v>
      </c>
      <c r="K244" s="4">
        <v>2.4025268000000002E-3</v>
      </c>
      <c r="L244" s="4">
        <v>0</v>
      </c>
      <c r="M244" s="4">
        <v>0.91866875000000003</v>
      </c>
      <c r="N244" s="4">
        <v>0.55596566000000003</v>
      </c>
      <c r="O244" s="4">
        <v>0</v>
      </c>
      <c r="P244" s="4">
        <v>156</v>
      </c>
      <c r="Q244" s="4">
        <v>125</v>
      </c>
      <c r="R244" s="4">
        <v>0</v>
      </c>
      <c r="S244" s="6">
        <v>0.28299999999999997</v>
      </c>
      <c r="T244" s="6">
        <v>0.192</v>
      </c>
    </row>
    <row r="245" spans="1:20" ht="18" x14ac:dyDescent="0.2">
      <c r="A245" s="4" t="s">
        <v>1424</v>
      </c>
      <c r="B245" s="4" t="s">
        <v>2139</v>
      </c>
      <c r="C245" s="4" t="s">
        <v>248</v>
      </c>
      <c r="D245" s="4">
        <v>2</v>
      </c>
      <c r="E245" s="4" t="s">
        <v>116</v>
      </c>
      <c r="F245" s="4">
        <v>0</v>
      </c>
      <c r="G245" s="4">
        <v>140</v>
      </c>
      <c r="H245" s="4">
        <v>24</v>
      </c>
      <c r="I245" s="4">
        <v>0</v>
      </c>
      <c r="J245" s="4">
        <v>2.2672804000000001E-3</v>
      </c>
      <c r="K245" s="5">
        <v>1.6925191000000001E-4</v>
      </c>
      <c r="L245" s="4">
        <v>0</v>
      </c>
      <c r="M245" s="4">
        <v>0.89234363999999999</v>
      </c>
      <c r="N245" s="4">
        <v>0.101539254</v>
      </c>
      <c r="O245" s="4">
        <v>0</v>
      </c>
      <c r="P245" s="4">
        <v>306</v>
      </c>
      <c r="Q245" s="4">
        <v>39</v>
      </c>
      <c r="R245" s="4">
        <v>0</v>
      </c>
      <c r="S245" s="6">
        <v>0.27700000000000002</v>
      </c>
      <c r="T245" s="6">
        <v>4.2000000000000003E-2</v>
      </c>
    </row>
    <row r="246" spans="1:20" ht="18" x14ac:dyDescent="0.2">
      <c r="A246" s="4" t="s">
        <v>1425</v>
      </c>
      <c r="B246" s="4" t="s">
        <v>2140</v>
      </c>
      <c r="C246" s="4" t="s">
        <v>248</v>
      </c>
      <c r="D246" s="4">
        <v>2</v>
      </c>
      <c r="E246" s="4" t="s">
        <v>116</v>
      </c>
      <c r="F246" s="4">
        <v>0</v>
      </c>
      <c r="G246" s="4">
        <v>24</v>
      </c>
      <c r="H246" s="4">
        <v>3</v>
      </c>
      <c r="I246" s="4">
        <v>0</v>
      </c>
      <c r="J246" s="4">
        <v>2.2542346000000001E-3</v>
      </c>
      <c r="K246" s="5">
        <v>1.2003051E-4</v>
      </c>
      <c r="L246" s="4">
        <v>0</v>
      </c>
      <c r="M246" s="4">
        <v>1.004472</v>
      </c>
      <c r="N246" s="4">
        <v>8.1434010000000001E-2</v>
      </c>
      <c r="O246" s="4">
        <v>0</v>
      </c>
      <c r="P246" s="4">
        <v>44</v>
      </c>
      <c r="Q246" s="4">
        <v>4</v>
      </c>
      <c r="R246" s="4">
        <v>0</v>
      </c>
      <c r="S246" s="6">
        <v>0.30199999999999999</v>
      </c>
      <c r="T246" s="6">
        <v>3.4000000000000002E-2</v>
      </c>
    </row>
    <row r="247" spans="1:20" ht="18" x14ac:dyDescent="0.2">
      <c r="A247" s="4" t="s">
        <v>1426</v>
      </c>
      <c r="B247" s="4" t="s">
        <v>2141</v>
      </c>
      <c r="C247" s="4" t="s">
        <v>248</v>
      </c>
      <c r="D247" s="4">
        <v>2</v>
      </c>
      <c r="E247" s="4" t="s">
        <v>116</v>
      </c>
      <c r="F247" s="4">
        <v>0</v>
      </c>
      <c r="G247" s="4">
        <v>2</v>
      </c>
      <c r="H247" s="4">
        <v>6</v>
      </c>
      <c r="I247" s="4">
        <v>0</v>
      </c>
      <c r="J247" s="5">
        <v>4.8601744000000002E-4</v>
      </c>
      <c r="K247" s="5">
        <v>6.6422289999999999E-4</v>
      </c>
      <c r="L247" s="4">
        <v>0</v>
      </c>
      <c r="M247" s="4">
        <v>0.33659554000000003</v>
      </c>
      <c r="N247" s="4">
        <v>0.94088579999999999</v>
      </c>
      <c r="O247" s="4">
        <v>0</v>
      </c>
      <c r="P247" s="4">
        <v>3</v>
      </c>
      <c r="Q247" s="4">
        <v>7</v>
      </c>
      <c r="R247" s="4">
        <v>0</v>
      </c>
      <c r="S247" s="6">
        <v>0.126</v>
      </c>
      <c r="T247" s="6">
        <v>0.28799999999999998</v>
      </c>
    </row>
    <row r="248" spans="1:20" ht="18" x14ac:dyDescent="0.2">
      <c r="A248" s="4" t="s">
        <v>1427</v>
      </c>
      <c r="B248" s="4" t="s">
        <v>2142</v>
      </c>
      <c r="C248" s="4" t="s">
        <v>248</v>
      </c>
      <c r="D248" s="4">
        <v>2</v>
      </c>
      <c r="E248" s="4" t="s">
        <v>116</v>
      </c>
      <c r="F248" s="4">
        <v>0</v>
      </c>
      <c r="G248" s="4">
        <v>10</v>
      </c>
      <c r="H248" s="4">
        <v>5</v>
      </c>
      <c r="I248" s="4">
        <v>0</v>
      </c>
      <c r="J248" s="5">
        <v>6.5561720000000001E-4</v>
      </c>
      <c r="K248" s="5">
        <v>1.9200192999999999E-4</v>
      </c>
      <c r="L248" s="4">
        <v>0</v>
      </c>
      <c r="M248" s="4">
        <v>0.27057409999999998</v>
      </c>
      <c r="N248" s="4">
        <v>0.1614486</v>
      </c>
      <c r="O248" s="4">
        <v>0</v>
      </c>
      <c r="P248" s="4">
        <v>14</v>
      </c>
      <c r="Q248" s="4">
        <v>7</v>
      </c>
      <c r="R248" s="4">
        <v>0</v>
      </c>
      <c r="S248" s="6">
        <v>0.104</v>
      </c>
      <c r="T248" s="6">
        <v>6.5000000000000002E-2</v>
      </c>
    </row>
    <row r="249" spans="1:20" ht="18" x14ac:dyDescent="0.2">
      <c r="A249" s="4" t="s">
        <v>1428</v>
      </c>
      <c r="B249" s="4" t="s">
        <v>2143</v>
      </c>
      <c r="C249" s="4" t="s">
        <v>248</v>
      </c>
      <c r="D249" s="4">
        <v>2</v>
      </c>
      <c r="E249" s="4" t="s">
        <v>116</v>
      </c>
      <c r="F249" s="4">
        <v>0</v>
      </c>
      <c r="G249" s="4">
        <v>3</v>
      </c>
      <c r="H249" s="4">
        <v>2</v>
      </c>
      <c r="I249" s="4">
        <v>0</v>
      </c>
      <c r="J249" s="4">
        <v>3.2695718E-3</v>
      </c>
      <c r="K249" s="5">
        <v>6.3834410000000003E-4</v>
      </c>
      <c r="L249" s="4">
        <v>0</v>
      </c>
      <c r="M249" s="4">
        <v>2.7670379000000001</v>
      </c>
      <c r="N249" s="4">
        <v>2.7670379000000001</v>
      </c>
      <c r="O249" s="4">
        <v>0</v>
      </c>
      <c r="P249" s="4">
        <v>6</v>
      </c>
      <c r="Q249" s="4">
        <v>2</v>
      </c>
      <c r="R249" s="4">
        <v>0</v>
      </c>
      <c r="S249" s="6">
        <v>0.57599999999999996</v>
      </c>
      <c r="T249" s="6">
        <v>0.57599999999999996</v>
      </c>
    </row>
    <row r="250" spans="1:20" ht="18" x14ac:dyDescent="0.2">
      <c r="A250" s="4" t="s">
        <v>1429</v>
      </c>
      <c r="B250" s="4" t="s">
        <v>2144</v>
      </c>
      <c r="C250" s="4" t="s">
        <v>48</v>
      </c>
      <c r="D250" s="4">
        <v>2</v>
      </c>
      <c r="E250" s="4" t="s">
        <v>116</v>
      </c>
      <c r="F250" s="4">
        <v>0</v>
      </c>
      <c r="G250" s="4">
        <v>7</v>
      </c>
      <c r="H250" s="4">
        <v>3</v>
      </c>
      <c r="I250" s="4">
        <v>0</v>
      </c>
      <c r="J250" s="4">
        <v>1.1709629000000001E-3</v>
      </c>
      <c r="K250" s="5">
        <v>2.4494600000000001E-4</v>
      </c>
      <c r="L250" s="4">
        <v>0</v>
      </c>
      <c r="M250" s="4">
        <v>0.61807999999999996</v>
      </c>
      <c r="N250" s="4">
        <v>0.18576872</v>
      </c>
      <c r="O250" s="4">
        <v>0</v>
      </c>
      <c r="P250" s="4">
        <v>14</v>
      </c>
      <c r="Q250" s="4">
        <v>5</v>
      </c>
      <c r="R250" s="4">
        <v>0</v>
      </c>
      <c r="S250" s="6">
        <v>0.20899999999999999</v>
      </c>
      <c r="T250" s="6">
        <v>7.3999999999999996E-2</v>
      </c>
    </row>
    <row r="251" spans="1:20" ht="18" x14ac:dyDescent="0.2">
      <c r="A251" s="4" t="s">
        <v>1430</v>
      </c>
      <c r="B251" s="4" t="s">
        <v>2145</v>
      </c>
      <c r="C251" s="4" t="s">
        <v>48</v>
      </c>
      <c r="D251" s="4">
        <v>2</v>
      </c>
      <c r="E251" s="4" t="s">
        <v>116</v>
      </c>
      <c r="F251" s="4">
        <v>0</v>
      </c>
      <c r="G251" s="4">
        <v>13</v>
      </c>
      <c r="H251" s="4">
        <v>6</v>
      </c>
      <c r="I251" s="4">
        <v>0</v>
      </c>
      <c r="J251" s="5">
        <v>6.5182295000000003E-4</v>
      </c>
      <c r="K251" s="5">
        <v>2.6949283000000002E-4</v>
      </c>
      <c r="L251" s="4">
        <v>0</v>
      </c>
      <c r="M251" s="4">
        <v>0.38995266000000001</v>
      </c>
      <c r="N251" s="4">
        <v>0.11429453000000001</v>
      </c>
      <c r="O251" s="4">
        <v>0</v>
      </c>
      <c r="P251" s="4">
        <v>17</v>
      </c>
      <c r="Q251" s="4">
        <v>12</v>
      </c>
      <c r="R251" s="4">
        <v>0</v>
      </c>
      <c r="S251" s="6">
        <v>0.14299999999999999</v>
      </c>
      <c r="T251" s="6">
        <v>4.7E-2</v>
      </c>
    </row>
    <row r="252" spans="1:20" ht="18" x14ac:dyDescent="0.2">
      <c r="A252" s="4" t="s">
        <v>1431</v>
      </c>
      <c r="B252" s="4" t="s">
        <v>2146</v>
      </c>
      <c r="C252" s="4" t="s">
        <v>48</v>
      </c>
      <c r="D252" s="4">
        <v>2</v>
      </c>
      <c r="E252" s="4" t="s">
        <v>116</v>
      </c>
      <c r="F252" s="4">
        <v>0</v>
      </c>
      <c r="G252" s="4">
        <v>5</v>
      </c>
      <c r="H252" s="4">
        <v>4</v>
      </c>
      <c r="I252" s="4">
        <v>0</v>
      </c>
      <c r="J252" s="5">
        <v>1.3832803E-4</v>
      </c>
      <c r="K252" s="5">
        <v>5.4013732999999998E-5</v>
      </c>
      <c r="L252" s="4">
        <v>0</v>
      </c>
      <c r="M252" s="4">
        <v>0.16949939999999999</v>
      </c>
      <c r="N252" s="4">
        <v>0.11429453000000001</v>
      </c>
      <c r="O252" s="4">
        <v>0</v>
      </c>
      <c r="P252" s="4">
        <v>6</v>
      </c>
      <c r="Q252" s="4">
        <v>4</v>
      </c>
      <c r="R252" s="4">
        <v>0</v>
      </c>
      <c r="S252" s="6">
        <v>6.8000000000000005E-2</v>
      </c>
      <c r="T252" s="6">
        <v>4.7E-2</v>
      </c>
    </row>
    <row r="253" spans="1:20" ht="18" x14ac:dyDescent="0.2">
      <c r="A253" s="4" t="s">
        <v>1432</v>
      </c>
      <c r="B253" s="4" t="s">
        <v>2147</v>
      </c>
      <c r="C253" s="4" t="s">
        <v>48</v>
      </c>
      <c r="D253" s="4">
        <v>2</v>
      </c>
      <c r="E253" s="4" t="s">
        <v>116</v>
      </c>
      <c r="F253" s="4">
        <v>0</v>
      </c>
      <c r="G253" s="4">
        <v>3</v>
      </c>
      <c r="H253" s="4">
        <v>3</v>
      </c>
      <c r="I253" s="4">
        <v>0</v>
      </c>
      <c r="J253" s="5">
        <v>4.0638746999999999E-4</v>
      </c>
      <c r="K253" s="5">
        <v>2.9753325999999999E-4</v>
      </c>
      <c r="L253" s="4">
        <v>0</v>
      </c>
      <c r="M253" s="4">
        <v>0.13762724000000001</v>
      </c>
      <c r="N253" s="4">
        <v>0.13762724000000001</v>
      </c>
      <c r="O253" s="4">
        <v>0</v>
      </c>
      <c r="P253" s="4">
        <v>4</v>
      </c>
      <c r="Q253" s="4">
        <v>5</v>
      </c>
      <c r="R253" s="4">
        <v>0</v>
      </c>
      <c r="S253" s="6">
        <v>5.6000000000000001E-2</v>
      </c>
      <c r="T253" s="6">
        <v>5.6000000000000001E-2</v>
      </c>
    </row>
    <row r="254" spans="1:20" ht="18" x14ac:dyDescent="0.2">
      <c r="A254" s="4" t="s">
        <v>1433</v>
      </c>
      <c r="B254" s="4" t="s">
        <v>2148</v>
      </c>
      <c r="C254" s="4" t="s">
        <v>48</v>
      </c>
      <c r="D254" s="4">
        <v>2</v>
      </c>
      <c r="E254" s="4" t="s">
        <v>116</v>
      </c>
      <c r="F254" s="4">
        <v>0</v>
      </c>
      <c r="G254" s="4">
        <v>3</v>
      </c>
      <c r="H254" s="4">
        <v>3</v>
      </c>
      <c r="I254" s="4">
        <v>0</v>
      </c>
      <c r="J254" s="4">
        <v>1.8349638000000001E-3</v>
      </c>
      <c r="K254" s="5">
        <v>7.5233413000000003E-4</v>
      </c>
      <c r="L254" s="4">
        <v>0</v>
      </c>
      <c r="M254" s="4">
        <v>0.38995266000000001</v>
      </c>
      <c r="N254" s="4">
        <v>0.38995266000000001</v>
      </c>
      <c r="O254" s="4">
        <v>0</v>
      </c>
      <c r="P254" s="4">
        <v>10</v>
      </c>
      <c r="Q254" s="4">
        <v>7</v>
      </c>
      <c r="R254" s="4">
        <v>0</v>
      </c>
      <c r="S254" s="6">
        <v>0.14299999999999999</v>
      </c>
      <c r="T254" s="6">
        <v>0.14299999999999999</v>
      </c>
    </row>
    <row r="255" spans="1:20" ht="18" x14ac:dyDescent="0.2">
      <c r="A255" s="4" t="s">
        <v>1434</v>
      </c>
      <c r="B255" s="4" t="s">
        <v>2149</v>
      </c>
      <c r="C255" s="4" t="s">
        <v>48</v>
      </c>
      <c r="D255" s="4">
        <v>2</v>
      </c>
      <c r="E255" s="4" t="s">
        <v>116</v>
      </c>
      <c r="F255" s="4">
        <v>0</v>
      </c>
      <c r="G255" s="4">
        <v>6</v>
      </c>
      <c r="H255" s="4">
        <v>3</v>
      </c>
      <c r="I255" s="4">
        <v>0</v>
      </c>
      <c r="J255" s="5">
        <v>4.1339413E-4</v>
      </c>
      <c r="K255" s="5">
        <v>1.2106526E-4</v>
      </c>
      <c r="L255" s="4">
        <v>0</v>
      </c>
      <c r="M255" s="4">
        <v>0.19674051000000001</v>
      </c>
      <c r="N255" s="4">
        <v>8.8930129999999996E-2</v>
      </c>
      <c r="O255" s="4">
        <v>0</v>
      </c>
      <c r="P255" s="4">
        <v>8</v>
      </c>
      <c r="Q255" s="4">
        <v>4</v>
      </c>
      <c r="R255" s="4">
        <v>0</v>
      </c>
      <c r="S255" s="6">
        <v>7.8E-2</v>
      </c>
      <c r="T255" s="6">
        <v>3.6999999999999998E-2</v>
      </c>
    </row>
    <row r="256" spans="1:20" ht="18" x14ac:dyDescent="0.2">
      <c r="A256" s="4" t="s">
        <v>1435</v>
      </c>
      <c r="B256" s="4" t="s">
        <v>2150</v>
      </c>
      <c r="C256" s="4" t="s">
        <v>48</v>
      </c>
      <c r="D256" s="4">
        <v>2</v>
      </c>
      <c r="E256" s="4" t="s">
        <v>116</v>
      </c>
      <c r="F256" s="4">
        <v>0</v>
      </c>
      <c r="G256" s="4">
        <v>3</v>
      </c>
      <c r="H256" s="4">
        <v>3</v>
      </c>
      <c r="I256" s="4">
        <v>0</v>
      </c>
      <c r="J256" s="5">
        <v>1.1286179E-4</v>
      </c>
      <c r="K256" s="5">
        <v>9.9157005000000007E-5</v>
      </c>
      <c r="L256" s="4">
        <v>0</v>
      </c>
      <c r="M256" s="4">
        <v>2.0939470000000002E-2</v>
      </c>
      <c r="N256" s="4">
        <v>2.0939470000000002E-2</v>
      </c>
      <c r="O256" s="4">
        <v>0</v>
      </c>
      <c r="P256" s="4">
        <v>6</v>
      </c>
      <c r="Q256" s="4">
        <v>9</v>
      </c>
      <c r="R256" s="4">
        <v>0</v>
      </c>
      <c r="S256" s="6">
        <v>8.9999999999999993E-3</v>
      </c>
      <c r="T256" s="6">
        <v>8.9999999999999993E-3</v>
      </c>
    </row>
    <row r="257" spans="1:20" ht="18" x14ac:dyDescent="0.2">
      <c r="A257" s="4" t="s">
        <v>1436</v>
      </c>
      <c r="B257" s="4" t="s">
        <v>2151</v>
      </c>
      <c r="C257" s="4" t="s">
        <v>48</v>
      </c>
      <c r="D257" s="4">
        <v>2</v>
      </c>
      <c r="E257" s="4" t="s">
        <v>116</v>
      </c>
      <c r="F257" s="4">
        <v>0</v>
      </c>
      <c r="G257" s="4">
        <v>27</v>
      </c>
      <c r="H257" s="4">
        <v>22</v>
      </c>
      <c r="I257" s="4">
        <v>0</v>
      </c>
      <c r="J257" s="4">
        <v>2.1828644000000002E-3</v>
      </c>
      <c r="K257" s="4">
        <v>1.4307394E-3</v>
      </c>
      <c r="L257" s="4">
        <v>0</v>
      </c>
      <c r="M257" s="4">
        <v>1.3442286999999999</v>
      </c>
      <c r="N257" s="4">
        <v>0.85780440000000002</v>
      </c>
      <c r="O257" s="4">
        <v>0</v>
      </c>
      <c r="P257" s="4">
        <v>42</v>
      </c>
      <c r="Q257" s="4">
        <v>47</v>
      </c>
      <c r="R257" s="4">
        <v>0</v>
      </c>
      <c r="S257" s="6">
        <v>0.37</v>
      </c>
      <c r="T257" s="6">
        <v>0.26900000000000002</v>
      </c>
    </row>
    <row r="258" spans="1:20" ht="18" x14ac:dyDescent="0.2">
      <c r="A258" s="4" t="s">
        <v>1437</v>
      </c>
      <c r="B258" s="4" t="s">
        <v>2152</v>
      </c>
      <c r="C258" s="4" t="s">
        <v>48</v>
      </c>
      <c r="D258" s="4">
        <v>2</v>
      </c>
      <c r="E258" s="4" t="s">
        <v>116</v>
      </c>
      <c r="F258" s="4">
        <v>0</v>
      </c>
      <c r="G258" s="4">
        <v>15</v>
      </c>
      <c r="H258" s="4">
        <v>14</v>
      </c>
      <c r="I258" s="4">
        <v>0</v>
      </c>
      <c r="J258" s="5">
        <v>1.9208319000000001E-4</v>
      </c>
      <c r="K258" s="5">
        <v>7.5003810000000002E-5</v>
      </c>
      <c r="L258" s="4">
        <v>0</v>
      </c>
      <c r="M258" s="4">
        <v>0.10662377000000001</v>
      </c>
      <c r="N258" s="4">
        <v>0.15611220000000001</v>
      </c>
      <c r="O258" s="4">
        <v>0</v>
      </c>
      <c r="P258" s="4">
        <v>21</v>
      </c>
      <c r="Q258" s="4">
        <v>14</v>
      </c>
      <c r="R258" s="4">
        <v>0</v>
      </c>
      <c r="S258" s="6">
        <v>4.3999999999999997E-2</v>
      </c>
      <c r="T258" s="6">
        <v>6.3E-2</v>
      </c>
    </row>
    <row r="259" spans="1:20" ht="18" x14ac:dyDescent="0.2">
      <c r="A259" s="4" t="s">
        <v>1438</v>
      </c>
      <c r="B259" s="4" t="s">
        <v>2153</v>
      </c>
      <c r="C259" s="4" t="s">
        <v>48</v>
      </c>
      <c r="D259" s="4">
        <v>2</v>
      </c>
      <c r="E259" s="4" t="s">
        <v>116</v>
      </c>
      <c r="F259" s="4">
        <v>0</v>
      </c>
      <c r="G259" s="4">
        <v>2</v>
      </c>
      <c r="H259" s="4">
        <v>3</v>
      </c>
      <c r="I259" s="4">
        <v>0</v>
      </c>
      <c r="J259" s="5">
        <v>1.2663835E-4</v>
      </c>
      <c r="K259" s="5">
        <v>1.1126068E-4</v>
      </c>
      <c r="L259" s="4">
        <v>0</v>
      </c>
      <c r="M259" s="4">
        <v>0.13762724000000001</v>
      </c>
      <c r="N259" s="4">
        <v>0.13762724000000001</v>
      </c>
      <c r="O259" s="4">
        <v>0</v>
      </c>
      <c r="P259" s="4">
        <v>2</v>
      </c>
      <c r="Q259" s="4">
        <v>3</v>
      </c>
      <c r="R259" s="4">
        <v>0</v>
      </c>
      <c r="S259" s="6">
        <v>5.6000000000000001E-2</v>
      </c>
      <c r="T259" s="6">
        <v>5.6000000000000001E-2</v>
      </c>
    </row>
    <row r="260" spans="1:20" ht="18" x14ac:dyDescent="0.2">
      <c r="A260" s="4" t="s">
        <v>1439</v>
      </c>
      <c r="B260" s="4" t="s">
        <v>2154</v>
      </c>
      <c r="C260" s="4" t="s">
        <v>48</v>
      </c>
      <c r="D260" s="4">
        <v>2</v>
      </c>
      <c r="E260" s="4" t="s">
        <v>116</v>
      </c>
      <c r="F260" s="4">
        <v>0</v>
      </c>
      <c r="G260" s="4">
        <v>4</v>
      </c>
      <c r="H260" s="4">
        <v>10</v>
      </c>
      <c r="I260" s="4">
        <v>0</v>
      </c>
      <c r="J260" s="5">
        <v>3.7838286999999998E-5</v>
      </c>
      <c r="K260" s="5">
        <v>6.0946582000000001E-5</v>
      </c>
      <c r="L260" s="4">
        <v>0</v>
      </c>
      <c r="M260" s="4">
        <v>3.5142183E-2</v>
      </c>
      <c r="N260" s="4">
        <v>8.3926916000000004E-2</v>
      </c>
      <c r="O260" s="4">
        <v>0</v>
      </c>
      <c r="P260" s="4">
        <v>4</v>
      </c>
      <c r="Q260" s="4">
        <v>11</v>
      </c>
      <c r="R260" s="4">
        <v>0</v>
      </c>
      <c r="S260" s="6">
        <v>1.4999999999999999E-2</v>
      </c>
      <c r="T260" s="6">
        <v>3.5000000000000003E-2</v>
      </c>
    </row>
    <row r="261" spans="1:20" ht="18" x14ac:dyDescent="0.2">
      <c r="A261" s="4" t="s">
        <v>1440</v>
      </c>
      <c r="B261" s="4" t="s">
        <v>2155</v>
      </c>
      <c r="C261" s="4" t="s">
        <v>48</v>
      </c>
      <c r="D261" s="4">
        <v>2</v>
      </c>
      <c r="E261" s="4" t="s">
        <v>116</v>
      </c>
      <c r="F261" s="4">
        <v>0</v>
      </c>
      <c r="G261" s="4">
        <v>2</v>
      </c>
      <c r="H261" s="4">
        <v>2</v>
      </c>
      <c r="I261" s="4">
        <v>0</v>
      </c>
      <c r="J261" s="5">
        <v>1.8201057E-5</v>
      </c>
      <c r="K261" s="5">
        <v>1.0660605E-5</v>
      </c>
      <c r="L261" s="4">
        <v>0</v>
      </c>
      <c r="M261" s="4">
        <v>2.0939470000000002E-2</v>
      </c>
      <c r="N261" s="4">
        <v>2.0939470000000002E-2</v>
      </c>
      <c r="O261" s="4">
        <v>0</v>
      </c>
      <c r="P261" s="4">
        <v>2</v>
      </c>
      <c r="Q261" s="4">
        <v>2</v>
      </c>
      <c r="R261" s="4">
        <v>0</v>
      </c>
      <c r="S261" s="6">
        <v>8.9999999999999993E-3</v>
      </c>
      <c r="T261" s="6">
        <v>8.9999999999999993E-3</v>
      </c>
    </row>
    <row r="262" spans="1:20" ht="18" x14ac:dyDescent="0.2">
      <c r="A262" s="4" t="s">
        <v>1441</v>
      </c>
      <c r="B262" s="4" t="s">
        <v>2156</v>
      </c>
      <c r="C262" s="4" t="s">
        <v>48</v>
      </c>
      <c r="D262" s="4">
        <v>2</v>
      </c>
      <c r="E262" s="4" t="s">
        <v>116</v>
      </c>
      <c r="F262" s="4">
        <v>0</v>
      </c>
      <c r="G262" s="4">
        <v>3</v>
      </c>
      <c r="H262" s="4">
        <v>3</v>
      </c>
      <c r="I262" s="4">
        <v>0</v>
      </c>
      <c r="J262" s="5">
        <v>5.1135480000000005E-4</v>
      </c>
      <c r="K262" s="5">
        <v>1.9967162E-4</v>
      </c>
      <c r="L262" s="4">
        <v>0</v>
      </c>
      <c r="M262" s="4">
        <v>0.15345323</v>
      </c>
      <c r="N262" s="4">
        <v>0.15345323</v>
      </c>
      <c r="O262" s="4">
        <v>0</v>
      </c>
      <c r="P262" s="4">
        <v>6</v>
      </c>
      <c r="Q262" s="4">
        <v>4</v>
      </c>
      <c r="R262" s="4">
        <v>0</v>
      </c>
      <c r="S262" s="6">
        <v>6.2E-2</v>
      </c>
      <c r="T262" s="6">
        <v>6.2E-2</v>
      </c>
    </row>
    <row r="263" spans="1:20" ht="18" x14ac:dyDescent="0.2">
      <c r="A263" s="4" t="s">
        <v>1442</v>
      </c>
      <c r="B263" s="4" t="s">
        <v>2157</v>
      </c>
      <c r="C263" s="4" t="s">
        <v>48</v>
      </c>
      <c r="D263" s="4">
        <v>2</v>
      </c>
      <c r="E263" s="4" t="s">
        <v>116</v>
      </c>
      <c r="F263" s="4">
        <v>0</v>
      </c>
      <c r="G263" s="4">
        <v>3</v>
      </c>
      <c r="H263" s="4">
        <v>3</v>
      </c>
      <c r="I263" s="4">
        <v>0</v>
      </c>
      <c r="J263" s="5">
        <v>1.9689027E-4</v>
      </c>
      <c r="K263" s="5">
        <v>1.7298193E-4</v>
      </c>
      <c r="L263" s="4">
        <v>0</v>
      </c>
      <c r="M263" s="4">
        <v>3.7528395999999999E-2</v>
      </c>
      <c r="N263" s="4">
        <v>3.7528395999999999E-2</v>
      </c>
      <c r="O263" s="4">
        <v>0</v>
      </c>
      <c r="P263" s="4">
        <v>6</v>
      </c>
      <c r="Q263" s="4">
        <v>9</v>
      </c>
      <c r="R263" s="4">
        <v>0</v>
      </c>
      <c r="S263" s="6">
        <v>1.6E-2</v>
      </c>
      <c r="T263" s="6">
        <v>1.6E-2</v>
      </c>
    </row>
    <row r="264" spans="1:20" ht="18" x14ac:dyDescent="0.2">
      <c r="A264" s="4" t="s">
        <v>1443</v>
      </c>
      <c r="B264" s="4" t="s">
        <v>2158</v>
      </c>
      <c r="C264" s="4" t="s">
        <v>48</v>
      </c>
      <c r="D264" s="4">
        <v>2</v>
      </c>
      <c r="E264" s="4" t="s">
        <v>116</v>
      </c>
      <c r="F264" s="4">
        <v>0</v>
      </c>
      <c r="G264" s="4">
        <v>16</v>
      </c>
      <c r="H264" s="4">
        <v>9</v>
      </c>
      <c r="I264" s="4">
        <v>0</v>
      </c>
      <c r="J264" s="4">
        <v>3.2154398999999999E-3</v>
      </c>
      <c r="K264" s="4">
        <v>1.3950566E-3</v>
      </c>
      <c r="L264" s="4">
        <v>0</v>
      </c>
      <c r="M264" s="4">
        <v>1.5351286</v>
      </c>
      <c r="N264" s="4">
        <v>0.55596566000000003</v>
      </c>
      <c r="O264" s="4">
        <v>0</v>
      </c>
      <c r="P264" s="4">
        <v>27</v>
      </c>
      <c r="Q264" s="4">
        <v>20</v>
      </c>
      <c r="R264" s="4">
        <v>0</v>
      </c>
      <c r="S264" s="6">
        <v>0.40400000000000003</v>
      </c>
      <c r="T264" s="6">
        <v>0.192</v>
      </c>
    </row>
    <row r="265" spans="1:20" ht="18" x14ac:dyDescent="0.2">
      <c r="A265" s="4" t="s">
        <v>1444</v>
      </c>
      <c r="B265" s="4" t="s">
        <v>2159</v>
      </c>
      <c r="C265" s="4" t="s">
        <v>48</v>
      </c>
      <c r="D265" s="4">
        <v>2</v>
      </c>
      <c r="E265" s="4" t="s">
        <v>116</v>
      </c>
      <c r="F265" s="4">
        <v>0</v>
      </c>
      <c r="G265" s="4">
        <v>4</v>
      </c>
      <c r="H265" s="4">
        <v>2</v>
      </c>
      <c r="I265" s="4">
        <v>0</v>
      </c>
      <c r="J265" s="5">
        <v>7.6290009999999998E-4</v>
      </c>
      <c r="K265" s="5">
        <v>1.2766880999999999E-4</v>
      </c>
      <c r="L265" s="4">
        <v>0</v>
      </c>
      <c r="M265" s="4">
        <v>0.35831343999999998</v>
      </c>
      <c r="N265" s="4">
        <v>0.16680967999999999</v>
      </c>
      <c r="O265" s="4">
        <v>0</v>
      </c>
      <c r="P265" s="4">
        <v>7</v>
      </c>
      <c r="Q265" s="4">
        <v>2</v>
      </c>
      <c r="R265" s="4">
        <v>0</v>
      </c>
      <c r="S265" s="6">
        <v>0.13300000000000001</v>
      </c>
      <c r="T265" s="6">
        <v>6.7000000000000004E-2</v>
      </c>
    </row>
    <row r="266" spans="1:20" ht="18" x14ac:dyDescent="0.2">
      <c r="A266" s="4" t="s">
        <v>1445</v>
      </c>
      <c r="B266" s="4" t="s">
        <v>2160</v>
      </c>
      <c r="C266" s="4" t="s">
        <v>48</v>
      </c>
      <c r="D266" s="4">
        <v>2</v>
      </c>
      <c r="E266" s="4" t="s">
        <v>116</v>
      </c>
      <c r="F266" s="4">
        <v>0</v>
      </c>
      <c r="G266" s="4">
        <v>7</v>
      </c>
      <c r="H266" s="4">
        <v>3</v>
      </c>
      <c r="I266" s="4">
        <v>0</v>
      </c>
      <c r="J266" s="5">
        <v>9.4263859999999997E-4</v>
      </c>
      <c r="K266" s="5">
        <v>1.2741141999999999E-4</v>
      </c>
      <c r="L266" s="4">
        <v>0</v>
      </c>
      <c r="M266" s="4">
        <v>0.46217715999999998</v>
      </c>
      <c r="N266" s="4">
        <v>9.6478224000000001E-2</v>
      </c>
      <c r="O266" s="4">
        <v>0</v>
      </c>
      <c r="P266" s="4">
        <v>13</v>
      </c>
      <c r="Q266" s="4">
        <v>3</v>
      </c>
      <c r="R266" s="4">
        <v>0</v>
      </c>
      <c r="S266" s="6">
        <v>0.16500000000000001</v>
      </c>
      <c r="T266" s="6">
        <v>0.04</v>
      </c>
    </row>
    <row r="267" spans="1:20" ht="18" x14ac:dyDescent="0.2">
      <c r="A267" s="4" t="s">
        <v>1446</v>
      </c>
      <c r="B267" s="4" t="s">
        <v>2161</v>
      </c>
      <c r="C267" s="4" t="s">
        <v>48</v>
      </c>
      <c r="D267" s="4">
        <v>2</v>
      </c>
      <c r="E267" s="4" t="s">
        <v>116</v>
      </c>
      <c r="F267" s="4">
        <v>0</v>
      </c>
      <c r="G267" s="4">
        <v>2</v>
      </c>
      <c r="H267" s="4">
        <v>5</v>
      </c>
      <c r="I267" s="4">
        <v>0</v>
      </c>
      <c r="J267" s="5">
        <v>1.8256493000000001E-5</v>
      </c>
      <c r="K267" s="5">
        <v>2.6732682999999999E-5</v>
      </c>
      <c r="L267" s="4">
        <v>0</v>
      </c>
      <c r="M267" s="4">
        <v>2.0939470000000002E-2</v>
      </c>
      <c r="N267" s="4">
        <v>6.1695576000000002E-2</v>
      </c>
      <c r="O267" s="4">
        <v>0</v>
      </c>
      <c r="P267" s="4">
        <v>2</v>
      </c>
      <c r="Q267" s="4">
        <v>5</v>
      </c>
      <c r="R267" s="4">
        <v>0</v>
      </c>
      <c r="S267" s="6">
        <v>8.9999999999999993E-3</v>
      </c>
      <c r="T267" s="6">
        <v>2.5999999999999999E-2</v>
      </c>
    </row>
    <row r="268" spans="1:20" ht="18" x14ac:dyDescent="0.2">
      <c r="A268" s="4" t="s">
        <v>1447</v>
      </c>
      <c r="B268" s="4" t="s">
        <v>2162</v>
      </c>
      <c r="C268" s="4" t="s">
        <v>48</v>
      </c>
      <c r="D268" s="4">
        <v>2</v>
      </c>
      <c r="E268" s="4" t="s">
        <v>116</v>
      </c>
      <c r="F268" s="4">
        <v>0</v>
      </c>
      <c r="G268" s="4">
        <v>3</v>
      </c>
      <c r="H268" s="4">
        <v>2</v>
      </c>
      <c r="I268" s="4">
        <v>0</v>
      </c>
      <c r="J268" s="5">
        <v>2.5812407999999999E-4</v>
      </c>
      <c r="K268" s="5">
        <v>1.0079117E-4</v>
      </c>
      <c r="L268" s="4">
        <v>0</v>
      </c>
      <c r="M268" s="4">
        <v>6.1695576000000002E-2</v>
      </c>
      <c r="N268" s="4">
        <v>6.1695576000000002E-2</v>
      </c>
      <c r="O268" s="4">
        <v>0</v>
      </c>
      <c r="P268" s="4">
        <v>6</v>
      </c>
      <c r="Q268" s="4">
        <v>4</v>
      </c>
      <c r="R268" s="4">
        <v>0</v>
      </c>
      <c r="S268" s="6">
        <v>2.5999999999999999E-2</v>
      </c>
      <c r="T268" s="6">
        <v>2.5999999999999999E-2</v>
      </c>
    </row>
    <row r="269" spans="1:20" ht="18" x14ac:dyDescent="0.2">
      <c r="A269" s="4" t="s">
        <v>1448</v>
      </c>
      <c r="B269" s="4" t="s">
        <v>2163</v>
      </c>
      <c r="C269" s="4" t="s">
        <v>48</v>
      </c>
      <c r="D269" s="4">
        <v>2</v>
      </c>
      <c r="E269" s="4" t="s">
        <v>116</v>
      </c>
      <c r="F269" s="4">
        <v>0</v>
      </c>
      <c r="G269" s="4">
        <v>2</v>
      </c>
      <c r="H269" s="4">
        <v>3</v>
      </c>
      <c r="I269" s="4">
        <v>0</v>
      </c>
      <c r="J269" s="5">
        <v>7.4308446000000001E-5</v>
      </c>
      <c r="K269" s="5">
        <v>6.5285189999999996E-5</v>
      </c>
      <c r="L269" s="4">
        <v>0</v>
      </c>
      <c r="M269" s="4">
        <v>8.3926916000000004E-2</v>
      </c>
      <c r="N269" s="4">
        <v>0.18032061999999999</v>
      </c>
      <c r="O269" s="4">
        <v>0</v>
      </c>
      <c r="P269" s="4">
        <v>2</v>
      </c>
      <c r="Q269" s="4">
        <v>3</v>
      </c>
      <c r="R269" s="4">
        <v>0</v>
      </c>
      <c r="S269" s="6">
        <v>3.5000000000000003E-2</v>
      </c>
      <c r="T269" s="6">
        <v>7.1999999999999995E-2</v>
      </c>
    </row>
    <row r="270" spans="1:20" ht="18" x14ac:dyDescent="0.2">
      <c r="A270" s="4" t="s">
        <v>1449</v>
      </c>
      <c r="B270" s="4" t="s">
        <v>2164</v>
      </c>
      <c r="C270" s="4" t="s">
        <v>48</v>
      </c>
      <c r="D270" s="4">
        <v>2</v>
      </c>
      <c r="E270" s="4" t="s">
        <v>116</v>
      </c>
      <c r="F270" s="4">
        <v>0</v>
      </c>
      <c r="G270" s="4">
        <v>2</v>
      </c>
      <c r="H270" s="4">
        <v>2</v>
      </c>
      <c r="I270" s="4">
        <v>0</v>
      </c>
      <c r="J270" s="5">
        <v>7.1787005999999999E-5</v>
      </c>
      <c r="K270" s="5">
        <v>4.2046616999999998E-5</v>
      </c>
      <c r="L270" s="4">
        <v>0</v>
      </c>
      <c r="M270" s="4">
        <v>8.1434010000000001E-2</v>
      </c>
      <c r="N270" s="4">
        <v>8.1434010000000001E-2</v>
      </c>
      <c r="O270" s="4">
        <v>0</v>
      </c>
      <c r="P270" s="4">
        <v>2</v>
      </c>
      <c r="Q270" s="4">
        <v>2</v>
      </c>
      <c r="R270" s="4">
        <v>0</v>
      </c>
      <c r="S270" s="6">
        <v>3.4000000000000002E-2</v>
      </c>
      <c r="T270" s="6">
        <v>3.4000000000000002E-2</v>
      </c>
    </row>
    <row r="271" spans="1:20" ht="18" x14ac:dyDescent="0.2">
      <c r="A271" s="4" t="s">
        <v>1450</v>
      </c>
      <c r="B271" s="4" t="s">
        <v>2165</v>
      </c>
      <c r="C271" s="4" t="s">
        <v>1924</v>
      </c>
      <c r="D271" s="4">
        <v>2</v>
      </c>
      <c r="E271" s="4" t="s">
        <v>116</v>
      </c>
      <c r="F271" s="4">
        <v>0</v>
      </c>
      <c r="G271" s="4">
        <v>3</v>
      </c>
      <c r="H271" s="4">
        <v>2</v>
      </c>
      <c r="I271" s="4">
        <v>0</v>
      </c>
      <c r="J271" s="5">
        <v>1.3320477000000001E-4</v>
      </c>
      <c r="K271" s="5">
        <v>5.2013223000000002E-5</v>
      </c>
      <c r="L271" s="4">
        <v>0</v>
      </c>
      <c r="M271" s="4">
        <v>0.20503592000000001</v>
      </c>
      <c r="N271" s="4">
        <v>0.20503592000000001</v>
      </c>
      <c r="O271" s="4">
        <v>0</v>
      </c>
      <c r="P271" s="4">
        <v>3</v>
      </c>
      <c r="Q271" s="4">
        <v>2</v>
      </c>
      <c r="R271" s="4">
        <v>0</v>
      </c>
      <c r="S271" s="6">
        <v>8.1000000000000003E-2</v>
      </c>
      <c r="T271" s="6">
        <v>8.1000000000000003E-2</v>
      </c>
    </row>
    <row r="272" spans="1:20" ht="18" x14ac:dyDescent="0.2">
      <c r="A272" s="4" t="s">
        <v>1451</v>
      </c>
      <c r="B272" s="4" t="s">
        <v>2166</v>
      </c>
      <c r="C272" s="4" t="s">
        <v>1924</v>
      </c>
      <c r="D272" s="4">
        <v>2</v>
      </c>
      <c r="E272" s="4" t="s">
        <v>116</v>
      </c>
      <c r="F272" s="4">
        <v>0</v>
      </c>
      <c r="G272" s="4">
        <v>3</v>
      </c>
      <c r="H272" s="4">
        <v>3</v>
      </c>
      <c r="I272" s="4">
        <v>0</v>
      </c>
      <c r="J272" s="5">
        <v>8.5631640000000001E-4</v>
      </c>
      <c r="K272" s="5">
        <v>4.0124487999999999E-4</v>
      </c>
      <c r="L272" s="4">
        <v>0</v>
      </c>
      <c r="M272" s="4">
        <v>0.33045447</v>
      </c>
      <c r="N272" s="4">
        <v>0.33045447</v>
      </c>
      <c r="O272" s="4">
        <v>0</v>
      </c>
      <c r="P272" s="4">
        <v>5</v>
      </c>
      <c r="Q272" s="4">
        <v>4</v>
      </c>
      <c r="R272" s="4">
        <v>0</v>
      </c>
      <c r="S272" s="6">
        <v>0.124</v>
      </c>
      <c r="T272" s="6">
        <v>0.124</v>
      </c>
    </row>
    <row r="273" spans="1:20" ht="18" x14ac:dyDescent="0.2">
      <c r="A273" s="4" t="s">
        <v>1452</v>
      </c>
      <c r="B273" s="4" t="s">
        <v>2167</v>
      </c>
      <c r="C273" s="4" t="s">
        <v>1924</v>
      </c>
      <c r="D273" s="4">
        <v>2</v>
      </c>
      <c r="E273" s="4" t="s">
        <v>116</v>
      </c>
      <c r="F273" s="4">
        <v>0</v>
      </c>
      <c r="G273" s="4">
        <v>5</v>
      </c>
      <c r="H273" s="4">
        <v>3</v>
      </c>
      <c r="I273" s="4">
        <v>0</v>
      </c>
      <c r="J273" s="5">
        <v>3.2559107000000001E-4</v>
      </c>
      <c r="K273" s="5">
        <v>1.3202520000000001E-4</v>
      </c>
      <c r="L273" s="4">
        <v>0</v>
      </c>
      <c r="M273" s="4">
        <v>0.1324004</v>
      </c>
      <c r="N273" s="4">
        <v>8.3926916000000004E-2</v>
      </c>
      <c r="O273" s="4">
        <v>0</v>
      </c>
      <c r="P273" s="4">
        <v>13</v>
      </c>
      <c r="Q273" s="4">
        <v>9</v>
      </c>
      <c r="R273" s="4">
        <v>0</v>
      </c>
      <c r="S273" s="6">
        <v>5.3999999999999999E-2</v>
      </c>
      <c r="T273" s="6">
        <v>3.5000000000000003E-2</v>
      </c>
    </row>
    <row r="274" spans="1:20" ht="18" x14ac:dyDescent="0.2">
      <c r="A274" s="4" t="s">
        <v>1453</v>
      </c>
      <c r="B274" s="4" t="s">
        <v>2168</v>
      </c>
      <c r="C274" s="4" t="s">
        <v>1924</v>
      </c>
      <c r="D274" s="4">
        <v>2</v>
      </c>
      <c r="E274" s="4" t="s">
        <v>116</v>
      </c>
      <c r="F274" s="4">
        <v>0</v>
      </c>
      <c r="G274" s="4">
        <v>2</v>
      </c>
      <c r="H274" s="4">
        <v>3</v>
      </c>
      <c r="I274" s="4">
        <v>0</v>
      </c>
      <c r="J274" s="5">
        <v>2.4803649999999999E-4</v>
      </c>
      <c r="K274" s="5">
        <v>2.1791746000000001E-4</v>
      </c>
      <c r="L274" s="4">
        <v>0</v>
      </c>
      <c r="M274" s="4">
        <v>0.30918192999999999</v>
      </c>
      <c r="N274" s="4">
        <v>0.30918192999999999</v>
      </c>
      <c r="O274" s="4">
        <v>0</v>
      </c>
      <c r="P274" s="4">
        <v>2</v>
      </c>
      <c r="Q274" s="4">
        <v>3</v>
      </c>
      <c r="R274" s="4">
        <v>0</v>
      </c>
      <c r="S274" s="6">
        <v>0.11700000000000001</v>
      </c>
      <c r="T274" s="6">
        <v>0.11700000000000001</v>
      </c>
    </row>
    <row r="275" spans="1:20" ht="18" x14ac:dyDescent="0.2">
      <c r="A275" s="4" t="s">
        <v>1454</v>
      </c>
      <c r="B275" s="4" t="s">
        <v>2169</v>
      </c>
      <c r="C275" s="4" t="s">
        <v>1924</v>
      </c>
      <c r="D275" s="4">
        <v>2</v>
      </c>
      <c r="E275" s="4" t="s">
        <v>116</v>
      </c>
      <c r="F275" s="4">
        <v>0</v>
      </c>
      <c r="G275" s="4">
        <v>3</v>
      </c>
      <c r="H275" s="4">
        <v>3</v>
      </c>
      <c r="I275" s="4">
        <v>0</v>
      </c>
      <c r="J275" s="5">
        <v>2.5689490000000001E-4</v>
      </c>
      <c r="K275" s="5">
        <v>1.5046682000000001E-4</v>
      </c>
      <c r="L275" s="4">
        <v>0</v>
      </c>
      <c r="M275" s="4">
        <v>0.19124198000000001</v>
      </c>
      <c r="N275" s="4">
        <v>0.19124198000000001</v>
      </c>
      <c r="O275" s="4">
        <v>0</v>
      </c>
      <c r="P275" s="4">
        <v>3</v>
      </c>
      <c r="Q275" s="4">
        <v>3</v>
      </c>
      <c r="R275" s="4">
        <v>0</v>
      </c>
      <c r="S275" s="6">
        <v>7.5999999999999998E-2</v>
      </c>
      <c r="T275" s="6">
        <v>7.5999999999999998E-2</v>
      </c>
    </row>
    <row r="276" spans="1:20" ht="18" x14ac:dyDescent="0.2">
      <c r="A276" s="4" t="s">
        <v>1455</v>
      </c>
      <c r="B276" s="4" t="s">
        <v>2170</v>
      </c>
      <c r="C276" s="4" t="s">
        <v>1924</v>
      </c>
      <c r="D276" s="4">
        <v>2</v>
      </c>
      <c r="E276" s="4" t="s">
        <v>116</v>
      </c>
      <c r="F276" s="4">
        <v>0</v>
      </c>
      <c r="G276" s="4">
        <v>2</v>
      </c>
      <c r="H276" s="4">
        <v>3</v>
      </c>
      <c r="I276" s="4">
        <v>0</v>
      </c>
      <c r="J276" s="5">
        <v>1.7982644000000001E-4</v>
      </c>
      <c r="K276" s="5">
        <v>1.5799016000000001E-4</v>
      </c>
      <c r="L276" s="4">
        <v>0</v>
      </c>
      <c r="M276" s="4">
        <v>0.21618604999999999</v>
      </c>
      <c r="N276" s="4">
        <v>0.21618604999999999</v>
      </c>
      <c r="O276" s="4">
        <v>0</v>
      </c>
      <c r="P276" s="4">
        <v>2</v>
      </c>
      <c r="Q276" s="4">
        <v>3</v>
      </c>
      <c r="R276" s="4">
        <v>0</v>
      </c>
      <c r="S276" s="6">
        <v>8.5000000000000006E-2</v>
      </c>
      <c r="T276" s="6">
        <v>8.5000000000000006E-2</v>
      </c>
    </row>
    <row r="277" spans="1:20" ht="18" x14ac:dyDescent="0.2">
      <c r="A277" s="4" t="s">
        <v>1456</v>
      </c>
      <c r="B277" s="4" t="s">
        <v>2171</v>
      </c>
      <c r="C277" s="4" t="s">
        <v>1924</v>
      </c>
      <c r="D277" s="4">
        <v>2</v>
      </c>
      <c r="E277" s="4" t="s">
        <v>116</v>
      </c>
      <c r="F277" s="4">
        <v>0</v>
      </c>
      <c r="G277" s="4">
        <v>2</v>
      </c>
      <c r="H277" s="4">
        <v>6</v>
      </c>
      <c r="I277" s="4">
        <v>0</v>
      </c>
      <c r="J277" s="5">
        <v>1.0018186E-4</v>
      </c>
      <c r="K277" s="5">
        <v>2.0537255E-4</v>
      </c>
      <c r="L277" s="4">
        <v>0</v>
      </c>
      <c r="M277" s="4">
        <v>9.3956349999999994E-2</v>
      </c>
      <c r="N277" s="4">
        <v>0.31825673999999998</v>
      </c>
      <c r="O277" s="4">
        <v>0</v>
      </c>
      <c r="P277" s="4">
        <v>2</v>
      </c>
      <c r="Q277" s="4">
        <v>7</v>
      </c>
      <c r="R277" s="4">
        <v>0</v>
      </c>
      <c r="S277" s="6">
        <v>3.9E-2</v>
      </c>
      <c r="T277" s="6">
        <v>0.12</v>
      </c>
    </row>
    <row r="278" spans="1:20" ht="18" x14ac:dyDescent="0.2">
      <c r="A278" s="4" t="s">
        <v>1457</v>
      </c>
      <c r="B278" s="4" t="s">
        <v>2172</v>
      </c>
      <c r="C278" s="4" t="s">
        <v>50</v>
      </c>
      <c r="D278" s="4">
        <v>2</v>
      </c>
      <c r="E278" s="4" t="s">
        <v>116</v>
      </c>
      <c r="F278" s="4">
        <v>0</v>
      </c>
      <c r="G278" s="4">
        <v>2</v>
      </c>
      <c r="H278" s="4">
        <v>3</v>
      </c>
      <c r="I278" s="4">
        <v>0</v>
      </c>
      <c r="J278" s="5">
        <v>1.7291005000000001E-4</v>
      </c>
      <c r="K278" s="5">
        <v>2.0255149999999999E-4</v>
      </c>
      <c r="L278" s="4">
        <v>0</v>
      </c>
      <c r="M278" s="4">
        <v>0.16680967999999999</v>
      </c>
      <c r="N278" s="4">
        <v>0.16680967999999999</v>
      </c>
      <c r="O278" s="4">
        <v>0</v>
      </c>
      <c r="P278" s="4">
        <v>2</v>
      </c>
      <c r="Q278" s="4">
        <v>4</v>
      </c>
      <c r="R278" s="4">
        <v>0</v>
      </c>
      <c r="S278" s="6">
        <v>6.7000000000000004E-2</v>
      </c>
      <c r="T278" s="6">
        <v>6.7000000000000004E-2</v>
      </c>
    </row>
    <row r="279" spans="1:20" ht="18" x14ac:dyDescent="0.2">
      <c r="A279" s="4" t="s">
        <v>1458</v>
      </c>
      <c r="B279" s="4" t="s">
        <v>2173</v>
      </c>
      <c r="C279" s="4" t="s">
        <v>50</v>
      </c>
      <c r="D279" s="4">
        <v>2</v>
      </c>
      <c r="E279" s="4" t="s">
        <v>116</v>
      </c>
      <c r="F279" s="4">
        <v>0</v>
      </c>
      <c r="G279" s="4">
        <v>4</v>
      </c>
      <c r="H279" s="4">
        <v>2</v>
      </c>
      <c r="I279" s="4">
        <v>0</v>
      </c>
      <c r="J279" s="5">
        <v>4.4039129999999999E-4</v>
      </c>
      <c r="K279" s="5">
        <v>8.5981040000000005E-5</v>
      </c>
      <c r="L279" s="4">
        <v>0</v>
      </c>
      <c r="M279" s="4">
        <v>0.18304156999999999</v>
      </c>
      <c r="N279" s="4">
        <v>7.8946710000000003E-2</v>
      </c>
      <c r="O279" s="4">
        <v>0</v>
      </c>
      <c r="P279" s="4">
        <v>6</v>
      </c>
      <c r="Q279" s="4">
        <v>2</v>
      </c>
      <c r="R279" s="4">
        <v>0</v>
      </c>
      <c r="S279" s="6">
        <v>7.2999999999999995E-2</v>
      </c>
      <c r="T279" s="6">
        <v>3.3000000000000002E-2</v>
      </c>
    </row>
    <row r="280" spans="1:20" ht="18" x14ac:dyDescent="0.2">
      <c r="A280" s="4" t="s">
        <v>1459</v>
      </c>
      <c r="B280" s="4" t="s">
        <v>2174</v>
      </c>
      <c r="C280" s="4" t="s">
        <v>50</v>
      </c>
      <c r="D280" s="4">
        <v>2</v>
      </c>
      <c r="E280" s="4" t="s">
        <v>116</v>
      </c>
      <c r="F280" s="4">
        <v>0</v>
      </c>
      <c r="G280" s="4">
        <v>2</v>
      </c>
      <c r="H280" s="4">
        <v>7</v>
      </c>
      <c r="I280" s="4">
        <v>0</v>
      </c>
      <c r="J280" s="5">
        <v>6.8245330000000004E-5</v>
      </c>
      <c r="K280" s="5">
        <v>2.1984716E-4</v>
      </c>
      <c r="L280" s="4">
        <v>0</v>
      </c>
      <c r="M280" s="4">
        <v>6.6596150000000007E-2</v>
      </c>
      <c r="N280" s="4">
        <v>0.31825673999999998</v>
      </c>
      <c r="O280" s="4">
        <v>0</v>
      </c>
      <c r="P280" s="4">
        <v>2</v>
      </c>
      <c r="Q280" s="4">
        <v>11</v>
      </c>
      <c r="R280" s="4">
        <v>0</v>
      </c>
      <c r="S280" s="6">
        <v>2.8000000000000001E-2</v>
      </c>
      <c r="T280" s="6">
        <v>0.12</v>
      </c>
    </row>
    <row r="281" spans="1:20" ht="18" x14ac:dyDescent="0.2">
      <c r="A281" s="4" t="s">
        <v>1460</v>
      </c>
      <c r="B281" s="4" t="s">
        <v>2175</v>
      </c>
      <c r="C281" s="4" t="s">
        <v>50</v>
      </c>
      <c r="D281" s="4">
        <v>2</v>
      </c>
      <c r="E281" s="4" t="s">
        <v>116</v>
      </c>
      <c r="F281" s="4">
        <v>0</v>
      </c>
      <c r="G281" s="4">
        <v>10</v>
      </c>
      <c r="H281" s="4">
        <v>6</v>
      </c>
      <c r="I281" s="4">
        <v>0</v>
      </c>
      <c r="J281" s="5">
        <v>4.0410439999999999E-4</v>
      </c>
      <c r="K281" s="5">
        <v>1.0143830999999999E-4</v>
      </c>
      <c r="L281" s="4">
        <v>0</v>
      </c>
      <c r="M281" s="4">
        <v>0.30016959999999998</v>
      </c>
      <c r="N281" s="4">
        <v>0.15080035</v>
      </c>
      <c r="O281" s="4">
        <v>0</v>
      </c>
      <c r="P281" s="4">
        <v>14</v>
      </c>
      <c r="Q281" s="4">
        <v>6</v>
      </c>
      <c r="R281" s="4">
        <v>0</v>
      </c>
      <c r="S281" s="6">
        <v>0.114</v>
      </c>
      <c r="T281" s="6">
        <v>6.0999999999999999E-2</v>
      </c>
    </row>
    <row r="282" spans="1:20" ht="18" x14ac:dyDescent="0.2">
      <c r="A282" s="4" t="s">
        <v>1461</v>
      </c>
      <c r="B282" s="4" t="s">
        <v>2176</v>
      </c>
      <c r="C282" s="4" t="s">
        <v>50</v>
      </c>
      <c r="D282" s="4">
        <v>2</v>
      </c>
      <c r="E282" s="4" t="s">
        <v>116</v>
      </c>
      <c r="F282" s="4">
        <v>0</v>
      </c>
      <c r="G282" s="4">
        <v>5</v>
      </c>
      <c r="H282" s="4">
        <v>3</v>
      </c>
      <c r="I282" s="4">
        <v>0</v>
      </c>
      <c r="J282" s="5">
        <v>8.7720213999999998E-4</v>
      </c>
      <c r="K282" s="5">
        <v>2.5689456000000001E-4</v>
      </c>
      <c r="L282" s="4">
        <v>0</v>
      </c>
      <c r="M282" s="4">
        <v>1.0464446999999999</v>
      </c>
      <c r="N282" s="4">
        <v>1.0464446999999999</v>
      </c>
      <c r="O282" s="4">
        <v>0</v>
      </c>
      <c r="P282" s="4">
        <v>8</v>
      </c>
      <c r="Q282" s="4">
        <v>4</v>
      </c>
      <c r="R282" s="4">
        <v>0</v>
      </c>
      <c r="S282" s="6">
        <v>0.311</v>
      </c>
      <c r="T282" s="6">
        <v>0.311</v>
      </c>
    </row>
    <row r="283" spans="1:20" ht="18" x14ac:dyDescent="0.2">
      <c r="A283" s="4" t="s">
        <v>1462</v>
      </c>
      <c r="B283" s="4" t="s">
        <v>2177</v>
      </c>
      <c r="C283" s="4" t="s">
        <v>50</v>
      </c>
      <c r="D283" s="4">
        <v>2</v>
      </c>
      <c r="E283" s="4" t="s">
        <v>116</v>
      </c>
      <c r="F283" s="4">
        <v>0</v>
      </c>
      <c r="G283" s="4">
        <v>3</v>
      </c>
      <c r="H283" s="4">
        <v>2</v>
      </c>
      <c r="I283" s="4">
        <v>0</v>
      </c>
      <c r="J283" s="5">
        <v>4.603066E-4</v>
      </c>
      <c r="K283" s="5">
        <v>5.3921558000000001E-5</v>
      </c>
      <c r="L283" s="4">
        <v>0</v>
      </c>
      <c r="M283" s="4">
        <v>5.1961899999999998E-2</v>
      </c>
      <c r="N283" s="4">
        <v>5.1961899999999998E-2</v>
      </c>
      <c r="O283" s="4">
        <v>0</v>
      </c>
      <c r="P283" s="4">
        <v>15</v>
      </c>
      <c r="Q283" s="4">
        <v>3</v>
      </c>
      <c r="R283" s="4">
        <v>0</v>
      </c>
      <c r="S283" s="6">
        <v>2.1999999999999999E-2</v>
      </c>
      <c r="T283" s="6">
        <v>2.1999999999999999E-2</v>
      </c>
    </row>
    <row r="284" spans="1:20" ht="18" x14ac:dyDescent="0.2">
      <c r="A284" s="4" t="s">
        <v>1463</v>
      </c>
      <c r="B284" s="4" t="s">
        <v>2178</v>
      </c>
      <c r="C284" s="4" t="s">
        <v>50</v>
      </c>
      <c r="D284" s="4">
        <v>2</v>
      </c>
      <c r="E284" s="4" t="s">
        <v>116</v>
      </c>
      <c r="F284" s="4">
        <v>0</v>
      </c>
      <c r="G284" s="4">
        <v>6</v>
      </c>
      <c r="H284" s="4">
        <v>3</v>
      </c>
      <c r="I284" s="4">
        <v>0</v>
      </c>
      <c r="J284" s="5">
        <v>5.8243382999999998E-4</v>
      </c>
      <c r="K284" s="5">
        <v>1.2792724999999999E-4</v>
      </c>
      <c r="L284" s="4">
        <v>0</v>
      </c>
      <c r="M284" s="4">
        <v>0.34896290000000002</v>
      </c>
      <c r="N284" s="4">
        <v>0.28528666000000003</v>
      </c>
      <c r="O284" s="4">
        <v>0</v>
      </c>
      <c r="P284" s="4">
        <v>8</v>
      </c>
      <c r="Q284" s="4">
        <v>3</v>
      </c>
      <c r="R284" s="4">
        <v>0</v>
      </c>
      <c r="S284" s="6">
        <v>0.13</v>
      </c>
      <c r="T284" s="6">
        <v>0.109</v>
      </c>
    </row>
    <row r="285" spans="1:20" ht="18" x14ac:dyDescent="0.2">
      <c r="A285" s="4" t="s">
        <v>1464</v>
      </c>
      <c r="B285" s="4" t="s">
        <v>2179</v>
      </c>
      <c r="C285" s="4" t="s">
        <v>50</v>
      </c>
      <c r="D285" s="4">
        <v>2</v>
      </c>
      <c r="E285" s="4" t="s">
        <v>116</v>
      </c>
      <c r="F285" s="4">
        <v>0</v>
      </c>
      <c r="G285" s="4">
        <v>3</v>
      </c>
      <c r="H285" s="4">
        <v>3</v>
      </c>
      <c r="I285" s="4">
        <v>0</v>
      </c>
      <c r="J285" s="5">
        <v>1.2575276E-4</v>
      </c>
      <c r="K285" s="5">
        <v>9.2068860000000006E-5</v>
      </c>
      <c r="L285" s="4">
        <v>0</v>
      </c>
      <c r="M285" s="4">
        <v>0.15611220000000001</v>
      </c>
      <c r="N285" s="4">
        <v>6.6596150000000007E-2</v>
      </c>
      <c r="O285" s="4">
        <v>0</v>
      </c>
      <c r="P285" s="4">
        <v>4</v>
      </c>
      <c r="Q285" s="4">
        <v>5</v>
      </c>
      <c r="R285" s="4">
        <v>0</v>
      </c>
      <c r="S285" s="6">
        <v>6.3E-2</v>
      </c>
      <c r="T285" s="6">
        <v>2.8000000000000001E-2</v>
      </c>
    </row>
    <row r="286" spans="1:20" ht="18" x14ac:dyDescent="0.2">
      <c r="A286" s="4" t="s">
        <v>1465</v>
      </c>
      <c r="B286" s="4" t="s">
        <v>2180</v>
      </c>
      <c r="C286" s="4" t="s">
        <v>50</v>
      </c>
      <c r="D286" s="4">
        <v>2</v>
      </c>
      <c r="E286" s="4" t="s">
        <v>116</v>
      </c>
      <c r="F286" s="4">
        <v>0</v>
      </c>
      <c r="G286" s="4">
        <v>14</v>
      </c>
      <c r="H286" s="4">
        <v>9</v>
      </c>
      <c r="I286" s="4">
        <v>0</v>
      </c>
      <c r="J286" s="4">
        <v>2.8509071999999998E-3</v>
      </c>
      <c r="K286" s="5">
        <v>7.706837E-4</v>
      </c>
      <c r="L286" s="4">
        <v>0</v>
      </c>
      <c r="M286" s="4">
        <v>1.4210290999999999</v>
      </c>
      <c r="N286" s="4">
        <v>1.4210290999999999</v>
      </c>
      <c r="O286" s="4">
        <v>0</v>
      </c>
      <c r="P286" s="4">
        <v>26</v>
      </c>
      <c r="Q286" s="4">
        <v>12</v>
      </c>
      <c r="R286" s="4">
        <v>0</v>
      </c>
      <c r="S286" s="6">
        <v>0.38400000000000001</v>
      </c>
      <c r="T286" s="6">
        <v>0.38400000000000001</v>
      </c>
    </row>
    <row r="287" spans="1:20" ht="18" x14ac:dyDescent="0.2">
      <c r="A287" s="4" t="s">
        <v>1466</v>
      </c>
      <c r="B287" s="4" t="s">
        <v>2181</v>
      </c>
      <c r="C287" s="4" t="s">
        <v>50</v>
      </c>
      <c r="D287" s="4">
        <v>2</v>
      </c>
      <c r="E287" s="4" t="s">
        <v>116</v>
      </c>
      <c r="F287" s="4">
        <v>0</v>
      </c>
      <c r="G287" s="4">
        <v>13</v>
      </c>
      <c r="H287" s="4">
        <v>10</v>
      </c>
      <c r="I287" s="4">
        <v>0</v>
      </c>
      <c r="J287" s="4">
        <v>1.2427031E-3</v>
      </c>
      <c r="K287" s="5">
        <v>5.5660493999999997E-4</v>
      </c>
      <c r="L287" s="4">
        <v>0</v>
      </c>
      <c r="M287" s="4">
        <v>0.88799130000000004</v>
      </c>
      <c r="N287" s="4">
        <v>0.70608245999999997</v>
      </c>
      <c r="O287" s="4">
        <v>0</v>
      </c>
      <c r="P287" s="4">
        <v>17</v>
      </c>
      <c r="Q287" s="4">
        <v>13</v>
      </c>
      <c r="R287" s="4">
        <v>0</v>
      </c>
      <c r="S287" s="6">
        <v>0.27600000000000002</v>
      </c>
      <c r="T287" s="6">
        <v>0.23200000000000001</v>
      </c>
    </row>
    <row r="288" spans="1:20" ht="18" x14ac:dyDescent="0.2">
      <c r="A288" s="4" t="s">
        <v>1467</v>
      </c>
      <c r="B288" s="4" t="s">
        <v>2182</v>
      </c>
      <c r="C288" s="4" t="s">
        <v>50</v>
      </c>
      <c r="D288" s="4">
        <v>2</v>
      </c>
      <c r="E288" s="4" t="s">
        <v>116</v>
      </c>
      <c r="F288" s="4">
        <v>0</v>
      </c>
      <c r="G288" s="4">
        <v>4</v>
      </c>
      <c r="H288" s="4">
        <v>2</v>
      </c>
      <c r="I288" s="4">
        <v>0</v>
      </c>
      <c r="J288" s="5">
        <v>4.3860106999999999E-4</v>
      </c>
      <c r="K288" s="5">
        <v>8.5631524000000001E-5</v>
      </c>
      <c r="L288" s="4">
        <v>0</v>
      </c>
      <c r="M288" s="4">
        <v>0.18304156999999999</v>
      </c>
      <c r="N288" s="4">
        <v>7.8946710000000003E-2</v>
      </c>
      <c r="O288" s="4">
        <v>0</v>
      </c>
      <c r="P288" s="4">
        <v>6</v>
      </c>
      <c r="Q288" s="4">
        <v>2</v>
      </c>
      <c r="R288" s="4">
        <v>0</v>
      </c>
      <c r="S288" s="6">
        <v>7.2999999999999995E-2</v>
      </c>
      <c r="T288" s="6">
        <v>3.3000000000000002E-2</v>
      </c>
    </row>
    <row r="289" spans="1:20" ht="18" x14ac:dyDescent="0.2">
      <c r="A289" s="4" t="s">
        <v>1468</v>
      </c>
      <c r="B289" s="4" t="s">
        <v>2183</v>
      </c>
      <c r="C289" s="4" t="s">
        <v>1929</v>
      </c>
      <c r="D289" s="4">
        <v>2</v>
      </c>
      <c r="E289" s="4" t="s">
        <v>116</v>
      </c>
      <c r="F289" s="4">
        <v>0</v>
      </c>
      <c r="G289" s="4">
        <v>10</v>
      </c>
      <c r="H289" s="4">
        <v>9</v>
      </c>
      <c r="I289" s="4">
        <v>0</v>
      </c>
      <c r="J289" s="5">
        <v>8.1553945999999998E-5</v>
      </c>
      <c r="K289" s="5">
        <v>3.5825433000000001E-5</v>
      </c>
      <c r="L289" s="4">
        <v>0</v>
      </c>
      <c r="M289" s="4">
        <v>0.101539254</v>
      </c>
      <c r="N289" s="4">
        <v>5.6817529999999998E-2</v>
      </c>
      <c r="O289" s="4">
        <v>0</v>
      </c>
      <c r="P289" s="4">
        <v>12</v>
      </c>
      <c r="Q289" s="4">
        <v>9</v>
      </c>
      <c r="R289" s="4">
        <v>0</v>
      </c>
      <c r="S289" s="6">
        <v>4.2000000000000003E-2</v>
      </c>
      <c r="T289" s="6">
        <v>2.4E-2</v>
      </c>
    </row>
    <row r="290" spans="1:20" ht="18" x14ac:dyDescent="0.2">
      <c r="A290" s="4" t="s">
        <v>1469</v>
      </c>
      <c r="B290" s="4" t="s">
        <v>2184</v>
      </c>
      <c r="C290" s="4" t="s">
        <v>1929</v>
      </c>
      <c r="D290" s="4">
        <v>2</v>
      </c>
      <c r="E290" s="4" t="s">
        <v>116</v>
      </c>
      <c r="F290" s="4">
        <v>0</v>
      </c>
      <c r="G290" s="4">
        <v>3</v>
      </c>
      <c r="H290" s="4">
        <v>3</v>
      </c>
      <c r="I290" s="4">
        <v>0</v>
      </c>
      <c r="J290" s="5">
        <v>2.1665836E-4</v>
      </c>
      <c r="K290" s="5">
        <v>1.9034959E-4</v>
      </c>
      <c r="L290" s="4">
        <v>0</v>
      </c>
      <c r="M290" s="4">
        <v>4.2317390000000003E-2</v>
      </c>
      <c r="N290" s="4">
        <v>4.2317390000000003E-2</v>
      </c>
      <c r="O290" s="4">
        <v>0</v>
      </c>
      <c r="P290" s="4">
        <v>6</v>
      </c>
      <c r="Q290" s="4">
        <v>9</v>
      </c>
      <c r="R290" s="4">
        <v>0</v>
      </c>
      <c r="S290" s="6">
        <v>1.7999999999999999E-2</v>
      </c>
      <c r="T290" s="6">
        <v>1.7999999999999999E-2</v>
      </c>
    </row>
    <row r="291" spans="1:20" ht="18" x14ac:dyDescent="0.2">
      <c r="A291" s="4" t="s">
        <v>1470</v>
      </c>
      <c r="B291" s="4" t="s">
        <v>2185</v>
      </c>
      <c r="C291" s="4" t="s">
        <v>1929</v>
      </c>
      <c r="D291" s="4">
        <v>2</v>
      </c>
      <c r="E291" s="4" t="s">
        <v>116</v>
      </c>
      <c r="F291" s="4">
        <v>0</v>
      </c>
      <c r="G291" s="4">
        <v>17</v>
      </c>
      <c r="H291" s="4">
        <v>30</v>
      </c>
      <c r="I291" s="4">
        <v>0</v>
      </c>
      <c r="J291" s="4">
        <v>2.5005451999999999E-3</v>
      </c>
      <c r="K291" s="4">
        <v>3.4901177999999999E-3</v>
      </c>
      <c r="L291" s="4">
        <v>0</v>
      </c>
      <c r="M291" s="4">
        <v>0.61064565000000004</v>
      </c>
      <c r="N291" s="4">
        <v>0.92309176999999998</v>
      </c>
      <c r="O291" s="4">
        <v>0</v>
      </c>
      <c r="P291" s="4">
        <v>47</v>
      </c>
      <c r="Q291" s="4">
        <v>112</v>
      </c>
      <c r="R291" s="4">
        <v>0</v>
      </c>
      <c r="S291" s="6">
        <v>0.20699999999999999</v>
      </c>
      <c r="T291" s="6">
        <v>0.28399999999999997</v>
      </c>
    </row>
    <row r="292" spans="1:20" ht="18" x14ac:dyDescent="0.2">
      <c r="A292" s="4" t="s">
        <v>1471</v>
      </c>
      <c r="B292" s="4" t="s">
        <v>2186</v>
      </c>
      <c r="C292" s="4" t="s">
        <v>1929</v>
      </c>
      <c r="D292" s="4">
        <v>2</v>
      </c>
      <c r="E292" s="4" t="s">
        <v>116</v>
      </c>
      <c r="F292" s="4">
        <v>0</v>
      </c>
      <c r="G292" s="4">
        <v>3</v>
      </c>
      <c r="H292" s="4">
        <v>5</v>
      </c>
      <c r="I292" s="4">
        <v>0</v>
      </c>
      <c r="J292" s="5">
        <v>6.8237714000000005E-4</v>
      </c>
      <c r="K292" s="5">
        <v>3.7616707E-4</v>
      </c>
      <c r="L292" s="4">
        <v>0</v>
      </c>
      <c r="M292" s="4">
        <v>3.7528395999999999E-2</v>
      </c>
      <c r="N292" s="4">
        <v>0.16680967999999999</v>
      </c>
      <c r="O292" s="4">
        <v>0</v>
      </c>
      <c r="P292" s="4">
        <v>17</v>
      </c>
      <c r="Q292" s="4">
        <v>16</v>
      </c>
      <c r="R292" s="4">
        <v>0</v>
      </c>
      <c r="S292" s="6">
        <v>1.6E-2</v>
      </c>
      <c r="T292" s="6">
        <v>6.7000000000000004E-2</v>
      </c>
    </row>
    <row r="293" spans="1:20" ht="18" x14ac:dyDescent="0.2">
      <c r="A293" s="4" t="s">
        <v>1472</v>
      </c>
      <c r="B293" s="4" t="s">
        <v>2187</v>
      </c>
      <c r="C293" s="4" t="s">
        <v>1929</v>
      </c>
      <c r="D293" s="4">
        <v>2</v>
      </c>
      <c r="E293" s="4" t="s">
        <v>116</v>
      </c>
      <c r="F293" s="4">
        <v>0</v>
      </c>
      <c r="G293" s="4">
        <v>81</v>
      </c>
      <c r="H293" s="4">
        <v>55</v>
      </c>
      <c r="I293" s="4">
        <v>0</v>
      </c>
      <c r="J293" s="4">
        <v>6.2900669999999999E-3</v>
      </c>
      <c r="K293" s="4">
        <v>2.3732428000000001E-3</v>
      </c>
      <c r="L293" s="4">
        <v>0</v>
      </c>
      <c r="M293" s="4">
        <v>2.7068074000000002</v>
      </c>
      <c r="N293" s="4">
        <v>1.8248799</v>
      </c>
      <c r="O293" s="4">
        <v>0</v>
      </c>
      <c r="P293" s="4">
        <v>163</v>
      </c>
      <c r="Q293" s="4">
        <v>105</v>
      </c>
      <c r="R293" s="4">
        <v>0</v>
      </c>
      <c r="S293" s="6">
        <v>0.56899999999999995</v>
      </c>
      <c r="T293" s="6">
        <v>0.45100000000000001</v>
      </c>
    </row>
    <row r="294" spans="1:20" ht="18" x14ac:dyDescent="0.2">
      <c r="A294" s="4" t="s">
        <v>1473</v>
      </c>
      <c r="B294" s="4" t="s">
        <v>2188</v>
      </c>
      <c r="C294" s="4" t="s">
        <v>1929</v>
      </c>
      <c r="D294" s="4">
        <v>2</v>
      </c>
      <c r="E294" s="4" t="s">
        <v>116</v>
      </c>
      <c r="F294" s="4">
        <v>0</v>
      </c>
      <c r="G294" s="4">
        <v>49</v>
      </c>
      <c r="H294" s="4">
        <v>22</v>
      </c>
      <c r="I294" s="4">
        <v>0</v>
      </c>
      <c r="J294" s="4">
        <v>2.061359E-3</v>
      </c>
      <c r="K294" s="5">
        <v>4.2893256999999998E-4</v>
      </c>
      <c r="L294" s="4">
        <v>0</v>
      </c>
      <c r="M294" s="4">
        <v>0.98152709999999999</v>
      </c>
      <c r="N294" s="4">
        <v>0.47910845000000002</v>
      </c>
      <c r="O294" s="4">
        <v>0</v>
      </c>
      <c r="P294" s="4">
        <v>76</v>
      </c>
      <c r="Q294" s="4">
        <v>27</v>
      </c>
      <c r="R294" s="4">
        <v>0</v>
      </c>
      <c r="S294" s="6">
        <v>0.29699999999999999</v>
      </c>
      <c r="T294" s="6">
        <v>0.17</v>
      </c>
    </row>
    <row r="295" spans="1:20" ht="18" x14ac:dyDescent="0.2">
      <c r="A295" s="4" t="s">
        <v>1474</v>
      </c>
      <c r="B295" s="4" t="s">
        <v>2189</v>
      </c>
      <c r="C295" s="4" t="s">
        <v>1929</v>
      </c>
      <c r="D295" s="4">
        <v>2</v>
      </c>
      <c r="E295" s="4" t="s">
        <v>116</v>
      </c>
      <c r="F295" s="4">
        <v>0</v>
      </c>
      <c r="G295" s="4">
        <v>36</v>
      </c>
      <c r="H295" s="4">
        <v>28</v>
      </c>
      <c r="I295" s="4">
        <v>0</v>
      </c>
      <c r="J295" s="4">
        <v>1.5820508E-3</v>
      </c>
      <c r="K295" s="5">
        <v>6.6408375000000003E-4</v>
      </c>
      <c r="L295" s="4">
        <v>0</v>
      </c>
      <c r="M295" s="4">
        <v>0.31825673999999998</v>
      </c>
      <c r="N295" s="4">
        <v>0.25314115999999998</v>
      </c>
      <c r="O295" s="4">
        <v>0</v>
      </c>
      <c r="P295" s="4">
        <v>120</v>
      </c>
      <c r="Q295" s="4">
        <v>86</v>
      </c>
      <c r="R295" s="4">
        <v>0</v>
      </c>
      <c r="S295" s="6">
        <v>0.12</v>
      </c>
      <c r="T295" s="6">
        <v>9.8000000000000004E-2</v>
      </c>
    </row>
    <row r="296" spans="1:20" ht="18" x14ac:dyDescent="0.2">
      <c r="A296" s="4" t="s">
        <v>1475</v>
      </c>
      <c r="B296" s="4" t="s">
        <v>2190</v>
      </c>
      <c r="C296" s="4" t="s">
        <v>1929</v>
      </c>
      <c r="D296" s="4">
        <v>2</v>
      </c>
      <c r="E296" s="4" t="s">
        <v>116</v>
      </c>
      <c r="F296" s="4">
        <v>0</v>
      </c>
      <c r="G296" s="4">
        <v>3</v>
      </c>
      <c r="H296" s="4">
        <v>3</v>
      </c>
      <c r="I296" s="4">
        <v>0</v>
      </c>
      <c r="J296" s="5">
        <v>6.8390374999999996E-4</v>
      </c>
      <c r="K296" s="5">
        <v>3.2988249999999999E-4</v>
      </c>
      <c r="L296" s="4">
        <v>0</v>
      </c>
      <c r="M296" s="4">
        <v>3.7528395999999999E-2</v>
      </c>
      <c r="N296" s="4">
        <v>3.7528395999999999E-2</v>
      </c>
      <c r="O296" s="4">
        <v>0</v>
      </c>
      <c r="P296" s="4">
        <v>17</v>
      </c>
      <c r="Q296" s="4">
        <v>14</v>
      </c>
      <c r="R296" s="4">
        <v>0</v>
      </c>
      <c r="S296" s="6">
        <v>1.6E-2</v>
      </c>
      <c r="T296" s="6">
        <v>1.6E-2</v>
      </c>
    </row>
    <row r="297" spans="1:20" ht="18" x14ac:dyDescent="0.2">
      <c r="A297" s="4" t="s">
        <v>1476</v>
      </c>
      <c r="B297" s="4" t="s">
        <v>2191</v>
      </c>
      <c r="C297" s="4" t="s">
        <v>1929</v>
      </c>
      <c r="D297" s="4">
        <v>2</v>
      </c>
      <c r="E297" s="4" t="s">
        <v>116</v>
      </c>
      <c r="F297" s="4">
        <v>0</v>
      </c>
      <c r="G297" s="4">
        <v>3</v>
      </c>
      <c r="H297" s="4">
        <v>3</v>
      </c>
      <c r="I297" s="4">
        <v>0</v>
      </c>
      <c r="J297" s="5">
        <v>6.7187903999999996E-4</v>
      </c>
      <c r="K297" s="5">
        <v>3.2408239999999998E-4</v>
      </c>
      <c r="L297" s="4">
        <v>0</v>
      </c>
      <c r="M297" s="4">
        <v>3.5142183E-2</v>
      </c>
      <c r="N297" s="4">
        <v>3.5142183E-2</v>
      </c>
      <c r="O297" s="4">
        <v>0</v>
      </c>
      <c r="P297" s="4">
        <v>17</v>
      </c>
      <c r="Q297" s="4">
        <v>14</v>
      </c>
      <c r="R297" s="4">
        <v>0</v>
      </c>
      <c r="S297" s="6">
        <v>1.4999999999999999E-2</v>
      </c>
      <c r="T297" s="6">
        <v>1.4999999999999999E-2</v>
      </c>
    </row>
    <row r="298" spans="1:20" ht="18" x14ac:dyDescent="0.2">
      <c r="A298" s="4" t="s">
        <v>1477</v>
      </c>
      <c r="B298" s="4" t="s">
        <v>2192</v>
      </c>
      <c r="C298" s="4" t="s">
        <v>1929</v>
      </c>
      <c r="D298" s="4">
        <v>2</v>
      </c>
      <c r="E298" s="4" t="s">
        <v>116</v>
      </c>
      <c r="F298" s="4">
        <v>0</v>
      </c>
      <c r="G298" s="4">
        <v>4</v>
      </c>
      <c r="H298" s="4">
        <v>23</v>
      </c>
      <c r="I298" s="4">
        <v>0</v>
      </c>
      <c r="J298" s="5">
        <v>8.0120699999999996E-4</v>
      </c>
      <c r="K298" s="4">
        <v>1.0167684000000001E-3</v>
      </c>
      <c r="L298" s="4">
        <v>0</v>
      </c>
      <c r="M298" s="4">
        <v>0.11429453000000001</v>
      </c>
      <c r="N298" s="4">
        <v>0.78648759999999995</v>
      </c>
      <c r="O298" s="4">
        <v>0</v>
      </c>
      <c r="P298" s="4">
        <v>18</v>
      </c>
      <c r="Q298" s="4">
        <v>39</v>
      </c>
      <c r="R298" s="4">
        <v>0</v>
      </c>
      <c r="S298" s="6">
        <v>4.7E-2</v>
      </c>
      <c r="T298" s="6">
        <v>0.252</v>
      </c>
    </row>
    <row r="299" spans="1:20" ht="18" x14ac:dyDescent="0.2">
      <c r="A299" s="4" t="s">
        <v>1478</v>
      </c>
      <c r="B299" s="4" t="s">
        <v>2193</v>
      </c>
      <c r="C299" s="4" t="s">
        <v>1929</v>
      </c>
      <c r="D299" s="4">
        <v>2</v>
      </c>
      <c r="E299" s="4" t="s">
        <v>116</v>
      </c>
      <c r="F299" s="4">
        <v>0</v>
      </c>
      <c r="G299" s="4">
        <v>7</v>
      </c>
      <c r="H299" s="4">
        <v>8</v>
      </c>
      <c r="I299" s="4">
        <v>0</v>
      </c>
      <c r="J299" s="5">
        <v>4.7163627E-4</v>
      </c>
      <c r="K299" s="5">
        <v>2.1249516999999999E-4</v>
      </c>
      <c r="L299" s="4">
        <v>0</v>
      </c>
      <c r="M299" s="4">
        <v>8.8930129999999996E-2</v>
      </c>
      <c r="N299" s="4">
        <v>0.14024972999999999</v>
      </c>
      <c r="O299" s="4">
        <v>0</v>
      </c>
      <c r="P299" s="4">
        <v>39</v>
      </c>
      <c r="Q299" s="4">
        <v>30</v>
      </c>
      <c r="R299" s="4">
        <v>0</v>
      </c>
      <c r="S299" s="6">
        <v>3.6999999999999998E-2</v>
      </c>
      <c r="T299" s="6">
        <v>5.7000000000000002E-2</v>
      </c>
    </row>
    <row r="300" spans="1:20" ht="18" x14ac:dyDescent="0.2">
      <c r="A300" s="4" t="s">
        <v>1479</v>
      </c>
      <c r="B300" s="4" t="s">
        <v>2194</v>
      </c>
      <c r="C300" s="4" t="s">
        <v>1929</v>
      </c>
      <c r="D300" s="4">
        <v>2</v>
      </c>
      <c r="E300" s="4" t="s">
        <v>116</v>
      </c>
      <c r="F300" s="4">
        <v>0</v>
      </c>
      <c r="G300" s="4">
        <v>4</v>
      </c>
      <c r="H300" s="4">
        <v>20</v>
      </c>
      <c r="I300" s="4">
        <v>0</v>
      </c>
      <c r="J300" s="5">
        <v>7.7809519999999998E-4</v>
      </c>
      <c r="K300" s="5">
        <v>9.1148173999999998E-4</v>
      </c>
      <c r="L300" s="4">
        <v>0</v>
      </c>
      <c r="M300" s="4">
        <v>0.11173176999999999</v>
      </c>
      <c r="N300" s="4">
        <v>0.59220874000000001</v>
      </c>
      <c r="O300" s="4">
        <v>0</v>
      </c>
      <c r="P300" s="4">
        <v>18</v>
      </c>
      <c r="Q300" s="4">
        <v>36</v>
      </c>
      <c r="R300" s="4">
        <v>0</v>
      </c>
      <c r="S300" s="6">
        <v>4.5999999999999999E-2</v>
      </c>
      <c r="T300" s="6">
        <v>0.20200000000000001</v>
      </c>
    </row>
    <row r="301" spans="1:20" ht="18" x14ac:dyDescent="0.2">
      <c r="A301" s="4" t="s">
        <v>1480</v>
      </c>
      <c r="B301" s="4" t="s">
        <v>2195</v>
      </c>
      <c r="C301" s="4" t="s">
        <v>1929</v>
      </c>
      <c r="D301" s="4">
        <v>2</v>
      </c>
      <c r="E301" s="4" t="s">
        <v>116</v>
      </c>
      <c r="F301" s="4">
        <v>0</v>
      </c>
      <c r="G301" s="4">
        <v>3</v>
      </c>
      <c r="H301" s="4">
        <v>5</v>
      </c>
      <c r="I301" s="4">
        <v>0</v>
      </c>
      <c r="J301" s="5">
        <v>6.7040559999999999E-4</v>
      </c>
      <c r="K301" s="5">
        <v>3.6956762999999998E-4</v>
      </c>
      <c r="L301" s="4">
        <v>0</v>
      </c>
      <c r="M301" s="4">
        <v>3.5142183E-2</v>
      </c>
      <c r="N301" s="4">
        <v>0.16412604</v>
      </c>
      <c r="O301" s="4">
        <v>0</v>
      </c>
      <c r="P301" s="4">
        <v>17</v>
      </c>
      <c r="Q301" s="4">
        <v>16</v>
      </c>
      <c r="R301" s="4">
        <v>0</v>
      </c>
      <c r="S301" s="6">
        <v>1.4999999999999999E-2</v>
      </c>
      <c r="T301" s="6">
        <v>6.6000000000000003E-2</v>
      </c>
    </row>
    <row r="302" spans="1:20" ht="18" x14ac:dyDescent="0.2">
      <c r="A302" s="4" t="s">
        <v>1481</v>
      </c>
      <c r="B302" s="4" t="s">
        <v>2196</v>
      </c>
      <c r="C302" s="4" t="s">
        <v>1929</v>
      </c>
      <c r="D302" s="4">
        <v>2</v>
      </c>
      <c r="E302" s="4" t="s">
        <v>116</v>
      </c>
      <c r="F302" s="4">
        <v>0</v>
      </c>
      <c r="G302" s="4">
        <v>3</v>
      </c>
      <c r="H302" s="4">
        <v>2</v>
      </c>
      <c r="I302" s="4">
        <v>0</v>
      </c>
      <c r="J302" s="5">
        <v>4.7013452000000002E-4</v>
      </c>
      <c r="K302" s="5">
        <v>1.3768206E-4</v>
      </c>
      <c r="L302" s="4">
        <v>0</v>
      </c>
      <c r="M302" s="4">
        <v>0.27350307000000001</v>
      </c>
      <c r="N302" s="4">
        <v>0.27350307000000001</v>
      </c>
      <c r="O302" s="4">
        <v>0</v>
      </c>
      <c r="P302" s="4">
        <v>4</v>
      </c>
      <c r="Q302" s="4">
        <v>2</v>
      </c>
      <c r="R302" s="4">
        <v>0</v>
      </c>
      <c r="S302" s="6">
        <v>0.105</v>
      </c>
      <c r="T302" s="6">
        <v>0.105</v>
      </c>
    </row>
    <row r="303" spans="1:20" ht="18" x14ac:dyDescent="0.2">
      <c r="A303" s="4" t="s">
        <v>1482</v>
      </c>
      <c r="B303" s="4" t="s">
        <v>2197</v>
      </c>
      <c r="C303" s="4" t="s">
        <v>1929</v>
      </c>
      <c r="D303" s="4">
        <v>2</v>
      </c>
      <c r="E303" s="4" t="s">
        <v>116</v>
      </c>
      <c r="F303" s="4">
        <v>0</v>
      </c>
      <c r="G303" s="4">
        <v>5</v>
      </c>
      <c r="H303" s="4">
        <v>10</v>
      </c>
      <c r="I303" s="4">
        <v>0</v>
      </c>
      <c r="J303" s="5">
        <v>1.3511550999999999E-4</v>
      </c>
      <c r="K303" s="5">
        <v>1.2950014000000001E-4</v>
      </c>
      <c r="L303" s="4">
        <v>0</v>
      </c>
      <c r="M303" s="4">
        <v>3.7528395999999999E-2</v>
      </c>
      <c r="N303" s="4">
        <v>9.6478224000000001E-2</v>
      </c>
      <c r="O303" s="4">
        <v>0</v>
      </c>
      <c r="P303" s="4">
        <v>11</v>
      </c>
      <c r="Q303" s="4">
        <v>18</v>
      </c>
      <c r="R303" s="4">
        <v>0</v>
      </c>
      <c r="S303" s="6">
        <v>1.6E-2</v>
      </c>
      <c r="T303" s="6">
        <v>0.04</v>
      </c>
    </row>
    <row r="304" spans="1:20" ht="18" x14ac:dyDescent="0.2">
      <c r="A304" s="4" t="s">
        <v>1483</v>
      </c>
      <c r="B304" s="4" t="s">
        <v>2198</v>
      </c>
      <c r="C304" s="4" t="s">
        <v>1929</v>
      </c>
      <c r="D304" s="4">
        <v>2</v>
      </c>
      <c r="E304" s="4" t="s">
        <v>116</v>
      </c>
      <c r="F304" s="4">
        <v>0</v>
      </c>
      <c r="G304" s="4">
        <v>11</v>
      </c>
      <c r="H304" s="4">
        <v>43</v>
      </c>
      <c r="I304" s="4">
        <v>0</v>
      </c>
      <c r="J304" s="5">
        <v>1.7021435E-4</v>
      </c>
      <c r="K304" s="5">
        <v>3.811938E-4</v>
      </c>
      <c r="L304" s="4">
        <v>0</v>
      </c>
      <c r="M304" s="4">
        <v>9.6478224000000001E-2</v>
      </c>
      <c r="N304" s="4">
        <v>0.40604758000000002</v>
      </c>
      <c r="O304" s="4">
        <v>0</v>
      </c>
      <c r="P304" s="4">
        <v>17</v>
      </c>
      <c r="Q304" s="4">
        <v>65</v>
      </c>
      <c r="R304" s="4">
        <v>0</v>
      </c>
      <c r="S304" s="6">
        <v>0.04</v>
      </c>
      <c r="T304" s="6">
        <v>0.14799999999999999</v>
      </c>
    </row>
    <row r="305" spans="1:20" ht="18" x14ac:dyDescent="0.2">
      <c r="A305" s="4" t="s">
        <v>1484</v>
      </c>
      <c r="B305" s="4" t="s">
        <v>2199</v>
      </c>
      <c r="C305" s="4" t="s">
        <v>1929</v>
      </c>
      <c r="D305" s="4">
        <v>2</v>
      </c>
      <c r="E305" s="4" t="s">
        <v>116</v>
      </c>
      <c r="F305" s="4">
        <v>0</v>
      </c>
      <c r="G305" s="4">
        <v>3</v>
      </c>
      <c r="H305" s="4">
        <v>3</v>
      </c>
      <c r="I305" s="4">
        <v>0</v>
      </c>
      <c r="J305" s="5">
        <v>1.5391706E-4</v>
      </c>
      <c r="K305" s="5">
        <v>1.3522696E-4</v>
      </c>
      <c r="L305" s="4">
        <v>0</v>
      </c>
      <c r="M305" s="4">
        <v>3.0386090000000001E-2</v>
      </c>
      <c r="N305" s="4">
        <v>3.0386090000000001E-2</v>
      </c>
      <c r="O305" s="4">
        <v>0</v>
      </c>
      <c r="P305" s="4">
        <v>6</v>
      </c>
      <c r="Q305" s="4">
        <v>9</v>
      </c>
      <c r="R305" s="4">
        <v>0</v>
      </c>
      <c r="S305" s="6">
        <v>1.2999999999999999E-2</v>
      </c>
      <c r="T305" s="6">
        <v>1.2999999999999999E-2</v>
      </c>
    </row>
    <row r="306" spans="1:20" ht="18" x14ac:dyDescent="0.2">
      <c r="A306" s="4" t="s">
        <v>1485</v>
      </c>
      <c r="B306" s="4" t="s">
        <v>2200</v>
      </c>
      <c r="C306" s="4" t="s">
        <v>1929</v>
      </c>
      <c r="D306" s="4">
        <v>2</v>
      </c>
      <c r="E306" s="4" t="s">
        <v>116</v>
      </c>
      <c r="F306" s="4">
        <v>0</v>
      </c>
      <c r="G306" s="4">
        <v>39</v>
      </c>
      <c r="H306" s="4">
        <v>44</v>
      </c>
      <c r="I306" s="4">
        <v>0</v>
      </c>
      <c r="J306" s="4">
        <v>5.1378989999999996E-3</v>
      </c>
      <c r="K306" s="4">
        <v>3.3338729000000002E-3</v>
      </c>
      <c r="L306" s="4">
        <v>0</v>
      </c>
      <c r="M306" s="4">
        <v>1.3604782</v>
      </c>
      <c r="N306" s="4">
        <v>2.0130059999999999</v>
      </c>
      <c r="O306" s="4">
        <v>0</v>
      </c>
      <c r="P306" s="4">
        <v>102</v>
      </c>
      <c r="Q306" s="4">
        <v>113</v>
      </c>
      <c r="R306" s="4">
        <v>0</v>
      </c>
      <c r="S306" s="6">
        <v>0.373</v>
      </c>
      <c r="T306" s="6">
        <v>0.47899999999999998</v>
      </c>
    </row>
    <row r="307" spans="1:20" ht="18" x14ac:dyDescent="0.2">
      <c r="A307" s="4" t="s">
        <v>1486</v>
      </c>
      <c r="B307" s="4" t="s">
        <v>2201</v>
      </c>
      <c r="C307" s="4" t="s">
        <v>1929</v>
      </c>
      <c r="D307" s="4">
        <v>2</v>
      </c>
      <c r="E307" s="4" t="s">
        <v>116</v>
      </c>
      <c r="F307" s="4">
        <v>0</v>
      </c>
      <c r="G307" s="4">
        <v>2</v>
      </c>
      <c r="H307" s="4">
        <v>3</v>
      </c>
      <c r="I307" s="4">
        <v>0</v>
      </c>
      <c r="J307" s="5">
        <v>2.9514305000000001E-4</v>
      </c>
      <c r="K307" s="5">
        <v>8.6434629999999996E-5</v>
      </c>
      <c r="L307" s="4">
        <v>0</v>
      </c>
      <c r="M307" s="4">
        <v>4.4720173000000002E-2</v>
      </c>
      <c r="N307" s="4">
        <v>4.4720173000000002E-2</v>
      </c>
      <c r="O307" s="4">
        <v>0</v>
      </c>
      <c r="P307" s="4">
        <v>14</v>
      </c>
      <c r="Q307" s="4">
        <v>7</v>
      </c>
      <c r="R307" s="4">
        <v>0</v>
      </c>
      <c r="S307" s="6">
        <v>1.9E-2</v>
      </c>
      <c r="T307" s="6">
        <v>1.9E-2</v>
      </c>
    </row>
    <row r="308" spans="1:20" ht="18" x14ac:dyDescent="0.2">
      <c r="A308" s="4" t="s">
        <v>1487</v>
      </c>
      <c r="B308" s="4" t="s">
        <v>2202</v>
      </c>
      <c r="C308" s="4" t="s">
        <v>1929</v>
      </c>
      <c r="D308" s="4">
        <v>2</v>
      </c>
      <c r="E308" s="4" t="s">
        <v>116</v>
      </c>
      <c r="F308" s="4">
        <v>0</v>
      </c>
      <c r="G308" s="4">
        <v>9</v>
      </c>
      <c r="H308" s="4">
        <v>24</v>
      </c>
      <c r="I308" s="4">
        <v>0</v>
      </c>
      <c r="J308" s="5">
        <v>2.3354083999999999E-4</v>
      </c>
      <c r="K308" s="5">
        <v>4.9454130000000003E-4</v>
      </c>
      <c r="L308" s="4">
        <v>0</v>
      </c>
      <c r="M308" s="4">
        <v>0.11686325</v>
      </c>
      <c r="N308" s="4">
        <v>0.36458312999999998</v>
      </c>
      <c r="O308" s="4">
        <v>0</v>
      </c>
      <c r="P308" s="4">
        <v>13</v>
      </c>
      <c r="Q308" s="4">
        <v>47</v>
      </c>
      <c r="R308" s="4">
        <v>0</v>
      </c>
      <c r="S308" s="6">
        <v>4.8000000000000001E-2</v>
      </c>
      <c r="T308" s="6">
        <v>0.13500000000000001</v>
      </c>
    </row>
    <row r="309" spans="1:20" ht="18" x14ac:dyDescent="0.2">
      <c r="A309" s="4" t="s">
        <v>1488</v>
      </c>
      <c r="B309" s="4" t="s">
        <v>2203</v>
      </c>
      <c r="C309" s="4" t="s">
        <v>1929</v>
      </c>
      <c r="D309" s="4">
        <v>2</v>
      </c>
      <c r="E309" s="4" t="s">
        <v>116</v>
      </c>
      <c r="F309" s="4">
        <v>0</v>
      </c>
      <c r="G309" s="4">
        <v>3</v>
      </c>
      <c r="H309" s="4">
        <v>3</v>
      </c>
      <c r="I309" s="4">
        <v>0</v>
      </c>
      <c r="J309" s="4">
        <v>7.4644940000000003E-3</v>
      </c>
      <c r="K309" s="4">
        <v>3.1796763999999999E-3</v>
      </c>
      <c r="L309" s="4">
        <v>0</v>
      </c>
      <c r="M309" s="4">
        <v>1.004472</v>
      </c>
      <c r="N309" s="4">
        <v>1.004472</v>
      </c>
      <c r="O309" s="4">
        <v>0</v>
      </c>
      <c r="P309" s="4">
        <v>22</v>
      </c>
      <c r="Q309" s="4">
        <v>16</v>
      </c>
      <c r="R309" s="4">
        <v>0</v>
      </c>
      <c r="S309" s="6">
        <v>0.30199999999999999</v>
      </c>
      <c r="T309" s="6">
        <v>0.30199999999999999</v>
      </c>
    </row>
    <row r="310" spans="1:20" ht="18" x14ac:dyDescent="0.2">
      <c r="A310" s="4" t="s">
        <v>1489</v>
      </c>
      <c r="B310" s="4" t="s">
        <v>2204</v>
      </c>
      <c r="C310" s="4" t="s">
        <v>1967</v>
      </c>
      <c r="D310" s="4">
        <v>2</v>
      </c>
      <c r="E310" s="4" t="s">
        <v>116</v>
      </c>
      <c r="F310" s="4">
        <v>0</v>
      </c>
      <c r="G310" s="4">
        <v>6</v>
      </c>
      <c r="H310" s="4">
        <v>5</v>
      </c>
      <c r="I310" s="4">
        <v>0</v>
      </c>
      <c r="J310" s="5">
        <v>9.5652370000000005E-4</v>
      </c>
      <c r="K310" s="5">
        <v>4.4819905E-4</v>
      </c>
      <c r="L310" s="4">
        <v>0</v>
      </c>
      <c r="M310" s="4">
        <v>0.37404190999999998</v>
      </c>
      <c r="N310" s="4">
        <v>0.21618604999999999</v>
      </c>
      <c r="O310" s="4">
        <v>0</v>
      </c>
      <c r="P310" s="4">
        <v>10</v>
      </c>
      <c r="Q310" s="4">
        <v>8</v>
      </c>
      <c r="R310" s="4">
        <v>0</v>
      </c>
      <c r="S310" s="6">
        <v>0.13800000000000001</v>
      </c>
      <c r="T310" s="6">
        <v>8.5000000000000006E-2</v>
      </c>
    </row>
    <row r="311" spans="1:20" ht="18" x14ac:dyDescent="0.2">
      <c r="A311" s="4" t="s">
        <v>1490</v>
      </c>
      <c r="B311" s="4" t="s">
        <v>2205</v>
      </c>
      <c r="C311" s="4" t="s">
        <v>271</v>
      </c>
      <c r="D311" s="4">
        <v>2</v>
      </c>
      <c r="E311" s="4" t="s">
        <v>116</v>
      </c>
      <c r="F311" s="4">
        <v>0</v>
      </c>
      <c r="G311" s="4">
        <v>9</v>
      </c>
      <c r="H311" s="4">
        <v>3</v>
      </c>
      <c r="I311" s="4">
        <v>0</v>
      </c>
      <c r="J311" s="4">
        <v>1.1495755000000001E-3</v>
      </c>
      <c r="K311" s="5">
        <v>1.9237766E-4</v>
      </c>
      <c r="L311" s="4">
        <v>0</v>
      </c>
      <c r="M311" s="4">
        <v>0.64058983000000003</v>
      </c>
      <c r="N311" s="4">
        <v>0.12201846</v>
      </c>
      <c r="O311" s="4">
        <v>0</v>
      </c>
      <c r="P311" s="4">
        <v>14</v>
      </c>
      <c r="Q311" s="4">
        <v>4</v>
      </c>
      <c r="R311" s="4">
        <v>0</v>
      </c>
      <c r="S311" s="6">
        <v>0.215</v>
      </c>
      <c r="T311" s="6">
        <v>0.05</v>
      </c>
    </row>
    <row r="312" spans="1:20" ht="18" x14ac:dyDescent="0.2">
      <c r="A312" s="4" t="s">
        <v>1491</v>
      </c>
      <c r="B312" s="4" t="s">
        <v>2206</v>
      </c>
      <c r="C312" s="4" t="s">
        <v>271</v>
      </c>
      <c r="D312" s="4">
        <v>2</v>
      </c>
      <c r="E312" s="4" t="s">
        <v>116</v>
      </c>
      <c r="F312" s="4">
        <v>0</v>
      </c>
      <c r="G312" s="4">
        <v>14</v>
      </c>
      <c r="H312" s="4">
        <v>6</v>
      </c>
      <c r="I312" s="4">
        <v>0</v>
      </c>
      <c r="J312" s="4">
        <v>2.2794899999999999E-3</v>
      </c>
      <c r="K312" s="5">
        <v>9.3953457000000001E-4</v>
      </c>
      <c r="L312" s="4">
        <v>0</v>
      </c>
      <c r="M312" s="4">
        <v>0.52405274000000002</v>
      </c>
      <c r="N312" s="4">
        <v>0.28233063000000003</v>
      </c>
      <c r="O312" s="4">
        <v>0</v>
      </c>
      <c r="P312" s="4">
        <v>27</v>
      </c>
      <c r="Q312" s="4">
        <v>19</v>
      </c>
      <c r="R312" s="4">
        <v>0</v>
      </c>
      <c r="S312" s="6">
        <v>0.183</v>
      </c>
      <c r="T312" s="6">
        <v>0.108</v>
      </c>
    </row>
    <row r="313" spans="1:20" ht="18" x14ac:dyDescent="0.2">
      <c r="A313" s="4" t="s">
        <v>1492</v>
      </c>
      <c r="B313" s="4" t="s">
        <v>2207</v>
      </c>
      <c r="C313" s="4" t="s">
        <v>271</v>
      </c>
      <c r="D313" s="4">
        <v>2</v>
      </c>
      <c r="E313" s="4" t="s">
        <v>116</v>
      </c>
      <c r="F313" s="4">
        <v>0</v>
      </c>
      <c r="G313" s="4">
        <v>9</v>
      </c>
      <c r="H313" s="4">
        <v>6</v>
      </c>
      <c r="I313" s="4">
        <v>0</v>
      </c>
      <c r="J313" s="4">
        <v>2.9971075999999999E-3</v>
      </c>
      <c r="K313" s="5">
        <v>5.0155610000000004E-4</v>
      </c>
      <c r="L313" s="4">
        <v>0</v>
      </c>
      <c r="M313" s="4">
        <v>0.60694119999999996</v>
      </c>
      <c r="N313" s="4">
        <v>0.19949937000000001</v>
      </c>
      <c r="O313" s="4">
        <v>0</v>
      </c>
      <c r="P313" s="4">
        <v>21</v>
      </c>
      <c r="Q313" s="4">
        <v>6</v>
      </c>
      <c r="R313" s="4">
        <v>0</v>
      </c>
      <c r="S313" s="6">
        <v>0.20599999999999999</v>
      </c>
      <c r="T313" s="6">
        <v>7.9000000000000001E-2</v>
      </c>
    </row>
    <row r="314" spans="1:20" ht="18" x14ac:dyDescent="0.2">
      <c r="A314" s="4" t="s">
        <v>1493</v>
      </c>
      <c r="B314" s="4" t="s">
        <v>2208</v>
      </c>
      <c r="C314" s="4" t="s">
        <v>271</v>
      </c>
      <c r="D314" s="4">
        <v>2</v>
      </c>
      <c r="E314" s="4" t="s">
        <v>116</v>
      </c>
      <c r="F314" s="4">
        <v>0</v>
      </c>
      <c r="G314" s="4">
        <v>9</v>
      </c>
      <c r="H314" s="4">
        <v>6</v>
      </c>
      <c r="I314" s="4">
        <v>0</v>
      </c>
      <c r="J314" s="4">
        <v>2.9971075999999999E-3</v>
      </c>
      <c r="K314" s="5">
        <v>5.0155610000000004E-4</v>
      </c>
      <c r="L314" s="4">
        <v>0</v>
      </c>
      <c r="M314" s="4">
        <v>0.60694119999999996</v>
      </c>
      <c r="N314" s="4">
        <v>0.19949937000000001</v>
      </c>
      <c r="O314" s="4">
        <v>0</v>
      </c>
      <c r="P314" s="4">
        <v>21</v>
      </c>
      <c r="Q314" s="4">
        <v>6</v>
      </c>
      <c r="R314" s="4">
        <v>0</v>
      </c>
      <c r="S314" s="6">
        <v>0.20599999999999999</v>
      </c>
      <c r="T314" s="6">
        <v>7.9000000000000001E-2</v>
      </c>
    </row>
    <row r="315" spans="1:20" ht="18" x14ac:dyDescent="0.2">
      <c r="A315" s="4" t="s">
        <v>1494</v>
      </c>
      <c r="B315" s="4" t="s">
        <v>2209</v>
      </c>
      <c r="C315" s="4" t="s">
        <v>271</v>
      </c>
      <c r="D315" s="4">
        <v>2</v>
      </c>
      <c r="E315" s="4" t="s">
        <v>116</v>
      </c>
      <c r="F315" s="4">
        <v>0</v>
      </c>
      <c r="G315" s="4">
        <v>9</v>
      </c>
      <c r="H315" s="4">
        <v>6</v>
      </c>
      <c r="I315" s="4">
        <v>0</v>
      </c>
      <c r="J315" s="4">
        <v>2.9971075999999999E-3</v>
      </c>
      <c r="K315" s="5">
        <v>5.0155610000000004E-4</v>
      </c>
      <c r="L315" s="4">
        <v>0</v>
      </c>
      <c r="M315" s="4">
        <v>0.60694119999999996</v>
      </c>
      <c r="N315" s="4">
        <v>0.19949937000000001</v>
      </c>
      <c r="O315" s="4">
        <v>0</v>
      </c>
      <c r="P315" s="4">
        <v>21</v>
      </c>
      <c r="Q315" s="4">
        <v>6</v>
      </c>
      <c r="R315" s="4">
        <v>0</v>
      </c>
      <c r="S315" s="6">
        <v>0.20599999999999999</v>
      </c>
      <c r="T315" s="6">
        <v>7.9000000000000001E-2</v>
      </c>
    </row>
    <row r="316" spans="1:20" ht="18" x14ac:dyDescent="0.2">
      <c r="A316" s="4" t="s">
        <v>1495</v>
      </c>
      <c r="B316" s="4" t="s">
        <v>2210</v>
      </c>
      <c r="C316" s="4" t="s">
        <v>271</v>
      </c>
      <c r="D316" s="4">
        <v>2</v>
      </c>
      <c r="E316" s="4" t="s">
        <v>116</v>
      </c>
      <c r="F316" s="4">
        <v>0</v>
      </c>
      <c r="G316" s="4">
        <v>5</v>
      </c>
      <c r="H316" s="4">
        <v>3</v>
      </c>
      <c r="I316" s="4">
        <v>0</v>
      </c>
      <c r="J316" s="5">
        <v>8.5225806000000003E-4</v>
      </c>
      <c r="K316" s="5">
        <v>1.9967162E-4</v>
      </c>
      <c r="L316" s="4">
        <v>0</v>
      </c>
      <c r="M316" s="4">
        <v>0.17760598999999999</v>
      </c>
      <c r="N316" s="4">
        <v>0.12719749999999999</v>
      </c>
      <c r="O316" s="4">
        <v>0</v>
      </c>
      <c r="P316" s="4">
        <v>10</v>
      </c>
      <c r="Q316" s="4">
        <v>4</v>
      </c>
      <c r="R316" s="4">
        <v>0</v>
      </c>
      <c r="S316" s="6">
        <v>7.0999999999999994E-2</v>
      </c>
      <c r="T316" s="6">
        <v>5.1999999999999998E-2</v>
      </c>
    </row>
    <row r="317" spans="1:20" ht="18" x14ac:dyDescent="0.2">
      <c r="A317" s="4" t="s">
        <v>1496</v>
      </c>
      <c r="B317" s="4" t="s">
        <v>2211</v>
      </c>
      <c r="C317" s="4" t="s">
        <v>271</v>
      </c>
      <c r="D317" s="4">
        <v>2</v>
      </c>
      <c r="E317" s="4" t="s">
        <v>116</v>
      </c>
      <c r="F317" s="4">
        <v>0</v>
      </c>
      <c r="G317" s="4">
        <v>9</v>
      </c>
      <c r="H317" s="4">
        <v>6</v>
      </c>
      <c r="I317" s="4">
        <v>0</v>
      </c>
      <c r="J317" s="4">
        <v>2.9971075999999999E-3</v>
      </c>
      <c r="K317" s="5">
        <v>5.0155610000000004E-4</v>
      </c>
      <c r="L317" s="4">
        <v>0</v>
      </c>
      <c r="M317" s="4">
        <v>0.60694119999999996</v>
      </c>
      <c r="N317" s="4">
        <v>0.19949937000000001</v>
      </c>
      <c r="O317" s="4">
        <v>0</v>
      </c>
      <c r="P317" s="4">
        <v>21</v>
      </c>
      <c r="Q317" s="4">
        <v>6</v>
      </c>
      <c r="R317" s="4">
        <v>0</v>
      </c>
      <c r="S317" s="6">
        <v>0.20599999999999999</v>
      </c>
      <c r="T317" s="6">
        <v>7.9000000000000001E-2</v>
      </c>
    </row>
    <row r="318" spans="1:20" ht="18" x14ac:dyDescent="0.2">
      <c r="A318" s="4" t="s">
        <v>1497</v>
      </c>
      <c r="B318" s="4" t="s">
        <v>2212</v>
      </c>
      <c r="C318" s="4" t="s">
        <v>271</v>
      </c>
      <c r="D318" s="4">
        <v>2</v>
      </c>
      <c r="E318" s="4" t="s">
        <v>116</v>
      </c>
      <c r="F318" s="4">
        <v>0</v>
      </c>
      <c r="G318" s="4">
        <v>14</v>
      </c>
      <c r="H318" s="4">
        <v>6</v>
      </c>
      <c r="I318" s="4">
        <v>0</v>
      </c>
      <c r="J318" s="4">
        <v>2.1969746000000002E-3</v>
      </c>
      <c r="K318" s="5">
        <v>9.0552435999999997E-4</v>
      </c>
      <c r="L318" s="4">
        <v>0</v>
      </c>
      <c r="M318" s="4">
        <v>0.49968479999999998</v>
      </c>
      <c r="N318" s="4">
        <v>0.27057409999999998</v>
      </c>
      <c r="O318" s="4">
        <v>0</v>
      </c>
      <c r="P318" s="4">
        <v>27</v>
      </c>
      <c r="Q318" s="4">
        <v>19</v>
      </c>
      <c r="R318" s="4">
        <v>0</v>
      </c>
      <c r="S318" s="6">
        <v>0.17599999999999999</v>
      </c>
      <c r="T318" s="6">
        <v>0.104</v>
      </c>
    </row>
    <row r="319" spans="1:20" ht="18" x14ac:dyDescent="0.2">
      <c r="A319" s="4" t="s">
        <v>1498</v>
      </c>
      <c r="B319" s="4" t="s">
        <v>2213</v>
      </c>
      <c r="C319" s="4" t="s">
        <v>271</v>
      </c>
      <c r="D319" s="4">
        <v>2</v>
      </c>
      <c r="E319" s="4" t="s">
        <v>116</v>
      </c>
      <c r="F319" s="4">
        <v>0</v>
      </c>
      <c r="G319" s="4">
        <v>6</v>
      </c>
      <c r="H319" s="4">
        <v>2</v>
      </c>
      <c r="I319" s="4">
        <v>0</v>
      </c>
      <c r="J319" s="4">
        <v>1.5196601E-3</v>
      </c>
      <c r="K319" s="5">
        <v>9.889838E-5</v>
      </c>
      <c r="L319" s="4">
        <v>0</v>
      </c>
      <c r="M319" s="4">
        <v>0.15080035</v>
      </c>
      <c r="N319" s="4">
        <v>0.13762724000000001</v>
      </c>
      <c r="O319" s="4">
        <v>0</v>
      </c>
      <c r="P319" s="4">
        <v>18</v>
      </c>
      <c r="Q319" s="4">
        <v>2</v>
      </c>
      <c r="R319" s="4">
        <v>0</v>
      </c>
      <c r="S319" s="6">
        <v>6.0999999999999999E-2</v>
      </c>
      <c r="T319" s="6">
        <v>5.6000000000000001E-2</v>
      </c>
    </row>
    <row r="320" spans="1:20" ht="18" x14ac:dyDescent="0.2">
      <c r="A320" s="4" t="s">
        <v>1499</v>
      </c>
      <c r="B320" s="4" t="s">
        <v>2214</v>
      </c>
      <c r="C320" s="4" t="s">
        <v>271</v>
      </c>
      <c r="D320" s="4">
        <v>2</v>
      </c>
      <c r="E320" s="4" t="s">
        <v>116</v>
      </c>
      <c r="F320" s="4">
        <v>0</v>
      </c>
      <c r="G320" s="4">
        <v>14</v>
      </c>
      <c r="H320" s="4">
        <v>6</v>
      </c>
      <c r="I320" s="4">
        <v>0</v>
      </c>
      <c r="J320" s="4">
        <v>2.2170382999999998E-3</v>
      </c>
      <c r="K320" s="5">
        <v>9.1379389999999997E-4</v>
      </c>
      <c r="L320" s="4">
        <v>0</v>
      </c>
      <c r="M320" s="4">
        <v>0.50660706</v>
      </c>
      <c r="N320" s="4">
        <v>0.27350307000000001</v>
      </c>
      <c r="O320" s="4">
        <v>0</v>
      </c>
      <c r="P320" s="4">
        <v>27</v>
      </c>
      <c r="Q320" s="4">
        <v>19</v>
      </c>
      <c r="R320" s="4">
        <v>0</v>
      </c>
      <c r="S320" s="6">
        <v>0.17799999999999999</v>
      </c>
      <c r="T320" s="6">
        <v>0.105</v>
      </c>
    </row>
    <row r="321" spans="1:20" ht="18" x14ac:dyDescent="0.2">
      <c r="A321" s="4" t="s">
        <v>1500</v>
      </c>
      <c r="B321" s="4" t="s">
        <v>2215</v>
      </c>
      <c r="C321" s="4" t="s">
        <v>2088</v>
      </c>
      <c r="D321" s="4">
        <v>2</v>
      </c>
      <c r="E321" s="4" t="s">
        <v>116</v>
      </c>
      <c r="F321" s="4">
        <v>0</v>
      </c>
      <c r="G321" s="4">
        <v>11</v>
      </c>
      <c r="H321" s="4">
        <v>9</v>
      </c>
      <c r="I321" s="4">
        <v>0</v>
      </c>
      <c r="J321" s="4">
        <v>1.701061E-3</v>
      </c>
      <c r="K321" s="4">
        <v>1.2335568000000001E-3</v>
      </c>
      <c r="L321" s="4">
        <v>0</v>
      </c>
      <c r="M321" s="4">
        <v>1.2908678</v>
      </c>
      <c r="N321" s="4">
        <v>1.2908678</v>
      </c>
      <c r="O321" s="4">
        <v>0</v>
      </c>
      <c r="P321" s="4">
        <v>21</v>
      </c>
      <c r="Q321" s="4">
        <v>26</v>
      </c>
      <c r="R321" s="4">
        <v>0</v>
      </c>
      <c r="S321" s="6">
        <v>0.36</v>
      </c>
      <c r="T321" s="6">
        <v>0.36</v>
      </c>
    </row>
    <row r="322" spans="1:20" ht="18" x14ac:dyDescent="0.2">
      <c r="A322" s="4" t="s">
        <v>1501</v>
      </c>
      <c r="B322" s="4" t="s">
        <v>2215</v>
      </c>
      <c r="C322" s="4" t="s">
        <v>2088</v>
      </c>
      <c r="D322" s="4">
        <v>2</v>
      </c>
      <c r="E322" s="4" t="s">
        <v>116</v>
      </c>
      <c r="F322" s="4">
        <v>0</v>
      </c>
      <c r="G322" s="4">
        <v>11</v>
      </c>
      <c r="H322" s="4">
        <v>9</v>
      </c>
      <c r="I322" s="4">
        <v>0</v>
      </c>
      <c r="J322" s="4">
        <v>1.6635926E-3</v>
      </c>
      <c r="K322" s="4">
        <v>1.206386E-3</v>
      </c>
      <c r="L322" s="4">
        <v>0</v>
      </c>
      <c r="M322" s="4">
        <v>1.2490547000000001</v>
      </c>
      <c r="N322" s="4">
        <v>1.2490547000000001</v>
      </c>
      <c r="O322" s="4">
        <v>0</v>
      </c>
      <c r="P322" s="4">
        <v>21</v>
      </c>
      <c r="Q322" s="4">
        <v>26</v>
      </c>
      <c r="R322" s="4">
        <v>0</v>
      </c>
      <c r="S322" s="6">
        <v>0.35199999999999998</v>
      </c>
      <c r="T322" s="6">
        <v>0.35199999999999998</v>
      </c>
    </row>
    <row r="323" spans="1:20" ht="18" x14ac:dyDescent="0.2">
      <c r="A323" s="4" t="s">
        <v>1502</v>
      </c>
      <c r="B323" s="4" t="s">
        <v>2216</v>
      </c>
      <c r="C323" s="4" t="s">
        <v>2088</v>
      </c>
      <c r="D323" s="4">
        <v>2</v>
      </c>
      <c r="E323" s="4" t="s">
        <v>116</v>
      </c>
      <c r="F323" s="4">
        <v>0</v>
      </c>
      <c r="G323" s="4">
        <v>12</v>
      </c>
      <c r="H323" s="4">
        <v>8</v>
      </c>
      <c r="I323" s="4">
        <v>0</v>
      </c>
      <c r="J323" s="4">
        <v>1.7646521000000001E-3</v>
      </c>
      <c r="K323" s="5">
        <v>5.9061740000000001E-4</v>
      </c>
      <c r="L323" s="4">
        <v>0</v>
      </c>
      <c r="M323" s="4">
        <v>0.69433783999999998</v>
      </c>
      <c r="N323" s="4">
        <v>0.64058983000000003</v>
      </c>
      <c r="O323" s="4">
        <v>0</v>
      </c>
      <c r="P323" s="4">
        <v>21</v>
      </c>
      <c r="Q323" s="4">
        <v>12</v>
      </c>
      <c r="R323" s="4">
        <v>0</v>
      </c>
      <c r="S323" s="6">
        <v>0.22900000000000001</v>
      </c>
      <c r="T323" s="6">
        <v>0.215</v>
      </c>
    </row>
    <row r="324" spans="1:20" ht="18" x14ac:dyDescent="0.2">
      <c r="A324" s="4" t="s">
        <v>1503</v>
      </c>
      <c r="B324" s="4" t="s">
        <v>2216</v>
      </c>
      <c r="C324" s="4" t="s">
        <v>2088</v>
      </c>
      <c r="D324" s="4">
        <v>2</v>
      </c>
      <c r="E324" s="4" t="s">
        <v>116</v>
      </c>
      <c r="F324" s="4">
        <v>0</v>
      </c>
      <c r="G324" s="4">
        <v>9</v>
      </c>
      <c r="H324" s="4">
        <v>10</v>
      </c>
      <c r="I324" s="4">
        <v>0</v>
      </c>
      <c r="J324" s="4">
        <v>1.3636130000000001E-3</v>
      </c>
      <c r="K324" s="5">
        <v>6.9885065999999996E-4</v>
      </c>
      <c r="L324" s="4">
        <v>0</v>
      </c>
      <c r="M324" s="4">
        <v>0.65196180000000004</v>
      </c>
      <c r="N324" s="4">
        <v>1.3173946999999999</v>
      </c>
      <c r="O324" s="4">
        <v>0</v>
      </c>
      <c r="P324" s="4">
        <v>16</v>
      </c>
      <c r="Q324" s="4">
        <v>14</v>
      </c>
      <c r="R324" s="4">
        <v>0</v>
      </c>
      <c r="S324" s="6">
        <v>0.218</v>
      </c>
      <c r="T324" s="6">
        <v>0.36499999999999999</v>
      </c>
    </row>
    <row r="325" spans="1:20" ht="18" x14ac:dyDescent="0.2">
      <c r="A325" s="4" t="s">
        <v>1504</v>
      </c>
      <c r="B325" s="4" t="s">
        <v>2217</v>
      </c>
      <c r="C325" s="4" t="s">
        <v>2088</v>
      </c>
      <c r="D325" s="4">
        <v>2</v>
      </c>
      <c r="E325" s="4" t="s">
        <v>116</v>
      </c>
      <c r="F325" s="4">
        <v>0</v>
      </c>
      <c r="G325" s="4">
        <v>12</v>
      </c>
      <c r="H325" s="4">
        <v>10</v>
      </c>
      <c r="I325" s="4">
        <v>0</v>
      </c>
      <c r="J325" s="4">
        <v>1.7646521000000001E-3</v>
      </c>
      <c r="K325" s="5">
        <v>6.8905370000000004E-4</v>
      </c>
      <c r="L325" s="4">
        <v>0</v>
      </c>
      <c r="M325" s="4">
        <v>0.69433783999999998</v>
      </c>
      <c r="N325" s="4">
        <v>1.2908678</v>
      </c>
      <c r="O325" s="4">
        <v>0</v>
      </c>
      <c r="P325" s="4">
        <v>21</v>
      </c>
      <c r="Q325" s="4">
        <v>14</v>
      </c>
      <c r="R325" s="4">
        <v>0</v>
      </c>
      <c r="S325" s="6">
        <v>0.22900000000000001</v>
      </c>
      <c r="T325" s="6">
        <v>0.36</v>
      </c>
    </row>
    <row r="326" spans="1:20" ht="18" x14ac:dyDescent="0.2">
      <c r="A326" s="4" t="s">
        <v>1505</v>
      </c>
      <c r="B326" s="4" t="s">
        <v>2216</v>
      </c>
      <c r="C326" s="4" t="s">
        <v>2088</v>
      </c>
      <c r="D326" s="4">
        <v>2</v>
      </c>
      <c r="E326" s="4" t="s">
        <v>116</v>
      </c>
      <c r="F326" s="4">
        <v>0</v>
      </c>
      <c r="G326" s="4">
        <v>6</v>
      </c>
      <c r="H326" s="4">
        <v>7</v>
      </c>
      <c r="I326" s="4">
        <v>0</v>
      </c>
      <c r="J326" s="5">
        <v>6.6602390000000005E-4</v>
      </c>
      <c r="K326" s="5">
        <v>4.3886157999999998E-4</v>
      </c>
      <c r="L326" s="4">
        <v>0</v>
      </c>
      <c r="M326" s="4">
        <v>0.40604758000000002</v>
      </c>
      <c r="N326" s="4">
        <v>0.95884466000000002</v>
      </c>
      <c r="O326" s="4">
        <v>0</v>
      </c>
      <c r="P326" s="4">
        <v>8</v>
      </c>
      <c r="Q326" s="4">
        <v>9</v>
      </c>
      <c r="R326" s="4">
        <v>0</v>
      </c>
      <c r="S326" s="6">
        <v>0.14799999999999999</v>
      </c>
      <c r="T326" s="6">
        <v>0.29199999999999998</v>
      </c>
    </row>
    <row r="327" spans="1:20" ht="18" x14ac:dyDescent="0.2">
      <c r="A327" s="4" t="s">
        <v>1506</v>
      </c>
      <c r="B327" s="4" t="s">
        <v>2218</v>
      </c>
      <c r="C327" s="4" t="s">
        <v>2088</v>
      </c>
      <c r="D327" s="4">
        <v>2</v>
      </c>
      <c r="E327" s="4" t="s">
        <v>116</v>
      </c>
      <c r="F327" s="4">
        <v>0</v>
      </c>
      <c r="G327" s="4">
        <v>3</v>
      </c>
      <c r="H327" s="4">
        <v>3</v>
      </c>
      <c r="I327" s="4">
        <v>0</v>
      </c>
      <c r="J327" s="5">
        <v>6.3430845000000006E-5</v>
      </c>
      <c r="K327" s="5">
        <v>4.6440380000000002E-5</v>
      </c>
      <c r="L327" s="4">
        <v>0</v>
      </c>
      <c r="M327" s="4">
        <v>4.4720173000000002E-2</v>
      </c>
      <c r="N327" s="4">
        <v>4.4720173000000002E-2</v>
      </c>
      <c r="O327" s="4">
        <v>0</v>
      </c>
      <c r="P327" s="4">
        <v>4</v>
      </c>
      <c r="Q327" s="4">
        <v>5</v>
      </c>
      <c r="R327" s="4">
        <v>0</v>
      </c>
      <c r="S327" s="6">
        <v>1.9E-2</v>
      </c>
      <c r="T327" s="6">
        <v>1.9E-2</v>
      </c>
    </row>
    <row r="328" spans="1:20" ht="18" x14ac:dyDescent="0.2">
      <c r="A328" s="4" t="s">
        <v>1507</v>
      </c>
      <c r="B328" s="4" t="s">
        <v>2219</v>
      </c>
      <c r="C328" s="4" t="s">
        <v>2088</v>
      </c>
      <c r="D328" s="4">
        <v>2</v>
      </c>
      <c r="E328" s="4" t="s">
        <v>116</v>
      </c>
      <c r="F328" s="4">
        <v>0</v>
      </c>
      <c r="G328" s="4">
        <v>3</v>
      </c>
      <c r="H328" s="4">
        <v>3</v>
      </c>
      <c r="I328" s="4">
        <v>0</v>
      </c>
      <c r="J328" s="4">
        <v>2.6575335999999999E-3</v>
      </c>
      <c r="K328" s="4">
        <v>1.2971278E-3</v>
      </c>
      <c r="L328" s="4">
        <v>0</v>
      </c>
      <c r="M328" s="4">
        <v>0.24165225000000001</v>
      </c>
      <c r="N328" s="4">
        <v>0.24165225000000001</v>
      </c>
      <c r="O328" s="4">
        <v>0</v>
      </c>
      <c r="P328" s="4">
        <v>30</v>
      </c>
      <c r="Q328" s="4">
        <v>25</v>
      </c>
      <c r="R328" s="4">
        <v>0</v>
      </c>
      <c r="S328" s="6">
        <v>9.4E-2</v>
      </c>
      <c r="T328" s="6">
        <v>9.4E-2</v>
      </c>
    </row>
    <row r="329" spans="1:20" ht="18" x14ac:dyDescent="0.2">
      <c r="A329" s="4" t="s">
        <v>1508</v>
      </c>
      <c r="B329" s="4" t="s">
        <v>2220</v>
      </c>
      <c r="C329" s="4" t="s">
        <v>2088</v>
      </c>
      <c r="D329" s="4">
        <v>2</v>
      </c>
      <c r="E329" s="4" t="s">
        <v>116</v>
      </c>
      <c r="F329" s="4">
        <v>0</v>
      </c>
      <c r="G329" s="4">
        <v>5</v>
      </c>
      <c r="H329" s="4">
        <v>4</v>
      </c>
      <c r="I329" s="4">
        <v>0</v>
      </c>
      <c r="J329" s="5">
        <v>7.6783280000000006E-5</v>
      </c>
      <c r="K329" s="5">
        <v>3.5978403000000003E-5</v>
      </c>
      <c r="L329" s="4">
        <v>0</v>
      </c>
      <c r="M329" s="4">
        <v>4.712856E-2</v>
      </c>
      <c r="N329" s="4">
        <v>4.4720173000000002E-2</v>
      </c>
      <c r="O329" s="4">
        <v>0</v>
      </c>
      <c r="P329" s="4">
        <v>5</v>
      </c>
      <c r="Q329" s="4">
        <v>4</v>
      </c>
      <c r="R329" s="4">
        <v>0</v>
      </c>
      <c r="S329" s="6">
        <v>0.02</v>
      </c>
      <c r="T329" s="6">
        <v>1.9E-2</v>
      </c>
    </row>
    <row r="330" spans="1:20" ht="18" x14ac:dyDescent="0.2">
      <c r="A330" s="4" t="s">
        <v>1509</v>
      </c>
      <c r="B330" s="4" t="s">
        <v>2221</v>
      </c>
      <c r="C330" s="4" t="s">
        <v>2088</v>
      </c>
      <c r="D330" s="4">
        <v>2</v>
      </c>
      <c r="E330" s="4" t="s">
        <v>116</v>
      </c>
      <c r="F330" s="4">
        <v>0</v>
      </c>
      <c r="G330" s="4">
        <v>3</v>
      </c>
      <c r="H330" s="4">
        <v>3</v>
      </c>
      <c r="I330" s="4">
        <v>0</v>
      </c>
      <c r="J330" s="5">
        <v>1.4646498E-4</v>
      </c>
      <c r="K330" s="5">
        <v>5.7191010000000003E-5</v>
      </c>
      <c r="L330" s="4">
        <v>0</v>
      </c>
      <c r="M330" s="4">
        <v>2.3293017999999999E-2</v>
      </c>
      <c r="N330" s="4">
        <v>2.3293017999999999E-2</v>
      </c>
      <c r="O330" s="4">
        <v>0</v>
      </c>
      <c r="P330" s="4">
        <v>9</v>
      </c>
      <c r="Q330" s="4">
        <v>6</v>
      </c>
      <c r="R330" s="4">
        <v>0</v>
      </c>
      <c r="S330" s="6">
        <v>0.01</v>
      </c>
      <c r="T330" s="6">
        <v>0.01</v>
      </c>
    </row>
    <row r="331" spans="1:20" ht="18" x14ac:dyDescent="0.2">
      <c r="A331" s="4" t="s">
        <v>1510</v>
      </c>
      <c r="B331" s="4" t="s">
        <v>2222</v>
      </c>
      <c r="C331" s="4" t="s">
        <v>2088</v>
      </c>
      <c r="D331" s="4">
        <v>2</v>
      </c>
      <c r="E331" s="4" t="s">
        <v>116</v>
      </c>
      <c r="F331" s="4">
        <v>0</v>
      </c>
      <c r="G331" s="4">
        <v>3</v>
      </c>
      <c r="H331" s="4">
        <v>3</v>
      </c>
      <c r="I331" s="4">
        <v>0</v>
      </c>
      <c r="J331" s="5">
        <v>2.5209313000000002E-4</v>
      </c>
      <c r="K331" s="5">
        <v>1.2304530000000001E-4</v>
      </c>
      <c r="L331" s="4">
        <v>0</v>
      </c>
      <c r="M331" s="4">
        <v>5.4386853999999998E-2</v>
      </c>
      <c r="N331" s="4">
        <v>5.4386853999999998E-2</v>
      </c>
      <c r="O331" s="4">
        <v>0</v>
      </c>
      <c r="P331" s="4">
        <v>6</v>
      </c>
      <c r="Q331" s="4">
        <v>5</v>
      </c>
      <c r="R331" s="4">
        <v>0</v>
      </c>
      <c r="S331" s="6">
        <v>2.3E-2</v>
      </c>
      <c r="T331" s="6">
        <v>2.3E-2</v>
      </c>
    </row>
    <row r="332" spans="1:20" ht="18" x14ac:dyDescent="0.2">
      <c r="A332" s="4" t="s">
        <v>1511</v>
      </c>
      <c r="B332" s="4" t="s">
        <v>2223</v>
      </c>
      <c r="C332" s="4" t="s">
        <v>2088</v>
      </c>
      <c r="D332" s="4">
        <v>2</v>
      </c>
      <c r="E332" s="4" t="s">
        <v>116</v>
      </c>
      <c r="F332" s="4">
        <v>0</v>
      </c>
      <c r="G332" s="4">
        <v>10</v>
      </c>
      <c r="H332" s="4">
        <v>10</v>
      </c>
      <c r="I332" s="4">
        <v>0</v>
      </c>
      <c r="J332" s="4">
        <v>1.8127667E-3</v>
      </c>
      <c r="K332" s="5">
        <v>7.6446849999999998E-4</v>
      </c>
      <c r="L332" s="4">
        <v>0</v>
      </c>
      <c r="M332" s="4">
        <v>0.37088179999999998</v>
      </c>
      <c r="N332" s="4">
        <v>0.59220874000000001</v>
      </c>
      <c r="O332" s="4">
        <v>0</v>
      </c>
      <c r="P332" s="4">
        <v>25</v>
      </c>
      <c r="Q332" s="4">
        <v>18</v>
      </c>
      <c r="R332" s="4">
        <v>0</v>
      </c>
      <c r="S332" s="6">
        <v>0.13700000000000001</v>
      </c>
      <c r="T332" s="6">
        <v>0.20200000000000001</v>
      </c>
    </row>
    <row r="333" spans="1:20" ht="18" x14ac:dyDescent="0.2">
      <c r="A333" s="4" t="s">
        <v>1512</v>
      </c>
      <c r="B333" s="4" t="s">
        <v>2224</v>
      </c>
      <c r="C333" s="4" t="s">
        <v>2088</v>
      </c>
      <c r="D333" s="4">
        <v>2</v>
      </c>
      <c r="E333" s="4" t="s">
        <v>116</v>
      </c>
      <c r="F333" s="4">
        <v>0</v>
      </c>
      <c r="G333" s="4">
        <v>15</v>
      </c>
      <c r="H333" s="4">
        <v>4</v>
      </c>
      <c r="I333" s="4">
        <v>0</v>
      </c>
      <c r="J333" s="4">
        <v>2.6471914999999999E-3</v>
      </c>
      <c r="K333" s="5">
        <v>3.7425760000000001E-4</v>
      </c>
      <c r="L333" s="4">
        <v>0</v>
      </c>
      <c r="M333" s="4">
        <v>1.1379621</v>
      </c>
      <c r="N333" s="4">
        <v>0.4521116</v>
      </c>
      <c r="O333" s="4">
        <v>0</v>
      </c>
      <c r="P333" s="4">
        <v>29</v>
      </c>
      <c r="Q333" s="4">
        <v>7</v>
      </c>
      <c r="R333" s="4">
        <v>0</v>
      </c>
      <c r="S333" s="6">
        <v>0.33</v>
      </c>
      <c r="T333" s="6">
        <v>0.16200000000000001</v>
      </c>
    </row>
    <row r="334" spans="1:20" ht="18" x14ac:dyDescent="0.2">
      <c r="A334" s="4" t="s">
        <v>1513</v>
      </c>
      <c r="B334" s="4" t="s">
        <v>2225</v>
      </c>
      <c r="C334" s="4" t="s">
        <v>2088</v>
      </c>
      <c r="D334" s="4">
        <v>2</v>
      </c>
      <c r="E334" s="4" t="s">
        <v>116</v>
      </c>
      <c r="F334" s="4">
        <v>0</v>
      </c>
      <c r="G334" s="4">
        <v>3</v>
      </c>
      <c r="H334" s="4">
        <v>6</v>
      </c>
      <c r="I334" s="4">
        <v>0</v>
      </c>
      <c r="J334" s="5">
        <v>4.8470738000000001E-5</v>
      </c>
      <c r="K334" s="5">
        <v>5.6779932000000003E-5</v>
      </c>
      <c r="L334" s="4">
        <v>0</v>
      </c>
      <c r="M334" s="4">
        <v>6.9054840000000006E-2</v>
      </c>
      <c r="N334" s="4">
        <v>0.14287830000000001</v>
      </c>
      <c r="O334" s="4">
        <v>0</v>
      </c>
      <c r="P334" s="4">
        <v>3</v>
      </c>
      <c r="Q334" s="4">
        <v>6</v>
      </c>
      <c r="R334" s="4">
        <v>0</v>
      </c>
      <c r="S334" s="6">
        <v>2.9000000000000001E-2</v>
      </c>
      <c r="T334" s="6">
        <v>5.8000000000000003E-2</v>
      </c>
    </row>
    <row r="335" spans="1:20" ht="18" x14ac:dyDescent="0.2">
      <c r="A335" s="4" t="s">
        <v>1514</v>
      </c>
      <c r="B335" s="4" t="s">
        <v>2226</v>
      </c>
      <c r="C335" s="4" t="s">
        <v>2088</v>
      </c>
      <c r="D335" s="4">
        <v>2</v>
      </c>
      <c r="E335" s="4" t="s">
        <v>116</v>
      </c>
      <c r="F335" s="4">
        <v>0</v>
      </c>
      <c r="G335" s="4">
        <v>12</v>
      </c>
      <c r="H335" s="4">
        <v>2</v>
      </c>
      <c r="I335" s="4">
        <v>0</v>
      </c>
      <c r="J335" s="5">
        <v>1.7487175000000001E-4</v>
      </c>
      <c r="K335" s="5">
        <v>1.7070789999999999E-5</v>
      </c>
      <c r="L335" s="4">
        <v>0</v>
      </c>
      <c r="M335" s="4">
        <v>0.17219532000000001</v>
      </c>
      <c r="N335" s="4">
        <v>3.0386090000000001E-2</v>
      </c>
      <c r="O335" s="4">
        <v>0</v>
      </c>
      <c r="P335" s="4">
        <v>12</v>
      </c>
      <c r="Q335" s="4">
        <v>2</v>
      </c>
      <c r="R335" s="4">
        <v>0</v>
      </c>
      <c r="S335" s="6">
        <v>6.9000000000000006E-2</v>
      </c>
      <c r="T335" s="6">
        <v>1.2999999999999999E-2</v>
      </c>
    </row>
    <row r="336" spans="1:20" ht="18" x14ac:dyDescent="0.2">
      <c r="A336" s="4" t="s">
        <v>1515</v>
      </c>
      <c r="B336" s="4" t="s">
        <v>2227</v>
      </c>
      <c r="C336" s="4" t="s">
        <v>2088</v>
      </c>
      <c r="D336" s="4">
        <v>2</v>
      </c>
      <c r="E336" s="4" t="s">
        <v>116</v>
      </c>
      <c r="F336" s="4">
        <v>0</v>
      </c>
      <c r="G336" s="4">
        <v>20</v>
      </c>
      <c r="H336" s="4">
        <v>21</v>
      </c>
      <c r="I336" s="4">
        <v>0</v>
      </c>
      <c r="J336" s="4">
        <v>4.5262434999999998E-3</v>
      </c>
      <c r="K336" s="4">
        <v>3.8691467999999998E-3</v>
      </c>
      <c r="L336" s="4">
        <v>0</v>
      </c>
      <c r="M336" s="4">
        <v>1.6853445</v>
      </c>
      <c r="N336" s="4">
        <v>1.6853445</v>
      </c>
      <c r="O336" s="4">
        <v>0</v>
      </c>
      <c r="P336" s="4">
        <v>37</v>
      </c>
      <c r="Q336" s="4">
        <v>54</v>
      </c>
      <c r="R336" s="4">
        <v>0</v>
      </c>
      <c r="S336" s="6">
        <v>0.42899999999999999</v>
      </c>
      <c r="T336" s="6">
        <v>0.42899999999999999</v>
      </c>
    </row>
    <row r="337" spans="1:20" ht="18" x14ac:dyDescent="0.2">
      <c r="A337" s="4" t="s">
        <v>1516</v>
      </c>
      <c r="B337" s="4" t="s">
        <v>2228</v>
      </c>
      <c r="C337" s="4" t="s">
        <v>2088</v>
      </c>
      <c r="D337" s="4">
        <v>2</v>
      </c>
      <c r="E337" s="4" t="s">
        <v>116</v>
      </c>
      <c r="F337" s="4">
        <v>0</v>
      </c>
      <c r="G337" s="4">
        <v>3</v>
      </c>
      <c r="H337" s="4">
        <v>3</v>
      </c>
      <c r="I337" s="4">
        <v>0</v>
      </c>
      <c r="J337" s="5">
        <v>2.8010349999999998E-4</v>
      </c>
      <c r="K337" s="5">
        <v>1.9687247E-4</v>
      </c>
      <c r="L337" s="4">
        <v>0</v>
      </c>
      <c r="M337" s="4">
        <v>0.12201846</v>
      </c>
      <c r="N337" s="4">
        <v>0.12201846</v>
      </c>
      <c r="O337" s="4">
        <v>0</v>
      </c>
      <c r="P337" s="4">
        <v>5</v>
      </c>
      <c r="Q337" s="4">
        <v>6</v>
      </c>
      <c r="R337" s="4">
        <v>0</v>
      </c>
      <c r="S337" s="6">
        <v>0.05</v>
      </c>
      <c r="T337" s="6">
        <v>0.05</v>
      </c>
    </row>
    <row r="338" spans="1:20" ht="18" x14ac:dyDescent="0.2">
      <c r="A338" s="4" t="s">
        <v>1517</v>
      </c>
      <c r="B338" s="4" t="s">
        <v>2229</v>
      </c>
      <c r="C338" s="4" t="s">
        <v>2088</v>
      </c>
      <c r="D338" s="4">
        <v>2</v>
      </c>
      <c r="E338" s="4" t="s">
        <v>116</v>
      </c>
      <c r="F338" s="4">
        <v>0</v>
      </c>
      <c r="G338" s="4">
        <v>3</v>
      </c>
      <c r="H338" s="4">
        <v>3</v>
      </c>
      <c r="I338" s="4">
        <v>0</v>
      </c>
      <c r="J338" s="5">
        <v>1.6702146999999999E-4</v>
      </c>
      <c r="K338" s="5">
        <v>9.7826730000000005E-5</v>
      </c>
      <c r="L338" s="4">
        <v>0</v>
      </c>
      <c r="M338" s="4">
        <v>0.24738347999999999</v>
      </c>
      <c r="N338" s="4">
        <v>0.12201846</v>
      </c>
      <c r="O338" s="4">
        <v>0</v>
      </c>
      <c r="P338" s="4">
        <v>3</v>
      </c>
      <c r="Q338" s="4">
        <v>3</v>
      </c>
      <c r="R338" s="4">
        <v>0</v>
      </c>
      <c r="S338" s="6">
        <v>9.6000000000000002E-2</v>
      </c>
      <c r="T338" s="6">
        <v>0.05</v>
      </c>
    </row>
    <row r="339" spans="1:20" ht="18" x14ac:dyDescent="0.2">
      <c r="A339" s="4" t="s">
        <v>1518</v>
      </c>
      <c r="B339" s="4" t="s">
        <v>2230</v>
      </c>
      <c r="C339" s="4" t="s">
        <v>2088</v>
      </c>
      <c r="D339" s="4">
        <v>2</v>
      </c>
      <c r="E339" s="4" t="s">
        <v>116</v>
      </c>
      <c r="F339" s="4">
        <v>0</v>
      </c>
      <c r="G339" s="4">
        <v>131</v>
      </c>
      <c r="H339" s="4">
        <v>70</v>
      </c>
      <c r="I339" s="4">
        <v>0</v>
      </c>
      <c r="J339" s="4">
        <v>9.9056939999999996E-3</v>
      </c>
      <c r="K339" s="4">
        <v>1.8893362E-3</v>
      </c>
      <c r="L339" s="4">
        <v>0</v>
      </c>
      <c r="M339" s="4">
        <v>3.1399965000000001</v>
      </c>
      <c r="N339" s="4">
        <v>1.3496326999999999</v>
      </c>
      <c r="O339" s="4">
        <v>0</v>
      </c>
      <c r="P339" s="4">
        <v>390</v>
      </c>
      <c r="Q339" s="4">
        <v>127</v>
      </c>
      <c r="R339" s="4">
        <v>0</v>
      </c>
      <c r="S339" s="6">
        <v>0.61699999999999999</v>
      </c>
      <c r="T339" s="6">
        <v>0.371</v>
      </c>
    </row>
    <row r="340" spans="1:20" ht="18" x14ac:dyDescent="0.2">
      <c r="A340" s="4" t="s">
        <v>1519</v>
      </c>
      <c r="B340" s="4" t="s">
        <v>2231</v>
      </c>
      <c r="C340" s="4" t="s">
        <v>2088</v>
      </c>
      <c r="D340" s="4">
        <v>2</v>
      </c>
      <c r="E340" s="4" t="s">
        <v>116</v>
      </c>
      <c r="F340" s="4">
        <v>0</v>
      </c>
      <c r="G340" s="4">
        <v>42</v>
      </c>
      <c r="H340" s="4">
        <v>28</v>
      </c>
      <c r="I340" s="4">
        <v>0</v>
      </c>
      <c r="J340" s="4">
        <v>5.6130800000000003E-3</v>
      </c>
      <c r="K340" s="4">
        <v>1.6438283000000001E-3</v>
      </c>
      <c r="L340" s="4">
        <v>0</v>
      </c>
      <c r="M340" s="4">
        <v>1.9785166000000001</v>
      </c>
      <c r="N340" s="4">
        <v>1.4378108999999999</v>
      </c>
      <c r="O340" s="4">
        <v>0</v>
      </c>
      <c r="P340" s="4">
        <v>108</v>
      </c>
      <c r="Q340" s="4">
        <v>54</v>
      </c>
      <c r="R340" s="4">
        <v>0</v>
      </c>
      <c r="S340" s="6">
        <v>0.47399999999999998</v>
      </c>
      <c r="T340" s="6">
        <v>0.38700000000000001</v>
      </c>
    </row>
    <row r="341" spans="1:20" ht="18" x14ac:dyDescent="0.2">
      <c r="A341" s="4" t="s">
        <v>1520</v>
      </c>
      <c r="B341" s="4" t="s">
        <v>2232</v>
      </c>
      <c r="C341" s="4" t="s">
        <v>2088</v>
      </c>
      <c r="D341" s="4">
        <v>2</v>
      </c>
      <c r="E341" s="4" t="s">
        <v>116</v>
      </c>
      <c r="F341" s="4">
        <v>0</v>
      </c>
      <c r="G341" s="4">
        <v>12</v>
      </c>
      <c r="H341" s="4">
        <v>14</v>
      </c>
      <c r="I341" s="4">
        <v>0</v>
      </c>
      <c r="J341" s="4">
        <v>3.1969147000000002E-3</v>
      </c>
      <c r="K341" s="4">
        <v>2.340595E-3</v>
      </c>
      <c r="L341" s="4">
        <v>0</v>
      </c>
      <c r="M341" s="4">
        <v>0.90985333999999995</v>
      </c>
      <c r="N341" s="4">
        <v>0.90985333999999995</v>
      </c>
      <c r="O341" s="4">
        <v>0</v>
      </c>
      <c r="P341" s="4">
        <v>24</v>
      </c>
      <c r="Q341" s="4">
        <v>30</v>
      </c>
      <c r="R341" s="4">
        <v>0</v>
      </c>
      <c r="S341" s="6">
        <v>0.28100000000000003</v>
      </c>
      <c r="T341" s="6">
        <v>0.28100000000000003</v>
      </c>
    </row>
    <row r="342" spans="1:20" ht="18" x14ac:dyDescent="0.2">
      <c r="A342" s="4" t="s">
        <v>1521</v>
      </c>
      <c r="B342" s="4" t="s">
        <v>2233</v>
      </c>
      <c r="C342" s="4" t="s">
        <v>2088</v>
      </c>
      <c r="D342" s="4">
        <v>2</v>
      </c>
      <c r="E342" s="4" t="s">
        <v>116</v>
      </c>
      <c r="F342" s="4">
        <v>0</v>
      </c>
      <c r="G342" s="4">
        <v>6</v>
      </c>
      <c r="H342" s="4">
        <v>14</v>
      </c>
      <c r="I342" s="4">
        <v>0</v>
      </c>
      <c r="J342" s="5">
        <v>4.6406822999999999E-4</v>
      </c>
      <c r="K342" s="5">
        <v>6.4555125000000004E-4</v>
      </c>
      <c r="L342" s="4">
        <v>0</v>
      </c>
      <c r="M342" s="4">
        <v>0.29717934000000001</v>
      </c>
      <c r="N342" s="4">
        <v>0.64437175000000002</v>
      </c>
      <c r="O342" s="4">
        <v>0</v>
      </c>
      <c r="P342" s="4">
        <v>8</v>
      </c>
      <c r="Q342" s="4">
        <v>19</v>
      </c>
      <c r="R342" s="4">
        <v>0</v>
      </c>
      <c r="S342" s="6">
        <v>0.113</v>
      </c>
      <c r="T342" s="6">
        <v>0.216</v>
      </c>
    </row>
    <row r="343" spans="1:20" ht="18" x14ac:dyDescent="0.2">
      <c r="A343" s="4" t="s">
        <v>1522</v>
      </c>
      <c r="B343" s="4" t="s">
        <v>2234</v>
      </c>
      <c r="C343" s="4" t="s">
        <v>2088</v>
      </c>
      <c r="D343" s="4">
        <v>2</v>
      </c>
      <c r="E343" s="4" t="s">
        <v>116</v>
      </c>
      <c r="F343" s="4">
        <v>0</v>
      </c>
      <c r="G343" s="4">
        <v>3</v>
      </c>
      <c r="H343" s="4">
        <v>3</v>
      </c>
      <c r="I343" s="4">
        <v>0</v>
      </c>
      <c r="J343" s="4">
        <v>1.6562962000000001E-3</v>
      </c>
      <c r="K343" s="4">
        <v>2.2174059999999999E-3</v>
      </c>
      <c r="L343" s="4">
        <v>0</v>
      </c>
      <c r="M343" s="4">
        <v>0.16412604</v>
      </c>
      <c r="N343" s="4">
        <v>0.16412604</v>
      </c>
      <c r="O343" s="4">
        <v>0</v>
      </c>
      <c r="P343" s="4">
        <v>14</v>
      </c>
      <c r="Q343" s="4">
        <v>32</v>
      </c>
      <c r="R343" s="4">
        <v>0</v>
      </c>
      <c r="S343" s="6">
        <v>6.6000000000000003E-2</v>
      </c>
      <c r="T343" s="6">
        <v>6.6000000000000003E-2</v>
      </c>
    </row>
    <row r="344" spans="1:20" ht="18" x14ac:dyDescent="0.2">
      <c r="A344" s="4" t="s">
        <v>1523</v>
      </c>
      <c r="B344" s="4" t="s">
        <v>2235</v>
      </c>
      <c r="C344" s="4" t="s">
        <v>2088</v>
      </c>
      <c r="D344" s="4">
        <v>2</v>
      </c>
      <c r="E344" s="4" t="s">
        <v>116</v>
      </c>
      <c r="F344" s="4">
        <v>0</v>
      </c>
      <c r="G344" s="4">
        <v>15</v>
      </c>
      <c r="H344" s="4">
        <v>16</v>
      </c>
      <c r="I344" s="4">
        <v>0</v>
      </c>
      <c r="J344" s="4">
        <v>4.0259655E-3</v>
      </c>
      <c r="K344" s="4">
        <v>2.5152662E-3</v>
      </c>
      <c r="L344" s="4">
        <v>0</v>
      </c>
      <c r="M344" s="4">
        <v>2.2734066999999998</v>
      </c>
      <c r="N344" s="4">
        <v>2.2734066999999998</v>
      </c>
      <c r="O344" s="4">
        <v>0</v>
      </c>
      <c r="P344" s="4">
        <v>30</v>
      </c>
      <c r="Q344" s="4">
        <v>32</v>
      </c>
      <c r="R344" s="4">
        <v>0</v>
      </c>
      <c r="S344" s="6">
        <v>0.51500000000000001</v>
      </c>
      <c r="T344" s="6">
        <v>0.51500000000000001</v>
      </c>
    </row>
    <row r="345" spans="1:20" ht="18" x14ac:dyDescent="0.2">
      <c r="A345" s="4" t="s">
        <v>1524</v>
      </c>
      <c r="B345" s="4" t="s">
        <v>2236</v>
      </c>
      <c r="C345" s="4" t="s">
        <v>2088</v>
      </c>
      <c r="D345" s="4">
        <v>2</v>
      </c>
      <c r="E345" s="4" t="s">
        <v>116</v>
      </c>
      <c r="F345" s="4">
        <v>0</v>
      </c>
      <c r="G345" s="4">
        <v>48</v>
      </c>
      <c r="H345" s="4">
        <v>26</v>
      </c>
      <c r="I345" s="4">
        <v>0</v>
      </c>
      <c r="J345" s="4">
        <v>1.5348822999999999E-2</v>
      </c>
      <c r="K345" s="4">
        <v>4.2024319999999999E-3</v>
      </c>
      <c r="L345" s="4">
        <v>0</v>
      </c>
      <c r="M345" s="4">
        <v>2.7239170000000001</v>
      </c>
      <c r="N345" s="4">
        <v>1.3933158000000001</v>
      </c>
      <c r="O345" s="4">
        <v>0</v>
      </c>
      <c r="P345" s="4">
        <v>169</v>
      </c>
      <c r="Q345" s="4">
        <v>79</v>
      </c>
      <c r="R345" s="4">
        <v>0</v>
      </c>
      <c r="S345" s="6">
        <v>0.57099999999999995</v>
      </c>
      <c r="T345" s="6">
        <v>0.379</v>
      </c>
    </row>
    <row r="346" spans="1:20" ht="18" x14ac:dyDescent="0.2">
      <c r="A346" s="4" t="s">
        <v>1525</v>
      </c>
      <c r="B346" s="4" t="s">
        <v>2237</v>
      </c>
      <c r="C346" s="4" t="s">
        <v>2088</v>
      </c>
      <c r="D346" s="4">
        <v>2</v>
      </c>
      <c r="E346" s="4" t="s">
        <v>116</v>
      </c>
      <c r="F346" s="4">
        <v>0</v>
      </c>
      <c r="G346" s="4">
        <v>3</v>
      </c>
      <c r="H346" s="4">
        <v>3</v>
      </c>
      <c r="I346" s="4">
        <v>0</v>
      </c>
      <c r="J346" s="4">
        <v>1.2334666000000001E-3</v>
      </c>
      <c r="K346" s="5">
        <v>6.4640979999999997E-4</v>
      </c>
      <c r="L346" s="4">
        <v>0</v>
      </c>
      <c r="M346" s="4">
        <v>0.12460494</v>
      </c>
      <c r="N346" s="4">
        <v>0.12460494</v>
      </c>
      <c r="O346" s="4">
        <v>0</v>
      </c>
      <c r="P346" s="4">
        <v>19</v>
      </c>
      <c r="Q346" s="4">
        <v>17</v>
      </c>
      <c r="R346" s="4">
        <v>0</v>
      </c>
      <c r="S346" s="6">
        <v>5.0999999999999997E-2</v>
      </c>
      <c r="T346" s="6">
        <v>5.0999999999999997E-2</v>
      </c>
    </row>
    <row r="347" spans="1:20" ht="18" x14ac:dyDescent="0.2">
      <c r="A347" s="4" t="s">
        <v>1526</v>
      </c>
      <c r="B347" s="4" t="s">
        <v>2238</v>
      </c>
      <c r="C347" s="4" t="s">
        <v>2088</v>
      </c>
      <c r="D347" s="4">
        <v>2</v>
      </c>
      <c r="E347" s="4" t="s">
        <v>116</v>
      </c>
      <c r="F347" s="4">
        <v>0</v>
      </c>
      <c r="G347" s="4">
        <v>3</v>
      </c>
      <c r="H347" s="4">
        <v>12</v>
      </c>
      <c r="I347" s="4">
        <v>0</v>
      </c>
      <c r="J347" s="5">
        <v>2.1156053000000001E-4</v>
      </c>
      <c r="K347" s="5">
        <v>8.2609239999999998E-4</v>
      </c>
      <c r="L347" s="4">
        <v>0</v>
      </c>
      <c r="M347" s="4">
        <v>0.34586035999999998</v>
      </c>
      <c r="N347" s="4">
        <v>0.98609482999999998</v>
      </c>
      <c r="O347" s="4">
        <v>0</v>
      </c>
      <c r="P347" s="4">
        <v>3</v>
      </c>
      <c r="Q347" s="4">
        <v>20</v>
      </c>
      <c r="R347" s="4">
        <v>0</v>
      </c>
      <c r="S347" s="6">
        <v>0.129</v>
      </c>
      <c r="T347" s="6">
        <v>0.29799999999999999</v>
      </c>
    </row>
    <row r="348" spans="1:20" ht="18" x14ac:dyDescent="0.2">
      <c r="A348" s="4" t="s">
        <v>1527</v>
      </c>
      <c r="B348" s="4" t="s">
        <v>2239</v>
      </c>
      <c r="C348" s="4" t="s">
        <v>2088</v>
      </c>
      <c r="D348" s="4">
        <v>2</v>
      </c>
      <c r="E348" s="4" t="s">
        <v>116</v>
      </c>
      <c r="F348" s="4">
        <v>0</v>
      </c>
      <c r="G348" s="4">
        <v>171</v>
      </c>
      <c r="H348" s="4">
        <v>204</v>
      </c>
      <c r="I348" s="4">
        <v>0</v>
      </c>
      <c r="J348" s="4">
        <v>2.6234549999999999E-2</v>
      </c>
      <c r="K348" s="4">
        <v>2.0545649999999999E-2</v>
      </c>
      <c r="L348" s="4">
        <v>0</v>
      </c>
      <c r="M348" s="4">
        <v>3.5708823000000001</v>
      </c>
      <c r="N348" s="4">
        <v>3.2657951999999999</v>
      </c>
      <c r="O348" s="4">
        <v>0</v>
      </c>
      <c r="P348" s="4">
        <v>887</v>
      </c>
      <c r="Q348" s="4">
        <v>1186</v>
      </c>
      <c r="R348" s="4">
        <v>0</v>
      </c>
      <c r="S348" s="6">
        <v>0.66</v>
      </c>
      <c r="T348" s="6">
        <v>0.63</v>
      </c>
    </row>
    <row r="349" spans="1:20" ht="18" x14ac:dyDescent="0.2">
      <c r="A349" s="4" t="s">
        <v>1528</v>
      </c>
      <c r="B349" s="4" t="s">
        <v>2240</v>
      </c>
      <c r="C349" s="4" t="s">
        <v>2088</v>
      </c>
      <c r="D349" s="4">
        <v>2</v>
      </c>
      <c r="E349" s="4" t="s">
        <v>116</v>
      </c>
      <c r="F349" s="4">
        <v>0</v>
      </c>
      <c r="G349" s="4">
        <v>20</v>
      </c>
      <c r="H349" s="4">
        <v>47</v>
      </c>
      <c r="I349" s="4">
        <v>0</v>
      </c>
      <c r="J349" s="4">
        <v>1.2663835E-2</v>
      </c>
      <c r="K349" s="4">
        <v>3.0856294999999999E-2</v>
      </c>
      <c r="L349" s="4">
        <v>0</v>
      </c>
      <c r="M349" s="4">
        <v>1.0090927999999999</v>
      </c>
      <c r="N349" s="4">
        <v>2.2658782</v>
      </c>
      <c r="O349" s="4">
        <v>0</v>
      </c>
      <c r="P349" s="4">
        <v>100</v>
      </c>
      <c r="Q349" s="4">
        <v>416</v>
      </c>
      <c r="R349" s="4">
        <v>0</v>
      </c>
      <c r="S349" s="6">
        <v>0.30299999999999999</v>
      </c>
      <c r="T349" s="6">
        <v>0.51400000000000001</v>
      </c>
    </row>
    <row r="350" spans="1:20" ht="18" x14ac:dyDescent="0.2">
      <c r="A350" s="4" t="s">
        <v>1529</v>
      </c>
      <c r="B350" s="4" t="s">
        <v>2240</v>
      </c>
      <c r="C350" s="4" t="s">
        <v>2088</v>
      </c>
      <c r="D350" s="4">
        <v>2</v>
      </c>
      <c r="E350" s="4" t="s">
        <v>116</v>
      </c>
      <c r="F350" s="4">
        <v>0</v>
      </c>
      <c r="G350" s="4">
        <v>38</v>
      </c>
      <c r="H350" s="4">
        <v>65</v>
      </c>
      <c r="I350" s="4">
        <v>0</v>
      </c>
      <c r="J350" s="4">
        <v>3.2799330000000002E-2</v>
      </c>
      <c r="K350" s="4">
        <v>6.0080769999999999E-2</v>
      </c>
      <c r="L350" s="4">
        <v>0</v>
      </c>
      <c r="M350" s="4">
        <v>2.8459177000000002</v>
      </c>
      <c r="N350" s="4">
        <v>5.2517269999999998</v>
      </c>
      <c r="O350" s="4">
        <v>0</v>
      </c>
      <c r="P350" s="4">
        <v>259</v>
      </c>
      <c r="Q350" s="4">
        <v>810</v>
      </c>
      <c r="R350" s="4">
        <v>0</v>
      </c>
      <c r="S350" s="6">
        <v>0.58499999999999996</v>
      </c>
      <c r="T350" s="6">
        <v>0.79600000000000004</v>
      </c>
    </row>
    <row r="351" spans="1:20" ht="18" x14ac:dyDescent="0.2">
      <c r="A351" s="4" t="s">
        <v>1530</v>
      </c>
      <c r="B351" s="4" t="s">
        <v>2240</v>
      </c>
      <c r="C351" s="4" t="s">
        <v>2088</v>
      </c>
      <c r="D351" s="4">
        <v>2</v>
      </c>
      <c r="E351" s="4" t="s">
        <v>116</v>
      </c>
      <c r="F351" s="4">
        <v>0</v>
      </c>
      <c r="G351" s="4">
        <v>34</v>
      </c>
      <c r="H351" s="4">
        <v>61</v>
      </c>
      <c r="I351" s="4">
        <v>0</v>
      </c>
      <c r="J351" s="4">
        <v>2.2035072999999999E-2</v>
      </c>
      <c r="K351" s="4">
        <v>4.5765225E-2</v>
      </c>
      <c r="L351" s="4">
        <v>0</v>
      </c>
      <c r="M351" s="4">
        <v>2.8459177000000002</v>
      </c>
      <c r="N351" s="4">
        <v>5.2517269999999998</v>
      </c>
      <c r="O351" s="4">
        <v>0</v>
      </c>
      <c r="P351" s="4">
        <v>174</v>
      </c>
      <c r="Q351" s="4">
        <v>617</v>
      </c>
      <c r="R351" s="4">
        <v>0</v>
      </c>
      <c r="S351" s="6">
        <v>0.58499999999999996</v>
      </c>
      <c r="T351" s="6">
        <v>0.79600000000000004</v>
      </c>
    </row>
    <row r="352" spans="1:20" ht="18" x14ac:dyDescent="0.2">
      <c r="A352" s="4" t="s">
        <v>1531</v>
      </c>
      <c r="B352" s="4" t="s">
        <v>2240</v>
      </c>
      <c r="C352" s="4" t="s">
        <v>2088</v>
      </c>
      <c r="D352" s="4">
        <v>2</v>
      </c>
      <c r="E352" s="4" t="s">
        <v>116</v>
      </c>
      <c r="F352" s="4">
        <v>0</v>
      </c>
      <c r="G352" s="4">
        <v>20</v>
      </c>
      <c r="H352" s="4">
        <v>20</v>
      </c>
      <c r="I352" s="4">
        <v>0</v>
      </c>
      <c r="J352" s="4">
        <v>1.2030642500000001E-2</v>
      </c>
      <c r="K352" s="4">
        <v>1.7950055999999999E-2</v>
      </c>
      <c r="L352" s="4">
        <v>0</v>
      </c>
      <c r="M352" s="4">
        <v>1.6915347999999999</v>
      </c>
      <c r="N352" s="4">
        <v>1.6915347999999999</v>
      </c>
      <c r="O352" s="4">
        <v>0</v>
      </c>
      <c r="P352" s="4">
        <v>95</v>
      </c>
      <c r="Q352" s="4">
        <v>242</v>
      </c>
      <c r="R352" s="4">
        <v>0</v>
      </c>
      <c r="S352" s="6">
        <v>0.43</v>
      </c>
      <c r="T352" s="6">
        <v>0.43</v>
      </c>
    </row>
    <row r="353" spans="1:20" ht="18" x14ac:dyDescent="0.2">
      <c r="A353" s="4" t="s">
        <v>1532</v>
      </c>
      <c r="B353" s="4" t="s">
        <v>2240</v>
      </c>
      <c r="C353" s="4" t="s">
        <v>2088</v>
      </c>
      <c r="D353" s="4">
        <v>2</v>
      </c>
      <c r="E353" s="4" t="s">
        <v>116</v>
      </c>
      <c r="F353" s="4">
        <v>0</v>
      </c>
      <c r="G353" s="4">
        <v>38</v>
      </c>
      <c r="H353" s="4">
        <v>65</v>
      </c>
      <c r="I353" s="4">
        <v>0</v>
      </c>
      <c r="J353" s="4">
        <v>3.2799330000000002E-2</v>
      </c>
      <c r="K353" s="4">
        <v>6.0080769999999999E-2</v>
      </c>
      <c r="L353" s="4">
        <v>0</v>
      </c>
      <c r="M353" s="4">
        <v>2.8459177000000002</v>
      </c>
      <c r="N353" s="4">
        <v>5.2517269999999998</v>
      </c>
      <c r="O353" s="4">
        <v>0</v>
      </c>
      <c r="P353" s="4">
        <v>259</v>
      </c>
      <c r="Q353" s="4">
        <v>810</v>
      </c>
      <c r="R353" s="4">
        <v>0</v>
      </c>
      <c r="S353" s="6">
        <v>0.58499999999999996</v>
      </c>
      <c r="T353" s="6">
        <v>0.79600000000000004</v>
      </c>
    </row>
    <row r="354" spans="1:20" ht="18" x14ac:dyDescent="0.2">
      <c r="A354" s="4" t="s">
        <v>1533</v>
      </c>
      <c r="B354" s="4" t="s">
        <v>2240</v>
      </c>
      <c r="C354" s="4" t="s">
        <v>2088</v>
      </c>
      <c r="D354" s="4">
        <v>2</v>
      </c>
      <c r="E354" s="4" t="s">
        <v>116</v>
      </c>
      <c r="F354" s="4">
        <v>0</v>
      </c>
      <c r="G354" s="4">
        <v>38</v>
      </c>
      <c r="H354" s="4">
        <v>39</v>
      </c>
      <c r="I354" s="4">
        <v>0</v>
      </c>
      <c r="J354" s="4">
        <v>3.2799330000000002E-2</v>
      </c>
      <c r="K354" s="4">
        <v>4.8435480000000003E-2</v>
      </c>
      <c r="L354" s="4">
        <v>0</v>
      </c>
      <c r="M354" s="4">
        <v>2.8459177000000002</v>
      </c>
      <c r="N354" s="4">
        <v>2.8459177000000002</v>
      </c>
      <c r="O354" s="4">
        <v>0</v>
      </c>
      <c r="P354" s="4">
        <v>259</v>
      </c>
      <c r="Q354" s="4">
        <v>653</v>
      </c>
      <c r="R354" s="4">
        <v>0</v>
      </c>
      <c r="S354" s="6">
        <v>0.58499999999999996</v>
      </c>
      <c r="T354" s="6">
        <v>0.58499999999999996</v>
      </c>
    </row>
    <row r="355" spans="1:20" ht="18" x14ac:dyDescent="0.2">
      <c r="A355" s="4" t="s">
        <v>1534</v>
      </c>
      <c r="B355" s="4" t="s">
        <v>2240</v>
      </c>
      <c r="C355" s="4" t="s">
        <v>2088</v>
      </c>
      <c r="D355" s="4">
        <v>2</v>
      </c>
      <c r="E355" s="4" t="s">
        <v>116</v>
      </c>
      <c r="F355" s="4">
        <v>0</v>
      </c>
      <c r="G355" s="4">
        <v>20</v>
      </c>
      <c r="H355" s="4">
        <v>20</v>
      </c>
      <c r="I355" s="4">
        <v>0</v>
      </c>
      <c r="J355" s="4">
        <v>1.2030642500000001E-2</v>
      </c>
      <c r="K355" s="4">
        <v>1.7950055999999999E-2</v>
      </c>
      <c r="L355" s="4">
        <v>0</v>
      </c>
      <c r="M355" s="4">
        <v>1.6915347999999999</v>
      </c>
      <c r="N355" s="4">
        <v>1.6915347999999999</v>
      </c>
      <c r="O355" s="4">
        <v>0</v>
      </c>
      <c r="P355" s="4">
        <v>95</v>
      </c>
      <c r="Q355" s="4">
        <v>242</v>
      </c>
      <c r="R355" s="4">
        <v>0</v>
      </c>
      <c r="S355" s="6">
        <v>0.43</v>
      </c>
      <c r="T355" s="6">
        <v>0.43</v>
      </c>
    </row>
    <row r="356" spans="1:20" ht="18" x14ac:dyDescent="0.2">
      <c r="A356" s="4" t="s">
        <v>1535</v>
      </c>
      <c r="B356" s="4" t="s">
        <v>2240</v>
      </c>
      <c r="C356" s="4" t="s">
        <v>2088</v>
      </c>
      <c r="D356" s="4">
        <v>2</v>
      </c>
      <c r="E356" s="4" t="s">
        <v>116</v>
      </c>
      <c r="F356" s="4">
        <v>0</v>
      </c>
      <c r="G356" s="4">
        <v>38</v>
      </c>
      <c r="H356" s="4">
        <v>39</v>
      </c>
      <c r="I356" s="4">
        <v>0</v>
      </c>
      <c r="J356" s="4">
        <v>3.2799330000000002E-2</v>
      </c>
      <c r="K356" s="4">
        <v>4.8435480000000003E-2</v>
      </c>
      <c r="L356" s="4">
        <v>0</v>
      </c>
      <c r="M356" s="4">
        <v>2.8459177000000002</v>
      </c>
      <c r="N356" s="4">
        <v>2.8459177000000002</v>
      </c>
      <c r="O356" s="4">
        <v>0</v>
      </c>
      <c r="P356" s="4">
        <v>259</v>
      </c>
      <c r="Q356" s="4">
        <v>653</v>
      </c>
      <c r="R356" s="4">
        <v>0</v>
      </c>
      <c r="S356" s="6">
        <v>0.58499999999999996</v>
      </c>
      <c r="T356" s="6">
        <v>0.58499999999999996</v>
      </c>
    </row>
    <row r="357" spans="1:20" ht="18" x14ac:dyDescent="0.2">
      <c r="A357" s="4" t="s">
        <v>1536</v>
      </c>
      <c r="B357" s="4" t="s">
        <v>2240</v>
      </c>
      <c r="C357" s="4" t="s">
        <v>2088</v>
      </c>
      <c r="D357" s="4">
        <v>2</v>
      </c>
      <c r="E357" s="4" t="s">
        <v>116</v>
      </c>
      <c r="F357" s="4">
        <v>0</v>
      </c>
      <c r="G357" s="4">
        <v>38</v>
      </c>
      <c r="H357" s="4">
        <v>39</v>
      </c>
      <c r="I357" s="4">
        <v>0</v>
      </c>
      <c r="J357" s="4">
        <v>3.2799330000000002E-2</v>
      </c>
      <c r="K357" s="4">
        <v>4.8435480000000003E-2</v>
      </c>
      <c r="L357" s="4">
        <v>0</v>
      </c>
      <c r="M357" s="4">
        <v>2.8459177000000002</v>
      </c>
      <c r="N357" s="4">
        <v>2.8459177000000002</v>
      </c>
      <c r="O357" s="4">
        <v>0</v>
      </c>
      <c r="P357" s="4">
        <v>259</v>
      </c>
      <c r="Q357" s="4">
        <v>653</v>
      </c>
      <c r="R357" s="4">
        <v>0</v>
      </c>
      <c r="S357" s="6">
        <v>0.58499999999999996</v>
      </c>
      <c r="T357" s="6">
        <v>0.58499999999999996</v>
      </c>
    </row>
    <row r="358" spans="1:20" ht="18" x14ac:dyDescent="0.2">
      <c r="A358" s="4" t="s">
        <v>1537</v>
      </c>
      <c r="B358" s="4" t="s">
        <v>2240</v>
      </c>
      <c r="C358" s="4" t="s">
        <v>2088</v>
      </c>
      <c r="D358" s="4">
        <v>2</v>
      </c>
      <c r="E358" s="4" t="s">
        <v>116</v>
      </c>
      <c r="F358" s="4">
        <v>0</v>
      </c>
      <c r="G358" s="4">
        <v>38</v>
      </c>
      <c r="H358" s="4">
        <v>65</v>
      </c>
      <c r="I358" s="4">
        <v>0</v>
      </c>
      <c r="J358" s="4">
        <v>3.2799330000000002E-2</v>
      </c>
      <c r="K358" s="4">
        <v>6.0080769999999999E-2</v>
      </c>
      <c r="L358" s="4">
        <v>0</v>
      </c>
      <c r="M358" s="4">
        <v>2.8459177000000002</v>
      </c>
      <c r="N358" s="4">
        <v>5.2517269999999998</v>
      </c>
      <c r="O358" s="4">
        <v>0</v>
      </c>
      <c r="P358" s="4">
        <v>259</v>
      </c>
      <c r="Q358" s="4">
        <v>810</v>
      </c>
      <c r="R358" s="4">
        <v>0</v>
      </c>
      <c r="S358" s="6">
        <v>0.58499999999999996</v>
      </c>
      <c r="T358" s="6">
        <v>0.79600000000000004</v>
      </c>
    </row>
    <row r="359" spans="1:20" ht="18" x14ac:dyDescent="0.2">
      <c r="A359" s="4" t="s">
        <v>1538</v>
      </c>
      <c r="B359" s="4" t="s">
        <v>2240</v>
      </c>
      <c r="C359" s="4" t="s">
        <v>2088</v>
      </c>
      <c r="D359" s="4">
        <v>2</v>
      </c>
      <c r="E359" s="4" t="s">
        <v>116</v>
      </c>
      <c r="F359" s="4">
        <v>0</v>
      </c>
      <c r="G359" s="4">
        <v>21</v>
      </c>
      <c r="H359" s="4">
        <v>30</v>
      </c>
      <c r="I359" s="4">
        <v>0</v>
      </c>
      <c r="J359" s="4">
        <v>2.1148602999999998E-2</v>
      </c>
      <c r="K359" s="4">
        <v>3.3304029999999998E-2</v>
      </c>
      <c r="L359" s="4">
        <v>0</v>
      </c>
      <c r="M359" s="4">
        <v>1.2130947000000001</v>
      </c>
      <c r="N359" s="4">
        <v>2.4833731999999999</v>
      </c>
      <c r="O359" s="4">
        <v>0</v>
      </c>
      <c r="P359" s="4">
        <v>167</v>
      </c>
      <c r="Q359" s="4">
        <v>449</v>
      </c>
      <c r="R359" s="4">
        <v>0</v>
      </c>
      <c r="S359" s="6">
        <v>0.34499999999999997</v>
      </c>
      <c r="T359" s="6">
        <v>0.54200000000000004</v>
      </c>
    </row>
    <row r="360" spans="1:20" ht="18" x14ac:dyDescent="0.2">
      <c r="A360" s="4" t="s">
        <v>1539</v>
      </c>
      <c r="B360" s="4" t="s">
        <v>2240</v>
      </c>
      <c r="C360" s="4" t="s">
        <v>2088</v>
      </c>
      <c r="D360" s="4">
        <v>2</v>
      </c>
      <c r="E360" s="4" t="s">
        <v>116</v>
      </c>
      <c r="F360" s="4">
        <v>0</v>
      </c>
      <c r="G360" s="4">
        <v>24</v>
      </c>
      <c r="H360" s="4">
        <v>27</v>
      </c>
      <c r="I360" s="4">
        <v>0</v>
      </c>
      <c r="J360" s="4">
        <v>2.2794901999999999E-2</v>
      </c>
      <c r="K360" s="4">
        <v>3.2488120000000002E-2</v>
      </c>
      <c r="L360" s="4">
        <v>0</v>
      </c>
      <c r="M360" s="4">
        <v>1.6915347999999999</v>
      </c>
      <c r="N360" s="4">
        <v>2.8459177000000002</v>
      </c>
      <c r="O360" s="4">
        <v>0</v>
      </c>
      <c r="P360" s="4">
        <v>180</v>
      </c>
      <c r="Q360" s="4">
        <v>438</v>
      </c>
      <c r="R360" s="4">
        <v>0</v>
      </c>
      <c r="S360" s="6">
        <v>0.43</v>
      </c>
      <c r="T360" s="6">
        <v>0.58499999999999996</v>
      </c>
    </row>
    <row r="361" spans="1:20" ht="18" x14ac:dyDescent="0.2">
      <c r="A361" s="4" t="s">
        <v>1540</v>
      </c>
      <c r="B361" s="4" t="s">
        <v>2240</v>
      </c>
      <c r="C361" s="4" t="s">
        <v>2088</v>
      </c>
      <c r="D361" s="4">
        <v>2</v>
      </c>
      <c r="E361" s="4" t="s">
        <v>116</v>
      </c>
      <c r="F361" s="4">
        <v>0</v>
      </c>
      <c r="G361" s="4">
        <v>29</v>
      </c>
      <c r="H361" s="4">
        <v>30</v>
      </c>
      <c r="I361" s="4">
        <v>0</v>
      </c>
      <c r="J361" s="4">
        <v>2.0642049999999999E-2</v>
      </c>
      <c r="K361" s="4">
        <v>3.3526550000000002E-2</v>
      </c>
      <c r="L361" s="4">
        <v>0</v>
      </c>
      <c r="M361" s="4">
        <v>1.9648314</v>
      </c>
      <c r="N361" s="4">
        <v>1.9648314</v>
      </c>
      <c r="O361" s="4">
        <v>0</v>
      </c>
      <c r="P361" s="4">
        <v>163</v>
      </c>
      <c r="Q361" s="4">
        <v>452</v>
      </c>
      <c r="R361" s="4">
        <v>0</v>
      </c>
      <c r="S361" s="6">
        <v>0.47199999999999998</v>
      </c>
      <c r="T361" s="6">
        <v>0.47199999999999998</v>
      </c>
    </row>
    <row r="362" spans="1:20" ht="18" x14ac:dyDescent="0.2">
      <c r="A362" s="4" t="s">
        <v>1541</v>
      </c>
      <c r="B362" s="4" t="s">
        <v>2240</v>
      </c>
      <c r="C362" s="4" t="s">
        <v>2088</v>
      </c>
      <c r="D362" s="4">
        <v>2</v>
      </c>
      <c r="E362" s="4" t="s">
        <v>116</v>
      </c>
      <c r="F362" s="4">
        <v>0</v>
      </c>
      <c r="G362" s="4">
        <v>24</v>
      </c>
      <c r="H362" s="4">
        <v>27</v>
      </c>
      <c r="I362" s="4">
        <v>0</v>
      </c>
      <c r="J362" s="4">
        <v>2.2794901999999999E-2</v>
      </c>
      <c r="K362" s="4">
        <v>3.2488120000000002E-2</v>
      </c>
      <c r="L362" s="4">
        <v>0</v>
      </c>
      <c r="M362" s="4">
        <v>1.6915347999999999</v>
      </c>
      <c r="N362" s="4">
        <v>2.8459177000000002</v>
      </c>
      <c r="O362" s="4">
        <v>0</v>
      </c>
      <c r="P362" s="4">
        <v>180</v>
      </c>
      <c r="Q362" s="4">
        <v>438</v>
      </c>
      <c r="R362" s="4">
        <v>0</v>
      </c>
      <c r="S362" s="6">
        <v>0.43</v>
      </c>
      <c r="T362" s="6">
        <v>0.58499999999999996</v>
      </c>
    </row>
    <row r="363" spans="1:20" ht="18" x14ac:dyDescent="0.2">
      <c r="A363" s="4" t="s">
        <v>1542</v>
      </c>
      <c r="B363" s="4" t="s">
        <v>2240</v>
      </c>
      <c r="C363" s="4" t="s">
        <v>2088</v>
      </c>
      <c r="D363" s="4">
        <v>2</v>
      </c>
      <c r="E363" s="4" t="s">
        <v>116</v>
      </c>
      <c r="F363" s="4">
        <v>0</v>
      </c>
      <c r="G363" s="4">
        <v>18</v>
      </c>
      <c r="H363" s="4">
        <v>21</v>
      </c>
      <c r="I363" s="4">
        <v>0</v>
      </c>
      <c r="J363" s="4">
        <v>1.6842900000000001E-2</v>
      </c>
      <c r="K363" s="4">
        <v>2.6405867E-2</v>
      </c>
      <c r="L363" s="4">
        <v>0</v>
      </c>
      <c r="M363" s="4">
        <v>1.1086282999999999</v>
      </c>
      <c r="N363" s="4">
        <v>2.0130059999999999</v>
      </c>
      <c r="O363" s="4">
        <v>0</v>
      </c>
      <c r="P363" s="4">
        <v>133</v>
      </c>
      <c r="Q363" s="4">
        <v>356</v>
      </c>
      <c r="R363" s="4">
        <v>0</v>
      </c>
      <c r="S363" s="6">
        <v>0.32400000000000001</v>
      </c>
      <c r="T363" s="6">
        <v>0.47899999999999998</v>
      </c>
    </row>
    <row r="364" spans="1:20" ht="18" x14ac:dyDescent="0.2">
      <c r="A364" s="4" t="s">
        <v>1543</v>
      </c>
      <c r="B364" s="4" t="s">
        <v>2240</v>
      </c>
      <c r="C364" s="4" t="s">
        <v>2088</v>
      </c>
      <c r="D364" s="4">
        <v>2</v>
      </c>
      <c r="E364" s="4" t="s">
        <v>116</v>
      </c>
      <c r="F364" s="4">
        <v>0</v>
      </c>
      <c r="G364" s="4">
        <v>24</v>
      </c>
      <c r="H364" s="4">
        <v>24</v>
      </c>
      <c r="I364" s="4">
        <v>0</v>
      </c>
      <c r="J364" s="4">
        <v>2.2794901999999999E-2</v>
      </c>
      <c r="K364" s="4">
        <v>3.2265596000000001E-2</v>
      </c>
      <c r="L364" s="4">
        <v>0</v>
      </c>
      <c r="M364" s="4">
        <v>1.6915347999999999</v>
      </c>
      <c r="N364" s="4">
        <v>1.6915347999999999</v>
      </c>
      <c r="O364" s="4">
        <v>0</v>
      </c>
      <c r="P364" s="4">
        <v>180</v>
      </c>
      <c r="Q364" s="4">
        <v>435</v>
      </c>
      <c r="R364" s="4">
        <v>0</v>
      </c>
      <c r="S364" s="6">
        <v>0.43</v>
      </c>
      <c r="T364" s="6">
        <v>0.43</v>
      </c>
    </row>
    <row r="365" spans="1:20" ht="18" x14ac:dyDescent="0.2">
      <c r="A365" s="4" t="s">
        <v>1544</v>
      </c>
      <c r="B365" s="4" t="s">
        <v>2240</v>
      </c>
      <c r="C365" s="4" t="s">
        <v>2088</v>
      </c>
      <c r="D365" s="4">
        <v>2</v>
      </c>
      <c r="E365" s="4" t="s">
        <v>116</v>
      </c>
      <c r="F365" s="4">
        <v>0</v>
      </c>
      <c r="G365" s="4">
        <v>9</v>
      </c>
      <c r="H365" s="4">
        <v>9</v>
      </c>
      <c r="I365" s="4">
        <v>0</v>
      </c>
      <c r="J365" s="4">
        <v>4.6856184E-3</v>
      </c>
      <c r="K365" s="4">
        <v>1.1274414999999999E-2</v>
      </c>
      <c r="L365" s="4">
        <v>0</v>
      </c>
      <c r="M365" s="4">
        <v>0.62554883999999999</v>
      </c>
      <c r="N365" s="4">
        <v>0.62554883999999999</v>
      </c>
      <c r="O365" s="4">
        <v>0</v>
      </c>
      <c r="P365" s="4">
        <v>37</v>
      </c>
      <c r="Q365" s="4">
        <v>152</v>
      </c>
      <c r="R365" s="4">
        <v>0</v>
      </c>
      <c r="S365" s="6">
        <v>0.21099999999999999</v>
      </c>
      <c r="T365" s="6">
        <v>0.21099999999999999</v>
      </c>
    </row>
    <row r="366" spans="1:20" ht="18" x14ac:dyDescent="0.2">
      <c r="A366" s="4" t="s">
        <v>1545</v>
      </c>
      <c r="B366" s="4" t="s">
        <v>2240</v>
      </c>
      <c r="C366" s="4" t="s">
        <v>2088</v>
      </c>
      <c r="D366" s="4">
        <v>2</v>
      </c>
      <c r="E366" s="4" t="s">
        <v>116</v>
      </c>
      <c r="F366" s="4">
        <v>0</v>
      </c>
      <c r="G366" s="4">
        <v>24</v>
      </c>
      <c r="H366" s="4">
        <v>27</v>
      </c>
      <c r="I366" s="4">
        <v>0</v>
      </c>
      <c r="J366" s="4">
        <v>2.2794901999999999E-2</v>
      </c>
      <c r="K366" s="4">
        <v>3.2488120000000002E-2</v>
      </c>
      <c r="L366" s="4">
        <v>0</v>
      </c>
      <c r="M366" s="4">
        <v>1.6915347999999999</v>
      </c>
      <c r="N366" s="4">
        <v>2.8459177000000002</v>
      </c>
      <c r="O366" s="4">
        <v>0</v>
      </c>
      <c r="P366" s="4">
        <v>180</v>
      </c>
      <c r="Q366" s="4">
        <v>438</v>
      </c>
      <c r="R366" s="4">
        <v>0</v>
      </c>
      <c r="S366" s="6">
        <v>0.43</v>
      </c>
      <c r="T366" s="6">
        <v>0.58499999999999996</v>
      </c>
    </row>
    <row r="367" spans="1:20" ht="18" x14ac:dyDescent="0.2">
      <c r="A367" s="4" t="s">
        <v>1546</v>
      </c>
      <c r="B367" s="4" t="s">
        <v>2240</v>
      </c>
      <c r="C367" s="4" t="s">
        <v>2088</v>
      </c>
      <c r="D367" s="4">
        <v>2</v>
      </c>
      <c r="E367" s="4" t="s">
        <v>116</v>
      </c>
      <c r="F367" s="4">
        <v>0</v>
      </c>
      <c r="G367" s="4">
        <v>24</v>
      </c>
      <c r="H367" s="4">
        <v>24</v>
      </c>
      <c r="I367" s="4">
        <v>0</v>
      </c>
      <c r="J367" s="4">
        <v>2.2794901999999999E-2</v>
      </c>
      <c r="K367" s="4">
        <v>3.2265596000000001E-2</v>
      </c>
      <c r="L367" s="4">
        <v>0</v>
      </c>
      <c r="M367" s="4">
        <v>1.6915347999999999</v>
      </c>
      <c r="N367" s="4">
        <v>1.6915347999999999</v>
      </c>
      <c r="O367" s="4">
        <v>0</v>
      </c>
      <c r="P367" s="4">
        <v>180</v>
      </c>
      <c r="Q367" s="4">
        <v>435</v>
      </c>
      <c r="R367" s="4">
        <v>0</v>
      </c>
      <c r="S367" s="6">
        <v>0.43</v>
      </c>
      <c r="T367" s="6">
        <v>0.43</v>
      </c>
    </row>
    <row r="368" spans="1:20" ht="18" x14ac:dyDescent="0.2">
      <c r="A368" s="4" t="s">
        <v>1547</v>
      </c>
      <c r="B368" s="4" t="s">
        <v>2241</v>
      </c>
      <c r="C368" s="4" t="s">
        <v>2088</v>
      </c>
      <c r="D368" s="4">
        <v>2</v>
      </c>
      <c r="E368" s="4" t="s">
        <v>116</v>
      </c>
      <c r="F368" s="4">
        <v>0</v>
      </c>
      <c r="G368" s="4">
        <v>20</v>
      </c>
      <c r="H368" s="4">
        <v>46</v>
      </c>
      <c r="I368" s="4">
        <v>0</v>
      </c>
      <c r="J368" s="4">
        <v>1.2030642500000001E-2</v>
      </c>
      <c r="K368" s="4">
        <v>2.9595340000000001E-2</v>
      </c>
      <c r="L368" s="4">
        <v>0</v>
      </c>
      <c r="M368" s="4">
        <v>1.6915347999999999</v>
      </c>
      <c r="N368" s="4">
        <v>3.3752208000000001</v>
      </c>
      <c r="O368" s="4">
        <v>0</v>
      </c>
      <c r="P368" s="4">
        <v>95</v>
      </c>
      <c r="Q368" s="4">
        <v>399</v>
      </c>
      <c r="R368" s="4">
        <v>0</v>
      </c>
      <c r="S368" s="6">
        <v>0.43</v>
      </c>
      <c r="T368" s="6">
        <v>0.64100000000000001</v>
      </c>
    </row>
    <row r="369" spans="1:20" ht="18" x14ac:dyDescent="0.2">
      <c r="A369" s="4" t="s">
        <v>1548</v>
      </c>
      <c r="B369" s="4" t="s">
        <v>2241</v>
      </c>
      <c r="C369" s="4" t="s">
        <v>2088</v>
      </c>
      <c r="D369" s="4">
        <v>2</v>
      </c>
      <c r="E369" s="4" t="s">
        <v>116</v>
      </c>
      <c r="F369" s="4">
        <v>0</v>
      </c>
      <c r="G369" s="4">
        <v>17</v>
      </c>
      <c r="H369" s="4">
        <v>17</v>
      </c>
      <c r="I369" s="4">
        <v>0</v>
      </c>
      <c r="J369" s="4">
        <v>1.0004429E-2</v>
      </c>
      <c r="K369" s="4">
        <v>9.7167659999999999E-3</v>
      </c>
      <c r="L369" s="4">
        <v>0</v>
      </c>
      <c r="M369" s="4">
        <v>1.3227367000000001</v>
      </c>
      <c r="N369" s="4">
        <v>1.3227367000000001</v>
      </c>
      <c r="O369" s="4">
        <v>0</v>
      </c>
      <c r="P369" s="4">
        <v>79</v>
      </c>
      <c r="Q369" s="4">
        <v>131</v>
      </c>
      <c r="R369" s="4">
        <v>0</v>
      </c>
      <c r="S369" s="6">
        <v>0.36599999999999999</v>
      </c>
      <c r="T369" s="6">
        <v>0.36599999999999999</v>
      </c>
    </row>
    <row r="370" spans="1:20" ht="18" x14ac:dyDescent="0.2">
      <c r="A370" s="4" t="s">
        <v>1549</v>
      </c>
      <c r="B370" s="4" t="s">
        <v>2241</v>
      </c>
      <c r="C370" s="4" t="s">
        <v>2088</v>
      </c>
      <c r="D370" s="4">
        <v>2</v>
      </c>
      <c r="E370" s="4" t="s">
        <v>116</v>
      </c>
      <c r="F370" s="4">
        <v>0</v>
      </c>
      <c r="G370" s="4">
        <v>9</v>
      </c>
      <c r="H370" s="4">
        <v>9</v>
      </c>
      <c r="I370" s="4">
        <v>0</v>
      </c>
      <c r="J370" s="4">
        <v>6.9651089999999997E-3</v>
      </c>
      <c r="K370" s="4">
        <v>7.1948576E-3</v>
      </c>
      <c r="L370" s="4">
        <v>0</v>
      </c>
      <c r="M370" s="4">
        <v>0.47570657999999999</v>
      </c>
      <c r="N370" s="4">
        <v>0.47570657999999999</v>
      </c>
      <c r="O370" s="4">
        <v>0</v>
      </c>
      <c r="P370" s="4">
        <v>55</v>
      </c>
      <c r="Q370" s="4">
        <v>97</v>
      </c>
      <c r="R370" s="4">
        <v>0</v>
      </c>
      <c r="S370" s="6">
        <v>0.16900000000000001</v>
      </c>
      <c r="T370" s="6">
        <v>0.16900000000000001</v>
      </c>
    </row>
    <row r="371" spans="1:20" ht="18" x14ac:dyDescent="0.2">
      <c r="A371" s="4" t="s">
        <v>1550</v>
      </c>
      <c r="B371" s="4" t="s">
        <v>2241</v>
      </c>
      <c r="C371" s="4" t="s">
        <v>2088</v>
      </c>
      <c r="D371" s="4">
        <v>2</v>
      </c>
      <c r="E371" s="4" t="s">
        <v>116</v>
      </c>
      <c r="F371" s="4">
        <v>0</v>
      </c>
      <c r="G371" s="4">
        <v>17</v>
      </c>
      <c r="H371" s="4">
        <v>17</v>
      </c>
      <c r="I371" s="4">
        <v>0</v>
      </c>
      <c r="J371" s="4">
        <v>1.0004429E-2</v>
      </c>
      <c r="K371" s="4">
        <v>9.7167659999999999E-3</v>
      </c>
      <c r="L371" s="4">
        <v>0</v>
      </c>
      <c r="M371" s="4">
        <v>1.3227367000000001</v>
      </c>
      <c r="N371" s="4">
        <v>1.3227367000000001</v>
      </c>
      <c r="O371" s="4">
        <v>0</v>
      </c>
      <c r="P371" s="4">
        <v>79</v>
      </c>
      <c r="Q371" s="4">
        <v>131</v>
      </c>
      <c r="R371" s="4">
        <v>0</v>
      </c>
      <c r="S371" s="6">
        <v>0.36599999999999999</v>
      </c>
      <c r="T371" s="6">
        <v>0.36599999999999999</v>
      </c>
    </row>
    <row r="372" spans="1:20" ht="18" x14ac:dyDescent="0.2">
      <c r="A372" s="4" t="s">
        <v>1551</v>
      </c>
      <c r="B372" s="4" t="s">
        <v>2242</v>
      </c>
      <c r="C372" s="4" t="s">
        <v>2088</v>
      </c>
      <c r="D372" s="4">
        <v>2</v>
      </c>
      <c r="E372" s="4" t="s">
        <v>116</v>
      </c>
      <c r="F372" s="4">
        <v>0</v>
      </c>
      <c r="G372" s="4">
        <v>15</v>
      </c>
      <c r="H372" s="4">
        <v>15</v>
      </c>
      <c r="I372" s="4">
        <v>0</v>
      </c>
      <c r="J372" s="4">
        <v>1.063762E-2</v>
      </c>
      <c r="K372" s="4">
        <v>1.7356666E-2</v>
      </c>
      <c r="L372" s="4">
        <v>0</v>
      </c>
      <c r="M372" s="4">
        <v>1.0749135000000001</v>
      </c>
      <c r="N372" s="4">
        <v>1.0749135000000001</v>
      </c>
      <c r="O372" s="4">
        <v>0</v>
      </c>
      <c r="P372" s="4">
        <v>84</v>
      </c>
      <c r="Q372" s="4">
        <v>234</v>
      </c>
      <c r="R372" s="4">
        <v>0</v>
      </c>
      <c r="S372" s="6">
        <v>0.317</v>
      </c>
      <c r="T372" s="6">
        <v>0.317</v>
      </c>
    </row>
    <row r="373" spans="1:20" ht="18" x14ac:dyDescent="0.2">
      <c r="A373" s="4" t="s">
        <v>1552</v>
      </c>
      <c r="B373" s="4" t="s">
        <v>2243</v>
      </c>
      <c r="C373" s="4" t="s">
        <v>2088</v>
      </c>
      <c r="D373" s="4">
        <v>2</v>
      </c>
      <c r="E373" s="4" t="s">
        <v>116</v>
      </c>
      <c r="F373" s="4">
        <v>0</v>
      </c>
      <c r="G373" s="4">
        <v>6</v>
      </c>
      <c r="H373" s="4">
        <v>6</v>
      </c>
      <c r="I373" s="4">
        <v>0</v>
      </c>
      <c r="J373" s="4">
        <v>1.1736042E-2</v>
      </c>
      <c r="K373" s="4">
        <v>4.2130709999999997E-3</v>
      </c>
      <c r="L373" s="4">
        <v>0</v>
      </c>
      <c r="M373" s="4">
        <v>0.24451458000000001</v>
      </c>
      <c r="N373" s="4">
        <v>0.24451458000000001</v>
      </c>
      <c r="O373" s="4">
        <v>0</v>
      </c>
      <c r="P373" s="4">
        <v>62</v>
      </c>
      <c r="Q373" s="4">
        <v>38</v>
      </c>
      <c r="R373" s="4">
        <v>0</v>
      </c>
      <c r="S373" s="6">
        <v>9.5000000000000001E-2</v>
      </c>
      <c r="T373" s="6">
        <v>9.5000000000000001E-2</v>
      </c>
    </row>
    <row r="374" spans="1:20" ht="18" x14ac:dyDescent="0.2">
      <c r="A374" s="4" t="s">
        <v>1553</v>
      </c>
      <c r="B374" s="4" t="s">
        <v>2244</v>
      </c>
      <c r="C374" s="7" t="s">
        <v>2088</v>
      </c>
      <c r="D374" s="4">
        <v>2</v>
      </c>
      <c r="E374" s="4" t="s">
        <v>116</v>
      </c>
      <c r="F374" s="4">
        <v>0</v>
      </c>
      <c r="G374" s="4">
        <v>21</v>
      </c>
      <c r="H374" s="4">
        <v>18</v>
      </c>
      <c r="I374" s="4">
        <v>0</v>
      </c>
      <c r="J374" s="4">
        <v>2.783691E-3</v>
      </c>
      <c r="K374" s="4">
        <v>1.5978366E-3</v>
      </c>
      <c r="L374" s="4">
        <v>0</v>
      </c>
      <c r="M374" s="4">
        <v>1.6181829000000001</v>
      </c>
      <c r="N374" s="4">
        <v>1.3713736999999999</v>
      </c>
      <c r="O374" s="4">
        <v>0</v>
      </c>
      <c r="P374" s="4">
        <v>50</v>
      </c>
      <c r="Q374" s="4">
        <v>49</v>
      </c>
      <c r="R374" s="4">
        <v>0</v>
      </c>
      <c r="S374" s="6">
        <v>0.41799999999999998</v>
      </c>
      <c r="T374" s="6">
        <v>0.375</v>
      </c>
    </row>
    <row r="375" spans="1:20" ht="18" x14ac:dyDescent="0.2">
      <c r="A375" s="4" t="s">
        <v>1554</v>
      </c>
      <c r="B375" s="4" t="s">
        <v>2245</v>
      </c>
      <c r="C375" s="7" t="s">
        <v>2088</v>
      </c>
      <c r="D375" s="4">
        <v>2</v>
      </c>
      <c r="E375" s="4" t="s">
        <v>116</v>
      </c>
      <c r="F375" s="4">
        <v>0</v>
      </c>
      <c r="G375" s="4">
        <v>23</v>
      </c>
      <c r="H375" s="4">
        <v>50</v>
      </c>
      <c r="I375" s="4">
        <v>0</v>
      </c>
      <c r="J375" s="4">
        <v>1.4690046999999999E-2</v>
      </c>
      <c r="K375" s="4">
        <v>3.9089587000000002E-2</v>
      </c>
      <c r="L375" s="4">
        <v>0</v>
      </c>
      <c r="M375" s="4">
        <v>1.3227367000000001</v>
      </c>
      <c r="N375" s="4">
        <v>2.775722</v>
      </c>
      <c r="O375" s="4">
        <v>0</v>
      </c>
      <c r="P375" s="4">
        <v>116</v>
      </c>
      <c r="Q375" s="4">
        <v>527</v>
      </c>
      <c r="R375" s="4">
        <v>0</v>
      </c>
      <c r="S375" s="6">
        <v>0.36599999999999999</v>
      </c>
      <c r="T375" s="6">
        <v>0.57699999999999996</v>
      </c>
    </row>
    <row r="376" spans="1:20" ht="18" x14ac:dyDescent="0.2">
      <c r="A376" s="4" t="s">
        <v>1555</v>
      </c>
      <c r="B376" s="4" t="s">
        <v>2246</v>
      </c>
      <c r="C376" s="7" t="s">
        <v>2088</v>
      </c>
      <c r="D376" s="4">
        <v>2</v>
      </c>
      <c r="E376" s="4" t="s">
        <v>116</v>
      </c>
      <c r="F376" s="4">
        <v>0</v>
      </c>
      <c r="G376" s="4">
        <v>15</v>
      </c>
      <c r="H376" s="4">
        <v>33</v>
      </c>
      <c r="I376" s="4">
        <v>0</v>
      </c>
      <c r="J376" s="4">
        <v>6.8505312999999997E-3</v>
      </c>
      <c r="K376" s="4">
        <v>9.5295650000000003E-3</v>
      </c>
      <c r="L376" s="4">
        <v>0</v>
      </c>
      <c r="M376" s="4">
        <v>1.3280913999999999</v>
      </c>
      <c r="N376" s="4">
        <v>2.2359363999999999</v>
      </c>
      <c r="O376" s="4">
        <v>0</v>
      </c>
      <c r="P376" s="4">
        <v>56</v>
      </c>
      <c r="Q376" s="4">
        <v>133</v>
      </c>
      <c r="R376" s="4">
        <v>0</v>
      </c>
      <c r="S376" s="6">
        <v>0.36699999999999999</v>
      </c>
      <c r="T376" s="6">
        <v>0.51</v>
      </c>
    </row>
    <row r="377" spans="1:20" ht="18" x14ac:dyDescent="0.2">
      <c r="A377" s="4" t="s">
        <v>1556</v>
      </c>
      <c r="B377" s="4" t="s">
        <v>2247</v>
      </c>
      <c r="C377" s="7" t="s">
        <v>2088</v>
      </c>
      <c r="D377" s="4">
        <v>2</v>
      </c>
      <c r="E377" s="4" t="s">
        <v>116</v>
      </c>
      <c r="F377" s="4">
        <v>0</v>
      </c>
      <c r="G377" s="4">
        <v>3</v>
      </c>
      <c r="H377" s="4">
        <v>3</v>
      </c>
      <c r="I377" s="4">
        <v>0</v>
      </c>
      <c r="J377" s="4">
        <v>1.7126328E-3</v>
      </c>
      <c r="K377" s="4">
        <v>2.2928277000000001E-3</v>
      </c>
      <c r="L377" s="4">
        <v>0</v>
      </c>
      <c r="M377" s="4">
        <v>0.16949939999999999</v>
      </c>
      <c r="N377" s="4">
        <v>0.16949939999999999</v>
      </c>
      <c r="O377" s="4">
        <v>0</v>
      </c>
      <c r="P377" s="4">
        <v>14</v>
      </c>
      <c r="Q377" s="4">
        <v>32</v>
      </c>
      <c r="R377" s="4">
        <v>0</v>
      </c>
      <c r="S377" s="6">
        <v>6.8000000000000005E-2</v>
      </c>
      <c r="T377" s="6">
        <v>6.8000000000000005E-2</v>
      </c>
    </row>
    <row r="378" spans="1:20" ht="18" x14ac:dyDescent="0.2">
      <c r="A378" s="4" t="s">
        <v>1557</v>
      </c>
      <c r="B378" s="4" t="s">
        <v>2248</v>
      </c>
      <c r="C378" s="7" t="s">
        <v>2088</v>
      </c>
      <c r="D378" s="4">
        <v>2</v>
      </c>
      <c r="E378" s="4" t="s">
        <v>116</v>
      </c>
      <c r="F378" s="4">
        <v>0</v>
      </c>
      <c r="G378" s="4">
        <v>2</v>
      </c>
      <c r="H378" s="4">
        <v>2</v>
      </c>
      <c r="I378" s="4">
        <v>0</v>
      </c>
      <c r="J378" s="5">
        <v>7.8526834999999997E-5</v>
      </c>
      <c r="K378" s="5">
        <v>4.5994227999999997E-5</v>
      </c>
      <c r="L378" s="4">
        <v>0</v>
      </c>
      <c r="M378" s="4">
        <v>0.13501083999999999</v>
      </c>
      <c r="N378" s="4">
        <v>7.3989390000000002E-2</v>
      </c>
      <c r="O378" s="4">
        <v>0</v>
      </c>
      <c r="P378" s="4">
        <v>2</v>
      </c>
      <c r="Q378" s="4">
        <v>2</v>
      </c>
      <c r="R378" s="4">
        <v>0</v>
      </c>
      <c r="S378" s="6">
        <v>5.5E-2</v>
      </c>
      <c r="T378" s="6">
        <v>3.1E-2</v>
      </c>
    </row>
    <row r="379" spans="1:20" ht="18" x14ac:dyDescent="0.2">
      <c r="A379" s="4" t="s">
        <v>1558</v>
      </c>
      <c r="B379" s="4" t="s">
        <v>2249</v>
      </c>
      <c r="C379" s="7" t="s">
        <v>2088</v>
      </c>
      <c r="D379" s="4">
        <v>2</v>
      </c>
      <c r="E379" s="4" t="s">
        <v>116</v>
      </c>
      <c r="F379" s="4">
        <v>0</v>
      </c>
      <c r="G379" s="4">
        <v>2</v>
      </c>
      <c r="H379" s="4">
        <v>2</v>
      </c>
      <c r="I379" s="4">
        <v>0</v>
      </c>
      <c r="J379" s="5">
        <v>7.5084109999999996E-5</v>
      </c>
      <c r="K379" s="5">
        <v>4.3977780000000003E-5</v>
      </c>
      <c r="L379" s="4">
        <v>0</v>
      </c>
      <c r="M379" s="4">
        <v>0.12719749999999999</v>
      </c>
      <c r="N379" s="4">
        <v>6.9054840000000006E-2</v>
      </c>
      <c r="O379" s="4">
        <v>0</v>
      </c>
      <c r="P379" s="4">
        <v>2</v>
      </c>
      <c r="Q379" s="4">
        <v>2</v>
      </c>
      <c r="R379" s="4">
        <v>0</v>
      </c>
      <c r="S379" s="6">
        <v>5.1999999999999998E-2</v>
      </c>
      <c r="T379" s="6">
        <v>2.9000000000000001E-2</v>
      </c>
    </row>
    <row r="380" spans="1:20" ht="18" x14ac:dyDescent="0.2">
      <c r="A380" s="4" t="s">
        <v>1559</v>
      </c>
      <c r="B380" s="4" t="s">
        <v>2250</v>
      </c>
      <c r="C380" s="7" t="s">
        <v>2088</v>
      </c>
      <c r="D380" s="4">
        <v>2</v>
      </c>
      <c r="E380" s="4" t="s">
        <v>116</v>
      </c>
      <c r="F380" s="4">
        <v>0</v>
      </c>
      <c r="G380" s="4">
        <v>2</v>
      </c>
      <c r="H380" s="4">
        <v>3</v>
      </c>
      <c r="I380" s="4">
        <v>0</v>
      </c>
      <c r="J380" s="5">
        <v>4.9538969999999999E-5</v>
      </c>
      <c r="K380" s="5">
        <v>4.3523458000000003E-5</v>
      </c>
      <c r="L380" s="4">
        <v>0</v>
      </c>
      <c r="M380" s="4">
        <v>5.1961899999999998E-2</v>
      </c>
      <c r="N380" s="4">
        <v>0.12201846</v>
      </c>
      <c r="O380" s="4">
        <v>0</v>
      </c>
      <c r="P380" s="4">
        <v>2</v>
      </c>
      <c r="Q380" s="4">
        <v>3</v>
      </c>
      <c r="R380" s="4">
        <v>0</v>
      </c>
      <c r="S380" s="6">
        <v>2.1999999999999999E-2</v>
      </c>
      <c r="T380" s="6">
        <v>0.05</v>
      </c>
    </row>
    <row r="381" spans="1:20" ht="18" x14ac:dyDescent="0.2">
      <c r="A381" s="4" t="s">
        <v>1560</v>
      </c>
      <c r="B381" s="4" t="s">
        <v>2251</v>
      </c>
      <c r="C381" s="7" t="s">
        <v>2088</v>
      </c>
      <c r="D381" s="4">
        <v>2</v>
      </c>
      <c r="E381" s="4" t="s">
        <v>116</v>
      </c>
      <c r="F381" s="4">
        <v>0</v>
      </c>
      <c r="G381" s="4">
        <v>16</v>
      </c>
      <c r="H381" s="4">
        <v>10</v>
      </c>
      <c r="I381" s="4">
        <v>0</v>
      </c>
      <c r="J381" s="4">
        <v>1.2437564999999999E-3</v>
      </c>
      <c r="K381" s="5">
        <v>6.3742430000000004E-4</v>
      </c>
      <c r="L381" s="4">
        <v>0</v>
      </c>
      <c r="M381" s="4">
        <v>0.60324540000000004</v>
      </c>
      <c r="N381" s="4">
        <v>0.44211529999999999</v>
      </c>
      <c r="O381" s="4">
        <v>0</v>
      </c>
      <c r="P381" s="4">
        <v>24</v>
      </c>
      <c r="Q381" s="4">
        <v>21</v>
      </c>
      <c r="R381" s="4">
        <v>0</v>
      </c>
      <c r="S381" s="6">
        <v>0.20499999999999999</v>
      </c>
      <c r="T381" s="6">
        <v>0.159</v>
      </c>
    </row>
    <row r="382" spans="1:20" ht="18" x14ac:dyDescent="0.2">
      <c r="A382" s="4" t="s">
        <v>1561</v>
      </c>
      <c r="B382" s="4" t="s">
        <v>2252</v>
      </c>
      <c r="C382" s="7" t="s">
        <v>2088</v>
      </c>
      <c r="D382" s="4">
        <v>2</v>
      </c>
      <c r="E382" s="4" t="s">
        <v>116</v>
      </c>
      <c r="F382" s="4">
        <v>0</v>
      </c>
      <c r="G382" s="4">
        <v>109</v>
      </c>
      <c r="H382" s="4">
        <v>118</v>
      </c>
      <c r="I382" s="4">
        <v>0</v>
      </c>
      <c r="J382" s="4">
        <v>6.8049429999999999E-3</v>
      </c>
      <c r="K382" s="4">
        <v>4.7738034999999998E-3</v>
      </c>
      <c r="L382" s="4">
        <v>0</v>
      </c>
      <c r="M382" s="4">
        <v>1.8840315000000001</v>
      </c>
      <c r="N382" s="4">
        <v>1.9241524000000001</v>
      </c>
      <c r="O382" s="4">
        <v>0</v>
      </c>
      <c r="P382" s="4">
        <v>263</v>
      </c>
      <c r="Q382" s="4">
        <v>315</v>
      </c>
      <c r="R382" s="4">
        <v>0</v>
      </c>
      <c r="S382" s="6">
        <v>0.46</v>
      </c>
      <c r="T382" s="6">
        <v>0.46600000000000003</v>
      </c>
    </row>
    <row r="383" spans="1:20" ht="18" x14ac:dyDescent="0.2">
      <c r="A383" s="4" t="s">
        <v>1562</v>
      </c>
      <c r="B383" s="4" t="s">
        <v>2253</v>
      </c>
      <c r="C383" s="7" t="s">
        <v>2088</v>
      </c>
      <c r="D383" s="4">
        <v>2</v>
      </c>
      <c r="E383" s="4" t="s">
        <v>116</v>
      </c>
      <c r="F383" s="4">
        <v>0</v>
      </c>
      <c r="G383" s="4">
        <v>6</v>
      </c>
      <c r="H383" s="4">
        <v>15</v>
      </c>
      <c r="I383" s="4">
        <v>0</v>
      </c>
      <c r="J383" s="5">
        <v>3.1274164E-4</v>
      </c>
      <c r="K383" s="5">
        <v>6.6401660000000001E-4</v>
      </c>
      <c r="L383" s="4">
        <v>0</v>
      </c>
      <c r="M383" s="4">
        <v>0.11686325</v>
      </c>
      <c r="N383" s="4">
        <v>0.53815469999999999</v>
      </c>
      <c r="O383" s="4">
        <v>0</v>
      </c>
      <c r="P383" s="4">
        <v>8</v>
      </c>
      <c r="Q383" s="4">
        <v>29</v>
      </c>
      <c r="R383" s="4">
        <v>0</v>
      </c>
      <c r="S383" s="6">
        <v>4.8000000000000001E-2</v>
      </c>
      <c r="T383" s="6">
        <v>0.187</v>
      </c>
    </row>
    <row r="384" spans="1:20" ht="18" x14ac:dyDescent="0.2">
      <c r="A384" s="4" t="s">
        <v>1563</v>
      </c>
      <c r="B384" s="4" t="s">
        <v>2254</v>
      </c>
      <c r="C384" s="4" t="s">
        <v>2088</v>
      </c>
      <c r="D384" s="4">
        <v>2</v>
      </c>
      <c r="E384" s="4" t="s">
        <v>116</v>
      </c>
      <c r="F384" s="4">
        <v>0</v>
      </c>
      <c r="G384" s="4">
        <v>15</v>
      </c>
      <c r="H384" s="4">
        <v>15</v>
      </c>
      <c r="I384" s="4">
        <v>0</v>
      </c>
      <c r="J384" s="4">
        <v>6.3004884999999997E-3</v>
      </c>
      <c r="K384" s="4">
        <v>2.6139494000000001E-3</v>
      </c>
      <c r="L384" s="4">
        <v>0</v>
      </c>
      <c r="M384" s="4">
        <v>1.1677040999999999</v>
      </c>
      <c r="N384" s="4">
        <v>1.1677040999999999</v>
      </c>
      <c r="O384" s="4">
        <v>0</v>
      </c>
      <c r="P384" s="4">
        <v>48</v>
      </c>
      <c r="Q384" s="4">
        <v>34</v>
      </c>
      <c r="R384" s="4">
        <v>0</v>
      </c>
      <c r="S384" s="6">
        <v>0.33600000000000002</v>
      </c>
      <c r="T384" s="6">
        <v>0.33600000000000002</v>
      </c>
    </row>
    <row r="385" spans="1:20" ht="18" x14ac:dyDescent="0.2">
      <c r="A385" s="4" t="s">
        <v>1564</v>
      </c>
      <c r="B385" s="4" t="s">
        <v>2255</v>
      </c>
      <c r="C385" s="4" t="s">
        <v>2088</v>
      </c>
      <c r="D385" s="4">
        <v>2</v>
      </c>
      <c r="E385" s="4" t="s">
        <v>116</v>
      </c>
      <c r="F385" s="4">
        <v>0</v>
      </c>
      <c r="G385" s="4">
        <v>4</v>
      </c>
      <c r="H385" s="4">
        <v>2</v>
      </c>
      <c r="I385" s="4">
        <v>0</v>
      </c>
      <c r="J385" s="5">
        <v>3.7154224E-4</v>
      </c>
      <c r="K385" s="5">
        <v>8.7046916000000006E-5</v>
      </c>
      <c r="L385" s="4">
        <v>0</v>
      </c>
      <c r="M385" s="4">
        <v>0.25602996</v>
      </c>
      <c r="N385" s="4">
        <v>0.1324004</v>
      </c>
      <c r="O385" s="4">
        <v>0</v>
      </c>
      <c r="P385" s="4">
        <v>5</v>
      </c>
      <c r="Q385" s="4">
        <v>2</v>
      </c>
      <c r="R385" s="4">
        <v>0</v>
      </c>
      <c r="S385" s="6">
        <v>9.9000000000000005E-2</v>
      </c>
      <c r="T385" s="6">
        <v>5.3999999999999999E-2</v>
      </c>
    </row>
    <row r="386" spans="1:20" ht="18" x14ac:dyDescent="0.2">
      <c r="A386" s="4" t="s">
        <v>1565</v>
      </c>
      <c r="B386" s="4" t="s">
        <v>2256</v>
      </c>
      <c r="C386" s="4" t="s">
        <v>2088</v>
      </c>
      <c r="D386" s="4">
        <v>2</v>
      </c>
      <c r="E386" s="4" t="s">
        <v>116</v>
      </c>
      <c r="F386" s="4">
        <v>0</v>
      </c>
      <c r="G386" s="4">
        <v>17</v>
      </c>
      <c r="H386" s="4">
        <v>15</v>
      </c>
      <c r="I386" s="4">
        <v>0</v>
      </c>
      <c r="J386" s="4">
        <v>2.147927E-3</v>
      </c>
      <c r="K386" s="4">
        <v>1.4043571E-3</v>
      </c>
      <c r="L386" s="4">
        <v>0</v>
      </c>
      <c r="M386" s="4">
        <v>0.65576994</v>
      </c>
      <c r="N386" s="4">
        <v>0.43218790000000001</v>
      </c>
      <c r="O386" s="4">
        <v>0</v>
      </c>
      <c r="P386" s="4">
        <v>43</v>
      </c>
      <c r="Q386" s="4">
        <v>48</v>
      </c>
      <c r="R386" s="4">
        <v>0</v>
      </c>
      <c r="S386" s="6">
        <v>0.219</v>
      </c>
      <c r="T386" s="6">
        <v>0.156</v>
      </c>
    </row>
    <row r="387" spans="1:20" ht="18" x14ac:dyDescent="0.2">
      <c r="A387" s="4" t="s">
        <v>1566</v>
      </c>
      <c r="B387" s="4" t="s">
        <v>2257</v>
      </c>
      <c r="C387" s="4" t="s">
        <v>2088</v>
      </c>
      <c r="D387" s="4">
        <v>2</v>
      </c>
      <c r="E387" s="4" t="s">
        <v>116</v>
      </c>
      <c r="F387" s="4">
        <v>0</v>
      </c>
      <c r="G387" s="4">
        <v>3</v>
      </c>
      <c r="H387" s="4">
        <v>3</v>
      </c>
      <c r="I387" s="4">
        <v>0</v>
      </c>
      <c r="J387" s="4">
        <v>5.7018143E-3</v>
      </c>
      <c r="K387" s="4">
        <v>6.6792589999999999E-3</v>
      </c>
      <c r="L387" s="4">
        <v>0</v>
      </c>
      <c r="M387" s="4">
        <v>0.9633602</v>
      </c>
      <c r="N387" s="4">
        <v>0.9633602</v>
      </c>
      <c r="O387" s="4">
        <v>0</v>
      </c>
      <c r="P387" s="4">
        <v>13</v>
      </c>
      <c r="Q387" s="4">
        <v>26</v>
      </c>
      <c r="R387" s="4">
        <v>0</v>
      </c>
      <c r="S387" s="6">
        <v>0.29299999999999998</v>
      </c>
      <c r="T387" s="6">
        <v>0.29299999999999998</v>
      </c>
    </row>
    <row r="388" spans="1:20" ht="18" x14ac:dyDescent="0.2">
      <c r="A388" s="4" t="s">
        <v>1567</v>
      </c>
      <c r="B388" s="4" t="s">
        <v>2258</v>
      </c>
      <c r="C388" s="4" t="s">
        <v>2088</v>
      </c>
      <c r="D388" s="4">
        <v>2</v>
      </c>
      <c r="E388" s="4" t="s">
        <v>116</v>
      </c>
      <c r="F388" s="4">
        <v>0</v>
      </c>
      <c r="G388" s="4">
        <v>19</v>
      </c>
      <c r="H388" s="4">
        <v>30</v>
      </c>
      <c r="I388" s="4">
        <v>0</v>
      </c>
      <c r="J388" s="4">
        <v>2.7830284E-2</v>
      </c>
      <c r="K388" s="4">
        <v>7.3227189999999998E-2</v>
      </c>
      <c r="L388" s="4">
        <v>0</v>
      </c>
      <c r="M388" s="4">
        <v>9</v>
      </c>
      <c r="N388" s="4">
        <v>9</v>
      </c>
      <c r="O388" s="4">
        <v>0</v>
      </c>
      <c r="P388" s="4">
        <v>65</v>
      </c>
      <c r="Q388" s="4">
        <v>292</v>
      </c>
      <c r="R388" s="4">
        <v>0</v>
      </c>
      <c r="S388" s="6">
        <v>1</v>
      </c>
      <c r="T388" s="6">
        <v>1</v>
      </c>
    </row>
    <row r="389" spans="1:20" ht="18" x14ac:dyDescent="0.2">
      <c r="A389" s="4" t="s">
        <v>1568</v>
      </c>
      <c r="B389" s="4" t="s">
        <v>2259</v>
      </c>
      <c r="C389" s="7" t="s">
        <v>2088</v>
      </c>
      <c r="D389" s="4">
        <v>2</v>
      </c>
      <c r="E389" s="4" t="s">
        <v>116</v>
      </c>
      <c r="F389" s="4">
        <v>0</v>
      </c>
      <c r="G389" s="4">
        <v>46</v>
      </c>
      <c r="H389" s="4">
        <v>43</v>
      </c>
      <c r="I389" s="4">
        <v>0</v>
      </c>
      <c r="J389" s="4">
        <v>7.8923819999999999E-3</v>
      </c>
      <c r="K389" s="4">
        <v>5.0030220000000002E-3</v>
      </c>
      <c r="L389" s="4">
        <v>0</v>
      </c>
      <c r="M389" s="4">
        <v>1.1827300000000001</v>
      </c>
      <c r="N389" s="4">
        <v>1.2080047</v>
      </c>
      <c r="O389" s="4">
        <v>0</v>
      </c>
      <c r="P389" s="4">
        <v>158</v>
      </c>
      <c r="Q389" s="4">
        <v>171</v>
      </c>
      <c r="R389" s="4">
        <v>0</v>
      </c>
      <c r="S389" s="6">
        <v>0.33900000000000002</v>
      </c>
      <c r="T389" s="6">
        <v>0.34399999999999997</v>
      </c>
    </row>
    <row r="390" spans="1:20" ht="18" x14ac:dyDescent="0.2">
      <c r="A390" s="4" t="s">
        <v>1569</v>
      </c>
      <c r="B390" s="4" t="s">
        <v>2260</v>
      </c>
      <c r="C390" s="4" t="s">
        <v>2088</v>
      </c>
      <c r="D390" s="4">
        <v>2</v>
      </c>
      <c r="E390" s="4" t="s">
        <v>116</v>
      </c>
      <c r="F390" s="4">
        <v>0</v>
      </c>
      <c r="G390" s="4">
        <v>12</v>
      </c>
      <c r="H390" s="4">
        <v>8</v>
      </c>
      <c r="I390" s="4">
        <v>0</v>
      </c>
      <c r="J390" s="4">
        <v>3.2554785999999998E-3</v>
      </c>
      <c r="K390" s="4">
        <v>1.0895873E-3</v>
      </c>
      <c r="L390" s="4">
        <v>0</v>
      </c>
      <c r="M390" s="4">
        <v>1.6424087999999999</v>
      </c>
      <c r="N390" s="4">
        <v>1.4945948</v>
      </c>
      <c r="O390" s="4">
        <v>0</v>
      </c>
      <c r="P390" s="4">
        <v>21</v>
      </c>
      <c r="Q390" s="4">
        <v>12</v>
      </c>
      <c r="R390" s="4">
        <v>0</v>
      </c>
      <c r="S390" s="6">
        <v>0.42199999999999999</v>
      </c>
      <c r="T390" s="6">
        <v>0.39700000000000002</v>
      </c>
    </row>
    <row r="391" spans="1:20" ht="18" x14ac:dyDescent="0.2">
      <c r="A391" s="4" t="s">
        <v>1570</v>
      </c>
      <c r="B391" s="4" t="s">
        <v>2260</v>
      </c>
      <c r="C391" s="4" t="s">
        <v>2088</v>
      </c>
      <c r="D391" s="4">
        <v>2</v>
      </c>
      <c r="E391" s="4" t="s">
        <v>116</v>
      </c>
      <c r="F391" s="4">
        <v>0</v>
      </c>
      <c r="G391" s="4">
        <v>12</v>
      </c>
      <c r="H391" s="4">
        <v>8</v>
      </c>
      <c r="I391" s="4">
        <v>0</v>
      </c>
      <c r="J391" s="4">
        <v>3.2554785999999998E-3</v>
      </c>
      <c r="K391" s="4">
        <v>1.0895873E-3</v>
      </c>
      <c r="L391" s="4">
        <v>0</v>
      </c>
      <c r="M391" s="4">
        <v>1.6424087999999999</v>
      </c>
      <c r="N391" s="4">
        <v>1.4945948</v>
      </c>
      <c r="O391" s="4">
        <v>0</v>
      </c>
      <c r="P391" s="4">
        <v>21</v>
      </c>
      <c r="Q391" s="4">
        <v>12</v>
      </c>
      <c r="R391" s="4">
        <v>0</v>
      </c>
      <c r="S391" s="6">
        <v>0.42199999999999999</v>
      </c>
      <c r="T391" s="6">
        <v>0.39700000000000002</v>
      </c>
    </row>
    <row r="392" spans="1:20" ht="18" x14ac:dyDescent="0.2">
      <c r="A392" s="4" t="s">
        <v>1571</v>
      </c>
      <c r="B392" s="4" t="s">
        <v>2261</v>
      </c>
      <c r="C392" s="4" t="s">
        <v>2088</v>
      </c>
      <c r="D392" s="4">
        <v>2</v>
      </c>
      <c r="E392" s="4" t="s">
        <v>116</v>
      </c>
      <c r="F392" s="4">
        <v>0</v>
      </c>
      <c r="G392" s="4">
        <v>50</v>
      </c>
      <c r="H392" s="4">
        <v>51</v>
      </c>
      <c r="I392" s="4">
        <v>0</v>
      </c>
      <c r="J392" s="4">
        <v>1.24913E-2</v>
      </c>
      <c r="K392" s="4">
        <v>9.1542399999999993E-3</v>
      </c>
      <c r="L392" s="4">
        <v>0</v>
      </c>
      <c r="M392" s="4">
        <v>1.3933158000000001</v>
      </c>
      <c r="N392" s="4">
        <v>1.5292981000000001</v>
      </c>
      <c r="O392" s="4">
        <v>0</v>
      </c>
      <c r="P392" s="4">
        <v>207</v>
      </c>
      <c r="Q392" s="4">
        <v>259</v>
      </c>
      <c r="R392" s="4">
        <v>0</v>
      </c>
      <c r="S392" s="6">
        <v>0.379</v>
      </c>
      <c r="T392" s="6">
        <v>0.40300000000000002</v>
      </c>
    </row>
    <row r="393" spans="1:20" ht="18" x14ac:dyDescent="0.2">
      <c r="A393" s="4" t="s">
        <v>1572</v>
      </c>
      <c r="B393" s="4" t="s">
        <v>2262</v>
      </c>
      <c r="C393" s="4" t="s">
        <v>2088</v>
      </c>
      <c r="D393" s="4">
        <v>2</v>
      </c>
      <c r="E393" s="4" t="s">
        <v>116</v>
      </c>
      <c r="F393" s="4">
        <v>0</v>
      </c>
      <c r="G393" s="4">
        <v>3</v>
      </c>
      <c r="H393" s="4">
        <v>3</v>
      </c>
      <c r="I393" s="4">
        <v>0</v>
      </c>
      <c r="J393" s="5">
        <v>2.8945906999999999E-4</v>
      </c>
      <c r="K393" s="5">
        <v>1.6954007E-4</v>
      </c>
      <c r="L393" s="4">
        <v>0</v>
      </c>
      <c r="M393" s="4">
        <v>9.1440320000000005E-2</v>
      </c>
      <c r="N393" s="4">
        <v>9.1440320000000005E-2</v>
      </c>
      <c r="O393" s="4">
        <v>0</v>
      </c>
      <c r="P393" s="4">
        <v>8</v>
      </c>
      <c r="Q393" s="4">
        <v>8</v>
      </c>
      <c r="R393" s="4">
        <v>0</v>
      </c>
      <c r="S393" s="6">
        <v>3.7999999999999999E-2</v>
      </c>
      <c r="T393" s="6">
        <v>3.7999999999999999E-2</v>
      </c>
    </row>
    <row r="394" spans="1:20" ht="18" x14ac:dyDescent="0.2">
      <c r="A394" s="4" t="s">
        <v>1573</v>
      </c>
      <c r="B394" s="4" t="s">
        <v>2263</v>
      </c>
      <c r="C394" s="4" t="s">
        <v>2088</v>
      </c>
      <c r="D394" s="4">
        <v>2</v>
      </c>
      <c r="E394" s="4" t="s">
        <v>116</v>
      </c>
      <c r="F394" s="4">
        <v>0</v>
      </c>
      <c r="G394" s="4">
        <v>4</v>
      </c>
      <c r="H394" s="4">
        <v>2</v>
      </c>
      <c r="I394" s="4">
        <v>0</v>
      </c>
      <c r="J394" s="5">
        <v>6.563009E-5</v>
      </c>
      <c r="K394" s="5">
        <v>1.9220215E-5</v>
      </c>
      <c r="L394" s="4">
        <v>0</v>
      </c>
      <c r="M394" s="4">
        <v>4.9542427E-2</v>
      </c>
      <c r="N394" s="4">
        <v>4.9542427E-2</v>
      </c>
      <c r="O394" s="4">
        <v>0</v>
      </c>
      <c r="P394" s="4">
        <v>4</v>
      </c>
      <c r="Q394" s="4">
        <v>2</v>
      </c>
      <c r="R394" s="4">
        <v>0</v>
      </c>
      <c r="S394" s="6">
        <v>2.1000000000000001E-2</v>
      </c>
      <c r="T394" s="6">
        <v>2.1000000000000001E-2</v>
      </c>
    </row>
    <row r="395" spans="1:20" ht="18" x14ac:dyDescent="0.2">
      <c r="A395" s="4" t="s">
        <v>1574</v>
      </c>
      <c r="B395" s="4" t="s">
        <v>2264</v>
      </c>
      <c r="C395" s="4" t="s">
        <v>2088</v>
      </c>
      <c r="D395" s="4">
        <v>2</v>
      </c>
      <c r="E395" s="4" t="s">
        <v>116</v>
      </c>
      <c r="F395" s="4">
        <v>0</v>
      </c>
      <c r="G395" s="4">
        <v>34</v>
      </c>
      <c r="H395" s="4">
        <v>39</v>
      </c>
      <c r="I395" s="4">
        <v>0</v>
      </c>
      <c r="J395" s="4">
        <v>3.560016E-3</v>
      </c>
      <c r="K395" s="4">
        <v>3.1277240000000001E-3</v>
      </c>
      <c r="L395" s="4">
        <v>0</v>
      </c>
      <c r="M395" s="4">
        <v>1.2130947000000001</v>
      </c>
      <c r="N395" s="4">
        <v>1.2284349999999999</v>
      </c>
      <c r="O395" s="4">
        <v>0</v>
      </c>
      <c r="P395" s="4">
        <v>78</v>
      </c>
      <c r="Q395" s="4">
        <v>117</v>
      </c>
      <c r="R395" s="4">
        <v>0</v>
      </c>
      <c r="S395" s="6">
        <v>0.34499999999999997</v>
      </c>
      <c r="T395" s="6">
        <v>0.34799999999999998</v>
      </c>
    </row>
    <row r="396" spans="1:20" ht="18" x14ac:dyDescent="0.2">
      <c r="A396" s="4" t="s">
        <v>1575</v>
      </c>
      <c r="B396" s="4" t="s">
        <v>2265</v>
      </c>
      <c r="C396" s="4" t="s">
        <v>2088</v>
      </c>
      <c r="D396" s="4">
        <v>2</v>
      </c>
      <c r="E396" s="4" t="s">
        <v>116</v>
      </c>
      <c r="F396" s="4">
        <v>0</v>
      </c>
      <c r="G396" s="4">
        <v>17</v>
      </c>
      <c r="H396" s="4">
        <v>20</v>
      </c>
      <c r="I396" s="4">
        <v>0</v>
      </c>
      <c r="J396" s="4">
        <v>2.2877330000000001E-3</v>
      </c>
      <c r="K396" s="4">
        <v>1.6827354E-3</v>
      </c>
      <c r="L396" s="4">
        <v>0</v>
      </c>
      <c r="M396" s="4">
        <v>0.71395730000000002</v>
      </c>
      <c r="N396" s="4">
        <v>0.78237880000000004</v>
      </c>
      <c r="O396" s="4">
        <v>0</v>
      </c>
      <c r="P396" s="4">
        <v>43</v>
      </c>
      <c r="Q396" s="4">
        <v>54</v>
      </c>
      <c r="R396" s="4">
        <v>0</v>
      </c>
      <c r="S396" s="6">
        <v>0.23400000000000001</v>
      </c>
      <c r="T396" s="6">
        <v>0.251</v>
      </c>
    </row>
    <row r="397" spans="1:20" ht="18" x14ac:dyDescent="0.2">
      <c r="A397" s="4" t="s">
        <v>1576</v>
      </c>
      <c r="B397" s="4" t="s">
        <v>2266</v>
      </c>
      <c r="C397" s="4" t="s">
        <v>2000</v>
      </c>
      <c r="D397" s="4">
        <v>2</v>
      </c>
      <c r="E397" s="4" t="s">
        <v>116</v>
      </c>
      <c r="F397" s="4">
        <v>0</v>
      </c>
      <c r="G397" s="4">
        <v>3</v>
      </c>
      <c r="H397" s="4">
        <v>3</v>
      </c>
      <c r="I397" s="4">
        <v>0</v>
      </c>
      <c r="J397" s="5">
        <v>3.3147732000000002E-4</v>
      </c>
      <c r="K397" s="5">
        <v>1.4561306000000001E-4</v>
      </c>
      <c r="L397" s="4">
        <v>0</v>
      </c>
      <c r="M397" s="4">
        <v>9.9005819999999994E-2</v>
      </c>
      <c r="N397" s="4">
        <v>9.9005819999999994E-2</v>
      </c>
      <c r="O397" s="4">
        <v>0</v>
      </c>
      <c r="P397" s="4">
        <v>8</v>
      </c>
      <c r="Q397" s="4">
        <v>6</v>
      </c>
      <c r="R397" s="4">
        <v>0</v>
      </c>
      <c r="S397" s="6">
        <v>4.1000000000000002E-2</v>
      </c>
      <c r="T397" s="6">
        <v>4.1000000000000002E-2</v>
      </c>
    </row>
    <row r="398" spans="1:20" ht="18" x14ac:dyDescent="0.2">
      <c r="A398" s="4" t="s">
        <v>1577</v>
      </c>
      <c r="B398" s="4" t="s">
        <v>2267</v>
      </c>
      <c r="C398" s="4" t="s">
        <v>2000</v>
      </c>
      <c r="D398" s="4">
        <v>2</v>
      </c>
      <c r="E398" s="4" t="s">
        <v>116</v>
      </c>
      <c r="F398" s="4">
        <v>0</v>
      </c>
      <c r="G398" s="4">
        <v>15</v>
      </c>
      <c r="H398" s="4">
        <v>13</v>
      </c>
      <c r="I398" s="4">
        <v>0</v>
      </c>
      <c r="J398" s="4">
        <v>1.2844747000000001E-3</v>
      </c>
      <c r="K398" s="5">
        <v>4.8537686000000002E-4</v>
      </c>
      <c r="L398" s="4">
        <v>0</v>
      </c>
      <c r="M398" s="4">
        <v>0.81134010000000001</v>
      </c>
      <c r="N398" s="4">
        <v>0.62929606000000005</v>
      </c>
      <c r="O398" s="4">
        <v>0</v>
      </c>
      <c r="P398" s="4">
        <v>31</v>
      </c>
      <c r="Q398" s="4">
        <v>20</v>
      </c>
      <c r="R398" s="4">
        <v>0</v>
      </c>
      <c r="S398" s="6">
        <v>0.25800000000000001</v>
      </c>
      <c r="T398" s="6">
        <v>0.21199999999999999</v>
      </c>
    </row>
    <row r="399" spans="1:20" ht="18" x14ac:dyDescent="0.2">
      <c r="A399" s="4" t="s">
        <v>1578</v>
      </c>
      <c r="B399" s="4" t="s">
        <v>2268</v>
      </c>
      <c r="C399" s="4" t="s">
        <v>2000</v>
      </c>
      <c r="D399" s="4">
        <v>2</v>
      </c>
      <c r="E399" s="4" t="s">
        <v>116</v>
      </c>
      <c r="F399" s="4">
        <v>0</v>
      </c>
      <c r="G399" s="4">
        <v>3</v>
      </c>
      <c r="H399" s="4">
        <v>4</v>
      </c>
      <c r="I399" s="4">
        <v>0</v>
      </c>
      <c r="J399" s="5">
        <v>6.7016069999999996E-4</v>
      </c>
      <c r="K399" s="5">
        <v>3.9252216999999999E-4</v>
      </c>
      <c r="L399" s="4">
        <v>0</v>
      </c>
      <c r="M399" s="4">
        <v>0.20503592000000001</v>
      </c>
      <c r="N399" s="4">
        <v>0.53461694999999998</v>
      </c>
      <c r="O399" s="4">
        <v>0</v>
      </c>
      <c r="P399" s="4">
        <v>6</v>
      </c>
      <c r="Q399" s="4">
        <v>6</v>
      </c>
      <c r="R399" s="4">
        <v>0</v>
      </c>
      <c r="S399" s="6">
        <v>8.1000000000000003E-2</v>
      </c>
      <c r="T399" s="6">
        <v>0.186</v>
      </c>
    </row>
    <row r="400" spans="1:20" ht="18" x14ac:dyDescent="0.2">
      <c r="A400" s="4" t="s">
        <v>1579</v>
      </c>
      <c r="B400" s="4" t="s">
        <v>2269</v>
      </c>
      <c r="C400" s="4" t="s">
        <v>2000</v>
      </c>
      <c r="D400" s="4">
        <v>2</v>
      </c>
      <c r="E400" s="4" t="s">
        <v>116</v>
      </c>
      <c r="F400" s="4">
        <v>0</v>
      </c>
      <c r="G400" s="4">
        <v>16</v>
      </c>
      <c r="H400" s="4">
        <v>13</v>
      </c>
      <c r="I400" s="4">
        <v>0</v>
      </c>
      <c r="J400" s="4">
        <v>2.322083E-3</v>
      </c>
      <c r="K400" s="5">
        <v>8.8563054999999996E-4</v>
      </c>
      <c r="L400" s="4">
        <v>0</v>
      </c>
      <c r="M400" s="4">
        <v>0.70215859999999997</v>
      </c>
      <c r="N400" s="4">
        <v>0.51356124999999997</v>
      </c>
      <c r="O400" s="4">
        <v>0</v>
      </c>
      <c r="P400" s="4">
        <v>43</v>
      </c>
      <c r="Q400" s="4">
        <v>28</v>
      </c>
      <c r="R400" s="4">
        <v>0</v>
      </c>
      <c r="S400" s="6">
        <v>0.23100000000000001</v>
      </c>
      <c r="T400" s="6">
        <v>0.18</v>
      </c>
    </row>
    <row r="401" spans="1:20" ht="18" x14ac:dyDescent="0.2">
      <c r="A401" s="4" t="s">
        <v>1580</v>
      </c>
      <c r="B401" s="4" t="s">
        <v>2270</v>
      </c>
      <c r="C401" s="4" t="s">
        <v>2000</v>
      </c>
      <c r="D401" s="4">
        <v>2</v>
      </c>
      <c r="E401" s="4" t="s">
        <v>116</v>
      </c>
      <c r="F401" s="4">
        <v>0</v>
      </c>
      <c r="G401" s="4">
        <v>10</v>
      </c>
      <c r="H401" s="4">
        <v>7</v>
      </c>
      <c r="I401" s="4">
        <v>0</v>
      </c>
      <c r="J401" s="5">
        <v>5.6467246000000001E-4</v>
      </c>
      <c r="K401" s="5">
        <v>1.7808873999999999E-4</v>
      </c>
      <c r="L401" s="4">
        <v>0</v>
      </c>
      <c r="M401" s="4">
        <v>0.45881425999999997</v>
      </c>
      <c r="N401" s="4">
        <v>0.33659554000000003</v>
      </c>
      <c r="O401" s="4">
        <v>0</v>
      </c>
      <c r="P401" s="4">
        <v>13</v>
      </c>
      <c r="Q401" s="4">
        <v>7</v>
      </c>
      <c r="R401" s="4">
        <v>0</v>
      </c>
      <c r="S401" s="6">
        <v>0.16400000000000001</v>
      </c>
      <c r="T401" s="6">
        <v>0.126</v>
      </c>
    </row>
    <row r="402" spans="1:20" ht="18" x14ac:dyDescent="0.2">
      <c r="A402" s="4" t="s">
        <v>1581</v>
      </c>
      <c r="B402" s="4" t="s">
        <v>2269</v>
      </c>
      <c r="C402" s="4" t="s">
        <v>2000</v>
      </c>
      <c r="D402" s="4">
        <v>2</v>
      </c>
      <c r="E402" s="4" t="s">
        <v>116</v>
      </c>
      <c r="F402" s="4">
        <v>0</v>
      </c>
      <c r="G402" s="4">
        <v>16</v>
      </c>
      <c r="H402" s="4">
        <v>13</v>
      </c>
      <c r="I402" s="4">
        <v>0</v>
      </c>
      <c r="J402" s="4">
        <v>2.322083E-3</v>
      </c>
      <c r="K402" s="5">
        <v>8.8563054999999996E-4</v>
      </c>
      <c r="L402" s="4">
        <v>0</v>
      </c>
      <c r="M402" s="4">
        <v>0.70215859999999997</v>
      </c>
      <c r="N402" s="4">
        <v>0.51356124999999997</v>
      </c>
      <c r="O402" s="4">
        <v>0</v>
      </c>
      <c r="P402" s="4">
        <v>43</v>
      </c>
      <c r="Q402" s="4">
        <v>28</v>
      </c>
      <c r="R402" s="4">
        <v>0</v>
      </c>
      <c r="S402" s="6">
        <v>0.23100000000000001</v>
      </c>
      <c r="T402" s="6">
        <v>0.18</v>
      </c>
    </row>
    <row r="403" spans="1:20" ht="18" x14ac:dyDescent="0.2">
      <c r="A403" s="4" t="s">
        <v>1582</v>
      </c>
      <c r="B403" s="4" t="s">
        <v>2271</v>
      </c>
      <c r="C403" s="4" t="s">
        <v>2000</v>
      </c>
      <c r="D403" s="4">
        <v>2</v>
      </c>
      <c r="E403" s="4" t="s">
        <v>116</v>
      </c>
      <c r="F403" s="4">
        <v>0</v>
      </c>
      <c r="G403" s="4">
        <v>5</v>
      </c>
      <c r="H403" s="4">
        <v>2</v>
      </c>
      <c r="I403" s="4">
        <v>0</v>
      </c>
      <c r="J403" s="5">
        <v>2.4701436999999998E-4</v>
      </c>
      <c r="K403" s="5">
        <v>5.7871857E-5</v>
      </c>
      <c r="L403" s="4">
        <v>0</v>
      </c>
      <c r="M403" s="4">
        <v>0.35518944000000002</v>
      </c>
      <c r="N403" s="4">
        <v>0.27057409999999998</v>
      </c>
      <c r="O403" s="4">
        <v>0</v>
      </c>
      <c r="P403" s="4">
        <v>5</v>
      </c>
      <c r="Q403" s="4">
        <v>2</v>
      </c>
      <c r="R403" s="4">
        <v>0</v>
      </c>
      <c r="S403" s="6">
        <v>0.13200000000000001</v>
      </c>
      <c r="T403" s="6">
        <v>0.104</v>
      </c>
    </row>
    <row r="404" spans="1:20" ht="18" x14ac:dyDescent="0.2">
      <c r="A404" s="4" t="s">
        <v>1583</v>
      </c>
      <c r="B404" s="4" t="s">
        <v>2272</v>
      </c>
      <c r="C404" s="4" t="s">
        <v>2000</v>
      </c>
      <c r="D404" s="4">
        <v>2</v>
      </c>
      <c r="E404" s="4" t="s">
        <v>116</v>
      </c>
      <c r="F404" s="4">
        <v>0</v>
      </c>
      <c r="G404" s="4">
        <v>26</v>
      </c>
      <c r="H404" s="4">
        <v>3</v>
      </c>
      <c r="I404" s="4">
        <v>0</v>
      </c>
      <c r="J404" s="4">
        <v>1.2530279E-3</v>
      </c>
      <c r="K404" s="5">
        <v>5.9506651999999999E-5</v>
      </c>
      <c r="L404" s="4">
        <v>0</v>
      </c>
      <c r="M404" s="4">
        <v>0.74984660000000003</v>
      </c>
      <c r="N404" s="4">
        <v>0.10407864999999999</v>
      </c>
      <c r="O404" s="4">
        <v>0</v>
      </c>
      <c r="P404" s="4">
        <v>37</v>
      </c>
      <c r="Q404" s="4">
        <v>3</v>
      </c>
      <c r="R404" s="4">
        <v>0</v>
      </c>
      <c r="S404" s="6">
        <v>0.24299999999999999</v>
      </c>
      <c r="T404" s="6">
        <v>4.2999999999999997E-2</v>
      </c>
    </row>
    <row r="405" spans="1:20" ht="18" x14ac:dyDescent="0.2">
      <c r="A405" s="4" t="s">
        <v>1584</v>
      </c>
      <c r="B405" s="4" t="s">
        <v>2273</v>
      </c>
      <c r="C405" s="4" t="s">
        <v>2000</v>
      </c>
      <c r="D405" s="4">
        <v>2</v>
      </c>
      <c r="E405" s="4" t="s">
        <v>116</v>
      </c>
      <c r="F405" s="4">
        <v>0</v>
      </c>
      <c r="G405" s="4">
        <v>3</v>
      </c>
      <c r="H405" s="4">
        <v>3</v>
      </c>
      <c r="I405" s="4">
        <v>0</v>
      </c>
      <c r="J405" s="5">
        <v>3.3147732000000002E-4</v>
      </c>
      <c r="K405" s="5">
        <v>1.4561306000000001E-4</v>
      </c>
      <c r="L405" s="4">
        <v>0</v>
      </c>
      <c r="M405" s="4">
        <v>9.9005819999999994E-2</v>
      </c>
      <c r="N405" s="4">
        <v>9.9005819999999994E-2</v>
      </c>
      <c r="O405" s="4">
        <v>0</v>
      </c>
      <c r="P405" s="4">
        <v>8</v>
      </c>
      <c r="Q405" s="4">
        <v>6</v>
      </c>
      <c r="R405" s="4">
        <v>0</v>
      </c>
      <c r="S405" s="6">
        <v>4.1000000000000002E-2</v>
      </c>
      <c r="T405" s="6">
        <v>4.1000000000000002E-2</v>
      </c>
    </row>
    <row r="406" spans="1:20" ht="18" x14ac:dyDescent="0.2">
      <c r="A406" s="4" t="s">
        <v>1585</v>
      </c>
      <c r="B406" s="4" t="s">
        <v>2274</v>
      </c>
      <c r="C406" s="4" t="s">
        <v>2090</v>
      </c>
      <c r="D406" s="4">
        <v>2</v>
      </c>
      <c r="E406" s="4" t="s">
        <v>116</v>
      </c>
      <c r="F406" s="4">
        <v>0</v>
      </c>
      <c r="G406" s="4">
        <v>30</v>
      </c>
      <c r="H406" s="4">
        <v>51</v>
      </c>
      <c r="I406" s="4">
        <v>0</v>
      </c>
      <c r="J406" s="4">
        <v>3.6506122000000002E-3</v>
      </c>
      <c r="K406" s="4">
        <v>4.1576360000000001E-3</v>
      </c>
      <c r="L406" s="4">
        <v>0</v>
      </c>
      <c r="M406" s="4">
        <v>1.9785166000000001</v>
      </c>
      <c r="N406" s="4">
        <v>2.5399734999999999</v>
      </c>
      <c r="O406" s="4">
        <v>0</v>
      </c>
      <c r="P406" s="4">
        <v>54</v>
      </c>
      <c r="Q406" s="4">
        <v>105</v>
      </c>
      <c r="R406" s="4">
        <v>0</v>
      </c>
      <c r="S406" s="6">
        <v>0.47399999999999998</v>
      </c>
      <c r="T406" s="6">
        <v>0.54900000000000004</v>
      </c>
    </row>
    <row r="407" spans="1:20" ht="18" x14ac:dyDescent="0.2">
      <c r="A407" s="4" t="s">
        <v>1586</v>
      </c>
      <c r="B407" s="4" t="s">
        <v>2275</v>
      </c>
      <c r="C407" s="4" t="s">
        <v>2090</v>
      </c>
      <c r="D407" s="4">
        <v>2</v>
      </c>
      <c r="E407" s="4" t="s">
        <v>116</v>
      </c>
      <c r="F407" s="4">
        <v>0</v>
      </c>
      <c r="G407" s="4">
        <v>11</v>
      </c>
      <c r="H407" s="4">
        <v>8</v>
      </c>
      <c r="I407" s="4">
        <v>0</v>
      </c>
      <c r="J407" s="5">
        <v>6.113081E-4</v>
      </c>
      <c r="K407" s="5">
        <v>3.2821373000000001E-4</v>
      </c>
      <c r="L407" s="4">
        <v>0</v>
      </c>
      <c r="M407" s="4">
        <v>0.55955242999999999</v>
      </c>
      <c r="N407" s="4">
        <v>0.18576872</v>
      </c>
      <c r="O407" s="4">
        <v>0</v>
      </c>
      <c r="P407" s="4">
        <v>12</v>
      </c>
      <c r="Q407" s="4">
        <v>11</v>
      </c>
      <c r="R407" s="4">
        <v>0</v>
      </c>
      <c r="S407" s="6">
        <v>0.193</v>
      </c>
      <c r="T407" s="6">
        <v>7.3999999999999996E-2</v>
      </c>
    </row>
    <row r="408" spans="1:20" ht="18" x14ac:dyDescent="0.2">
      <c r="A408" s="4" t="s">
        <v>1587</v>
      </c>
      <c r="B408" s="4" t="s">
        <v>2276</v>
      </c>
      <c r="C408" s="4" t="s">
        <v>2090</v>
      </c>
      <c r="D408" s="4">
        <v>2</v>
      </c>
      <c r="E408" s="4" t="s">
        <v>116</v>
      </c>
      <c r="F408" s="4">
        <v>0</v>
      </c>
      <c r="G408" s="4">
        <v>12</v>
      </c>
      <c r="H408" s="4">
        <v>3</v>
      </c>
      <c r="I408" s="4">
        <v>0</v>
      </c>
      <c r="J408" s="4">
        <v>2.7053538E-3</v>
      </c>
      <c r="K408" s="5">
        <v>5.5925720000000003E-4</v>
      </c>
      <c r="L408" s="4">
        <v>0</v>
      </c>
      <c r="M408" s="4">
        <v>1.8840315000000001</v>
      </c>
      <c r="N408" s="4">
        <v>0.20226443</v>
      </c>
      <c r="O408" s="4">
        <v>0</v>
      </c>
      <c r="P408" s="4">
        <v>17</v>
      </c>
      <c r="Q408" s="4">
        <v>6</v>
      </c>
      <c r="R408" s="4">
        <v>0</v>
      </c>
      <c r="S408" s="6">
        <v>0.46</v>
      </c>
      <c r="T408" s="6">
        <v>0.08</v>
      </c>
    </row>
    <row r="409" spans="1:20" ht="18" x14ac:dyDescent="0.2">
      <c r="A409" s="4" t="s">
        <v>1588</v>
      </c>
      <c r="B409" s="4" t="s">
        <v>2277</v>
      </c>
      <c r="C409" s="4" t="s">
        <v>2090</v>
      </c>
      <c r="D409" s="4">
        <v>2</v>
      </c>
      <c r="E409" s="4" t="s">
        <v>116</v>
      </c>
      <c r="F409" s="4">
        <v>0</v>
      </c>
      <c r="G409" s="4">
        <v>23</v>
      </c>
      <c r="H409" s="4">
        <v>44</v>
      </c>
      <c r="I409" s="4">
        <v>0</v>
      </c>
      <c r="J409" s="4">
        <v>2.704157E-3</v>
      </c>
      <c r="K409" s="4">
        <v>3.4844948000000001E-3</v>
      </c>
      <c r="L409" s="4">
        <v>0</v>
      </c>
      <c r="M409" s="4">
        <v>1.6363312999999999</v>
      </c>
      <c r="N409" s="4">
        <v>2.3342640000000001</v>
      </c>
      <c r="O409" s="4">
        <v>0</v>
      </c>
      <c r="P409" s="4">
        <v>40</v>
      </c>
      <c r="Q409" s="4">
        <v>88</v>
      </c>
      <c r="R409" s="4">
        <v>0</v>
      </c>
      <c r="S409" s="6">
        <v>0.42099999999999999</v>
      </c>
      <c r="T409" s="6">
        <v>0.52300000000000002</v>
      </c>
    </row>
    <row r="410" spans="1:20" ht="18" x14ac:dyDescent="0.2">
      <c r="A410" s="4" t="s">
        <v>1589</v>
      </c>
      <c r="B410" s="4" t="s">
        <v>2278</v>
      </c>
      <c r="C410" s="4" t="s">
        <v>2279</v>
      </c>
      <c r="D410" s="4">
        <v>2</v>
      </c>
      <c r="E410" s="4" t="s">
        <v>116</v>
      </c>
      <c r="F410" s="4">
        <v>0</v>
      </c>
      <c r="G410" s="4">
        <v>26</v>
      </c>
      <c r="H410" s="4">
        <v>45</v>
      </c>
      <c r="I410" s="4">
        <v>0</v>
      </c>
      <c r="J410" s="4">
        <v>3.3125924000000002E-3</v>
      </c>
      <c r="K410" s="4">
        <v>3.7220740000000001E-3</v>
      </c>
      <c r="L410" s="4">
        <v>0</v>
      </c>
      <c r="M410" s="4">
        <v>1.7039584999999999</v>
      </c>
      <c r="N410" s="4">
        <v>2.2210689000000001</v>
      </c>
      <c r="O410" s="4">
        <v>0</v>
      </c>
      <c r="P410" s="4">
        <v>49</v>
      </c>
      <c r="Q410" s="4">
        <v>94</v>
      </c>
      <c r="R410" s="4">
        <v>0</v>
      </c>
      <c r="S410" s="6">
        <v>0.432</v>
      </c>
      <c r="T410" s="6">
        <v>0.50800000000000001</v>
      </c>
    </row>
    <row r="411" spans="1:20" ht="18" x14ac:dyDescent="0.2">
      <c r="A411" s="4" t="s">
        <v>1590</v>
      </c>
      <c r="B411" s="4" t="s">
        <v>2280</v>
      </c>
      <c r="C411" s="4" t="s">
        <v>2279</v>
      </c>
      <c r="D411" s="4">
        <v>2</v>
      </c>
      <c r="E411" s="4" t="s">
        <v>116</v>
      </c>
      <c r="F411" s="4">
        <v>0</v>
      </c>
      <c r="G411" s="4">
        <v>6</v>
      </c>
      <c r="H411" s="4">
        <v>6</v>
      </c>
      <c r="I411" s="4">
        <v>0</v>
      </c>
      <c r="J411" s="4">
        <v>1.8602737E-3</v>
      </c>
      <c r="K411" s="5">
        <v>9.6852210000000002E-4</v>
      </c>
      <c r="L411" s="4">
        <v>0</v>
      </c>
      <c r="M411" s="4">
        <v>1.5941794</v>
      </c>
      <c r="N411" s="4">
        <v>0.99067329999999998</v>
      </c>
      <c r="O411" s="4">
        <v>0</v>
      </c>
      <c r="P411" s="4">
        <v>9</v>
      </c>
      <c r="Q411" s="4">
        <v>8</v>
      </c>
      <c r="R411" s="4">
        <v>0</v>
      </c>
      <c r="S411" s="6">
        <v>0.41399999999999998</v>
      </c>
      <c r="T411" s="6">
        <v>0.29899999999999999</v>
      </c>
    </row>
    <row r="412" spans="1:20" ht="18" x14ac:dyDescent="0.2">
      <c r="A412" s="4" t="s">
        <v>1591</v>
      </c>
      <c r="B412" s="4" t="s">
        <v>2281</v>
      </c>
      <c r="C412" s="4" t="s">
        <v>2045</v>
      </c>
      <c r="D412" s="4">
        <v>2</v>
      </c>
      <c r="E412" s="4" t="s">
        <v>116</v>
      </c>
      <c r="F412" s="4">
        <v>0</v>
      </c>
      <c r="G412" s="4">
        <v>3</v>
      </c>
      <c r="H412" s="4">
        <v>3</v>
      </c>
      <c r="I412" s="4">
        <v>0</v>
      </c>
      <c r="J412" s="5">
        <v>1.5591887999999999E-4</v>
      </c>
      <c r="K412" s="5">
        <v>9.1323789999999994E-5</v>
      </c>
      <c r="L412" s="4">
        <v>0</v>
      </c>
      <c r="M412" s="4">
        <v>0.11943793</v>
      </c>
      <c r="N412" s="4">
        <v>0.11943793</v>
      </c>
      <c r="O412" s="4">
        <v>0</v>
      </c>
      <c r="P412" s="4">
        <v>3</v>
      </c>
      <c r="Q412" s="4">
        <v>3</v>
      </c>
      <c r="R412" s="4">
        <v>0</v>
      </c>
      <c r="S412" s="6">
        <v>4.9000000000000002E-2</v>
      </c>
      <c r="T412" s="6">
        <v>4.9000000000000002E-2</v>
      </c>
    </row>
    <row r="413" spans="1:20" ht="18" x14ac:dyDescent="0.2">
      <c r="A413" s="4" t="s">
        <v>1592</v>
      </c>
      <c r="B413" s="4" t="s">
        <v>2282</v>
      </c>
      <c r="C413" s="4" t="s">
        <v>2045</v>
      </c>
      <c r="D413" s="4">
        <v>2</v>
      </c>
      <c r="E413" s="4" t="s">
        <v>116</v>
      </c>
      <c r="F413" s="4">
        <v>0</v>
      </c>
      <c r="G413" s="4">
        <v>3</v>
      </c>
      <c r="H413" s="4">
        <v>2</v>
      </c>
      <c r="I413" s="4">
        <v>0</v>
      </c>
      <c r="J413" s="5">
        <v>2.4701436999999998E-4</v>
      </c>
      <c r="K413" s="5">
        <v>5.7871857E-5</v>
      </c>
      <c r="L413" s="4">
        <v>0</v>
      </c>
      <c r="M413" s="4">
        <v>9.9005819999999994E-2</v>
      </c>
      <c r="N413" s="4">
        <v>9.9005819999999994E-2</v>
      </c>
      <c r="O413" s="4">
        <v>0</v>
      </c>
      <c r="P413" s="4">
        <v>5</v>
      </c>
      <c r="Q413" s="4">
        <v>2</v>
      </c>
      <c r="R413" s="4">
        <v>0</v>
      </c>
      <c r="S413" s="6">
        <v>4.1000000000000002E-2</v>
      </c>
      <c r="T413" s="6">
        <v>4.1000000000000002E-2</v>
      </c>
    </row>
    <row r="414" spans="1:20" ht="18" x14ac:dyDescent="0.2">
      <c r="A414" s="4" t="s">
        <v>1593</v>
      </c>
      <c r="B414" s="4" t="s">
        <v>2283</v>
      </c>
      <c r="C414" s="4" t="s">
        <v>2045</v>
      </c>
      <c r="D414" s="4">
        <v>2</v>
      </c>
      <c r="E414" s="4" t="s">
        <v>116</v>
      </c>
      <c r="F414" s="4">
        <v>0</v>
      </c>
      <c r="G414" s="4">
        <v>3</v>
      </c>
      <c r="H414" s="4">
        <v>3</v>
      </c>
      <c r="I414" s="4">
        <v>0</v>
      </c>
      <c r="J414" s="5">
        <v>8.1492349999999996E-5</v>
      </c>
      <c r="K414" s="5">
        <v>4.7731166000000002E-5</v>
      </c>
      <c r="L414" s="4">
        <v>0</v>
      </c>
      <c r="M414" s="4">
        <v>4.2317390000000003E-2</v>
      </c>
      <c r="N414" s="4">
        <v>4.2317390000000003E-2</v>
      </c>
      <c r="O414" s="4">
        <v>0</v>
      </c>
      <c r="P414" s="4">
        <v>3</v>
      </c>
      <c r="Q414" s="4">
        <v>3</v>
      </c>
      <c r="R414" s="4">
        <v>0</v>
      </c>
      <c r="S414" s="6">
        <v>1.7999999999999999E-2</v>
      </c>
      <c r="T414" s="6">
        <v>1.7999999999999999E-2</v>
      </c>
    </row>
    <row r="415" spans="1:20" ht="18" x14ac:dyDescent="0.2">
      <c r="A415" s="4" t="s">
        <v>1594</v>
      </c>
      <c r="B415" s="4" t="s">
        <v>2284</v>
      </c>
      <c r="C415" s="4" t="s">
        <v>2045</v>
      </c>
      <c r="D415" s="4">
        <v>2</v>
      </c>
      <c r="E415" s="4" t="s">
        <v>116</v>
      </c>
      <c r="F415" s="4">
        <v>0</v>
      </c>
      <c r="G415" s="4">
        <v>12</v>
      </c>
      <c r="H415" s="4">
        <v>6</v>
      </c>
      <c r="I415" s="4">
        <v>0</v>
      </c>
      <c r="J415" s="4">
        <v>1.1601707000000001E-3</v>
      </c>
      <c r="K415" s="5">
        <v>2.0385828E-4</v>
      </c>
      <c r="L415" s="4">
        <v>0</v>
      </c>
      <c r="M415" s="4">
        <v>0.36458312999999998</v>
      </c>
      <c r="N415" s="4">
        <v>0.21338879999999999</v>
      </c>
      <c r="O415" s="4">
        <v>0</v>
      </c>
      <c r="P415" s="4">
        <v>20</v>
      </c>
      <c r="Q415" s="4">
        <v>6</v>
      </c>
      <c r="R415" s="4">
        <v>0</v>
      </c>
      <c r="S415" s="6">
        <v>0.13500000000000001</v>
      </c>
      <c r="T415" s="6">
        <v>8.4000000000000005E-2</v>
      </c>
    </row>
    <row r="416" spans="1:20" ht="18" x14ac:dyDescent="0.2">
      <c r="A416" s="4" t="s">
        <v>1595</v>
      </c>
      <c r="B416" s="4" t="s">
        <v>2285</v>
      </c>
      <c r="C416" s="4" t="s">
        <v>2045</v>
      </c>
      <c r="D416" s="4">
        <v>2</v>
      </c>
      <c r="E416" s="4" t="s">
        <v>116</v>
      </c>
      <c r="F416" s="4">
        <v>0</v>
      </c>
      <c r="G416" s="4">
        <v>7</v>
      </c>
      <c r="H416" s="4">
        <v>3</v>
      </c>
      <c r="I416" s="4">
        <v>0</v>
      </c>
      <c r="J416" s="5">
        <v>1.8581376999999999E-4</v>
      </c>
      <c r="K416" s="5">
        <v>3.6277876999999997E-5</v>
      </c>
      <c r="L416" s="4">
        <v>0</v>
      </c>
      <c r="M416" s="4">
        <v>0.15611220000000001</v>
      </c>
      <c r="N416" s="4">
        <v>5.9253693000000003E-2</v>
      </c>
      <c r="O416" s="4">
        <v>0</v>
      </c>
      <c r="P416" s="4">
        <v>9</v>
      </c>
      <c r="Q416" s="4">
        <v>3</v>
      </c>
      <c r="R416" s="4">
        <v>0</v>
      </c>
      <c r="S416" s="6">
        <v>6.3E-2</v>
      </c>
      <c r="T416" s="6">
        <v>2.5000000000000001E-2</v>
      </c>
    </row>
    <row r="417" spans="1:20" ht="18" x14ac:dyDescent="0.2">
      <c r="A417" s="4" t="s">
        <v>1596</v>
      </c>
      <c r="B417" s="4" t="s">
        <v>2286</v>
      </c>
      <c r="C417" s="7" t="s">
        <v>2045</v>
      </c>
      <c r="D417" s="4">
        <v>2</v>
      </c>
      <c r="E417" s="4" t="s">
        <v>116</v>
      </c>
      <c r="F417" s="4">
        <v>0</v>
      </c>
      <c r="G417" s="4">
        <v>10</v>
      </c>
      <c r="H417" s="4">
        <v>7</v>
      </c>
      <c r="I417" s="4">
        <v>0</v>
      </c>
      <c r="J417" s="5">
        <v>5.5926887000000002E-4</v>
      </c>
      <c r="K417" s="5">
        <v>1.7638454999999999E-4</v>
      </c>
      <c r="L417" s="4">
        <v>0</v>
      </c>
      <c r="M417" s="4">
        <v>0.455459</v>
      </c>
      <c r="N417" s="4">
        <v>0.33045447</v>
      </c>
      <c r="O417" s="4">
        <v>0</v>
      </c>
      <c r="P417" s="4">
        <v>13</v>
      </c>
      <c r="Q417" s="4">
        <v>7</v>
      </c>
      <c r="R417" s="4">
        <v>0</v>
      </c>
      <c r="S417" s="6">
        <v>0.16300000000000001</v>
      </c>
      <c r="T417" s="6">
        <v>0.124</v>
      </c>
    </row>
    <row r="418" spans="1:20" ht="18" x14ac:dyDescent="0.2">
      <c r="A418" s="4" t="s">
        <v>1597</v>
      </c>
      <c r="B418" s="4" t="s">
        <v>2287</v>
      </c>
      <c r="C418" s="4" t="s">
        <v>2045</v>
      </c>
      <c r="D418" s="4">
        <v>2</v>
      </c>
      <c r="E418" s="4" t="s">
        <v>116</v>
      </c>
      <c r="F418" s="4">
        <v>0</v>
      </c>
      <c r="G418" s="4">
        <v>3</v>
      </c>
      <c r="H418" s="4">
        <v>5</v>
      </c>
      <c r="I418" s="4">
        <v>0</v>
      </c>
      <c r="J418" s="5">
        <v>1.7332670000000001E-4</v>
      </c>
      <c r="K418" s="5">
        <v>1.2689972999999999E-4</v>
      </c>
      <c r="L418" s="4">
        <v>0</v>
      </c>
      <c r="M418" s="4">
        <v>0.20781385999999999</v>
      </c>
      <c r="N418" s="4">
        <v>0.20781385999999999</v>
      </c>
      <c r="O418" s="4">
        <v>0</v>
      </c>
      <c r="P418" s="4">
        <v>4</v>
      </c>
      <c r="Q418" s="4">
        <v>5</v>
      </c>
      <c r="R418" s="4">
        <v>0</v>
      </c>
      <c r="S418" s="6">
        <v>8.2000000000000003E-2</v>
      </c>
      <c r="T418" s="6">
        <v>8.2000000000000003E-2</v>
      </c>
    </row>
    <row r="419" spans="1:20" ht="18" x14ac:dyDescent="0.2">
      <c r="A419" s="4" t="s">
        <v>1598</v>
      </c>
      <c r="B419" s="4" t="s">
        <v>2288</v>
      </c>
      <c r="C419" s="4" t="s">
        <v>2045</v>
      </c>
      <c r="D419" s="4">
        <v>2</v>
      </c>
      <c r="E419" s="4" t="s">
        <v>116</v>
      </c>
      <c r="F419" s="4">
        <v>0</v>
      </c>
      <c r="G419" s="4">
        <v>15</v>
      </c>
      <c r="H419" s="4">
        <v>5</v>
      </c>
      <c r="I419" s="4">
        <v>0</v>
      </c>
      <c r="J419" s="5">
        <v>5.7742435999999996E-4</v>
      </c>
      <c r="K419" s="5">
        <v>8.0525059999999996E-5</v>
      </c>
      <c r="L419" s="4">
        <v>0</v>
      </c>
      <c r="M419" s="4">
        <v>0.32434153999999998</v>
      </c>
      <c r="N419" s="4">
        <v>0.13501083999999999</v>
      </c>
      <c r="O419" s="4">
        <v>0</v>
      </c>
      <c r="P419" s="4">
        <v>21</v>
      </c>
      <c r="Q419" s="4">
        <v>5</v>
      </c>
      <c r="R419" s="4">
        <v>0</v>
      </c>
      <c r="S419" s="6">
        <v>0.122</v>
      </c>
      <c r="T419" s="6">
        <v>5.5E-2</v>
      </c>
    </row>
    <row r="420" spans="1:20" ht="18" x14ac:dyDescent="0.2">
      <c r="A420" s="4" t="s">
        <v>1599</v>
      </c>
      <c r="B420" s="4" t="s">
        <v>2289</v>
      </c>
      <c r="C420" s="4" t="s">
        <v>2045</v>
      </c>
      <c r="D420" s="4">
        <v>2</v>
      </c>
      <c r="E420" s="4" t="s">
        <v>116</v>
      </c>
      <c r="F420" s="4">
        <v>0</v>
      </c>
      <c r="G420" s="4">
        <v>6</v>
      </c>
      <c r="H420" s="4">
        <v>3</v>
      </c>
      <c r="I420" s="4">
        <v>0</v>
      </c>
      <c r="J420" s="5">
        <v>4.9099370000000003E-4</v>
      </c>
      <c r="K420" s="5">
        <v>1.07843116E-4</v>
      </c>
      <c r="L420" s="4">
        <v>0</v>
      </c>
      <c r="M420" s="4">
        <v>0.14287830000000001</v>
      </c>
      <c r="N420" s="4">
        <v>0.13501083999999999</v>
      </c>
      <c r="O420" s="4">
        <v>0</v>
      </c>
      <c r="P420" s="4">
        <v>8</v>
      </c>
      <c r="Q420" s="4">
        <v>3</v>
      </c>
      <c r="R420" s="4">
        <v>0</v>
      </c>
      <c r="S420" s="6">
        <v>5.8000000000000003E-2</v>
      </c>
      <c r="T420" s="6">
        <v>5.5E-2</v>
      </c>
    </row>
    <row r="421" spans="1:20" ht="18" x14ac:dyDescent="0.2">
      <c r="A421" s="4" t="s">
        <v>1600</v>
      </c>
      <c r="B421" s="4" t="s">
        <v>2290</v>
      </c>
      <c r="C421" s="4" t="s">
        <v>2045</v>
      </c>
      <c r="D421" s="4">
        <v>2</v>
      </c>
      <c r="E421" s="4" t="s">
        <v>116</v>
      </c>
      <c r="F421" s="4">
        <v>0</v>
      </c>
      <c r="G421" s="4">
        <v>5</v>
      </c>
      <c r="H421" s="4">
        <v>4</v>
      </c>
      <c r="I421" s="4">
        <v>0</v>
      </c>
      <c r="J421" s="5">
        <v>2.7544532E-4</v>
      </c>
      <c r="K421" s="5">
        <v>9.2189740000000005E-5</v>
      </c>
      <c r="L421" s="4">
        <v>0</v>
      </c>
      <c r="M421" s="4">
        <v>0.18576872</v>
      </c>
      <c r="N421" s="4">
        <v>0.18576872</v>
      </c>
      <c r="O421" s="4">
        <v>0</v>
      </c>
      <c r="P421" s="4">
        <v>7</v>
      </c>
      <c r="Q421" s="4">
        <v>4</v>
      </c>
      <c r="R421" s="4">
        <v>0</v>
      </c>
      <c r="S421" s="6">
        <v>7.3999999999999996E-2</v>
      </c>
      <c r="T421" s="6">
        <v>7.3999999999999996E-2</v>
      </c>
    </row>
    <row r="422" spans="1:20" ht="18" x14ac:dyDescent="0.2">
      <c r="A422" s="4" t="s">
        <v>1601</v>
      </c>
      <c r="B422" s="4" t="s">
        <v>2291</v>
      </c>
      <c r="C422" s="4" t="s">
        <v>2045</v>
      </c>
      <c r="D422" s="4">
        <v>2</v>
      </c>
      <c r="E422" s="4" t="s">
        <v>116</v>
      </c>
      <c r="F422" s="4">
        <v>0</v>
      </c>
      <c r="G422" s="4">
        <v>4</v>
      </c>
      <c r="H422" s="4">
        <v>4</v>
      </c>
      <c r="I422" s="4">
        <v>0</v>
      </c>
      <c r="J422" s="5">
        <v>2.7187585E-4</v>
      </c>
      <c r="K422" s="5">
        <v>9.0995054000000007E-5</v>
      </c>
      <c r="L422" s="4">
        <v>0</v>
      </c>
      <c r="M422" s="4">
        <v>0.19674051000000001</v>
      </c>
      <c r="N422" s="4">
        <v>0.30918192999999999</v>
      </c>
      <c r="O422" s="4">
        <v>0</v>
      </c>
      <c r="P422" s="4">
        <v>7</v>
      </c>
      <c r="Q422" s="4">
        <v>4</v>
      </c>
      <c r="R422" s="4">
        <v>0</v>
      </c>
      <c r="S422" s="6">
        <v>7.8E-2</v>
      </c>
      <c r="T422" s="6">
        <v>0.11700000000000001</v>
      </c>
    </row>
    <row r="423" spans="1:20" ht="18" x14ac:dyDescent="0.2">
      <c r="A423" s="4" t="s">
        <v>1602</v>
      </c>
      <c r="B423" s="4" t="s">
        <v>2292</v>
      </c>
      <c r="C423" s="4" t="s">
        <v>2045</v>
      </c>
      <c r="D423" s="4">
        <v>2</v>
      </c>
      <c r="E423" s="4" t="s">
        <v>116</v>
      </c>
      <c r="F423" s="4">
        <v>0</v>
      </c>
      <c r="G423" s="4">
        <v>3</v>
      </c>
      <c r="H423" s="4">
        <v>2</v>
      </c>
      <c r="I423" s="4">
        <v>0</v>
      </c>
      <c r="J423" s="5">
        <v>1.7630044000000001E-4</v>
      </c>
      <c r="K423" s="5">
        <v>6.8841030000000002E-5</v>
      </c>
      <c r="L423" s="4">
        <v>0</v>
      </c>
      <c r="M423" s="4">
        <v>0.18850218999999999</v>
      </c>
      <c r="N423" s="4">
        <v>9.3956349999999994E-2</v>
      </c>
      <c r="O423" s="4">
        <v>0</v>
      </c>
      <c r="P423" s="4">
        <v>3</v>
      </c>
      <c r="Q423" s="4">
        <v>2</v>
      </c>
      <c r="R423" s="4">
        <v>0</v>
      </c>
      <c r="S423" s="6">
        <v>7.4999999999999997E-2</v>
      </c>
      <c r="T423" s="6">
        <v>3.9E-2</v>
      </c>
    </row>
    <row r="424" spans="1:20" ht="18" x14ac:dyDescent="0.2">
      <c r="A424" s="4" t="s">
        <v>1603</v>
      </c>
      <c r="B424" s="4" t="s">
        <v>2293</v>
      </c>
      <c r="C424" s="4" t="s">
        <v>282</v>
      </c>
      <c r="D424" s="4">
        <v>2</v>
      </c>
      <c r="E424" s="4" t="s">
        <v>116</v>
      </c>
      <c r="F424" s="4">
        <v>0</v>
      </c>
      <c r="G424" s="4">
        <v>3</v>
      </c>
      <c r="H424" s="4">
        <v>3</v>
      </c>
      <c r="I424" s="4">
        <v>0</v>
      </c>
      <c r="J424" s="5">
        <v>1.847532E-4</v>
      </c>
      <c r="K424" s="5">
        <v>1.0821244E-4</v>
      </c>
      <c r="L424" s="4">
        <v>0</v>
      </c>
      <c r="M424" s="4">
        <v>0.15345323</v>
      </c>
      <c r="N424" s="4">
        <v>0.15345323</v>
      </c>
      <c r="O424" s="4">
        <v>0</v>
      </c>
      <c r="P424" s="4">
        <v>3</v>
      </c>
      <c r="Q424" s="4">
        <v>3</v>
      </c>
      <c r="R424" s="4">
        <v>0</v>
      </c>
      <c r="S424" s="6">
        <v>6.2E-2</v>
      </c>
      <c r="T424" s="6">
        <v>6.2E-2</v>
      </c>
    </row>
    <row r="425" spans="1:20" ht="18" x14ac:dyDescent="0.2">
      <c r="A425" s="4" t="s">
        <v>1604</v>
      </c>
      <c r="B425" s="4" t="s">
        <v>2294</v>
      </c>
      <c r="C425" s="4" t="s">
        <v>282</v>
      </c>
      <c r="D425" s="4">
        <v>2</v>
      </c>
      <c r="E425" s="4" t="s">
        <v>116</v>
      </c>
      <c r="F425" s="4">
        <v>0</v>
      </c>
      <c r="G425" s="4">
        <v>3</v>
      </c>
      <c r="H425" s="4">
        <v>3</v>
      </c>
      <c r="I425" s="4">
        <v>0</v>
      </c>
      <c r="J425" s="5">
        <v>1.2937155E-4</v>
      </c>
      <c r="K425" s="5">
        <v>7.5774660000000002E-5</v>
      </c>
      <c r="L425" s="4">
        <v>0</v>
      </c>
      <c r="M425" s="4">
        <v>0.10407864999999999</v>
      </c>
      <c r="N425" s="4">
        <v>0.10407864999999999</v>
      </c>
      <c r="O425" s="4">
        <v>0</v>
      </c>
      <c r="P425" s="4">
        <v>3</v>
      </c>
      <c r="Q425" s="4">
        <v>3</v>
      </c>
      <c r="R425" s="4">
        <v>0</v>
      </c>
      <c r="S425" s="6">
        <v>4.2999999999999997E-2</v>
      </c>
      <c r="T425" s="6">
        <v>4.2999999999999997E-2</v>
      </c>
    </row>
    <row r="426" spans="1:20" ht="18" x14ac:dyDescent="0.2">
      <c r="A426" s="4" t="s">
        <v>1605</v>
      </c>
      <c r="B426" s="4" t="s">
        <v>2295</v>
      </c>
      <c r="C426" s="4" t="s">
        <v>140</v>
      </c>
      <c r="D426" s="4">
        <v>2</v>
      </c>
      <c r="E426" s="4" t="s">
        <v>116</v>
      </c>
      <c r="F426" s="4">
        <v>0</v>
      </c>
      <c r="G426" s="4">
        <v>5</v>
      </c>
      <c r="H426" s="4">
        <v>3</v>
      </c>
      <c r="I426" s="4">
        <v>0</v>
      </c>
      <c r="J426" s="5">
        <v>2.1510341000000001E-4</v>
      </c>
      <c r="K426" s="5">
        <v>1.0079117E-4</v>
      </c>
      <c r="L426" s="4">
        <v>0</v>
      </c>
      <c r="M426" s="4">
        <v>0.27350307000000001</v>
      </c>
      <c r="N426" s="4">
        <v>0.18032061999999999</v>
      </c>
      <c r="O426" s="4">
        <v>0</v>
      </c>
      <c r="P426" s="4">
        <v>5</v>
      </c>
      <c r="Q426" s="4">
        <v>4</v>
      </c>
      <c r="R426" s="4">
        <v>0</v>
      </c>
      <c r="S426" s="6">
        <v>0.105</v>
      </c>
      <c r="T426" s="6">
        <v>7.1999999999999995E-2</v>
      </c>
    </row>
    <row r="427" spans="1:20" ht="18" x14ac:dyDescent="0.2">
      <c r="A427" s="4" t="s">
        <v>1606</v>
      </c>
      <c r="B427" s="4" t="s">
        <v>2296</v>
      </c>
      <c r="C427" s="4" t="s">
        <v>140</v>
      </c>
      <c r="D427" s="4">
        <v>2</v>
      </c>
      <c r="E427" s="4" t="s">
        <v>116</v>
      </c>
      <c r="F427" s="4">
        <v>0</v>
      </c>
      <c r="G427" s="4">
        <v>4</v>
      </c>
      <c r="H427" s="4">
        <v>2</v>
      </c>
      <c r="I427" s="4">
        <v>0</v>
      </c>
      <c r="J427" s="4">
        <v>1.6347859E-3</v>
      </c>
      <c r="K427" s="5">
        <v>2.7357603999999999E-4</v>
      </c>
      <c r="L427" s="4">
        <v>0</v>
      </c>
      <c r="M427" s="4">
        <v>1.4547087999999999</v>
      </c>
      <c r="N427" s="4">
        <v>0.43218790000000001</v>
      </c>
      <c r="O427" s="4">
        <v>0</v>
      </c>
      <c r="P427" s="4">
        <v>7</v>
      </c>
      <c r="Q427" s="4">
        <v>2</v>
      </c>
      <c r="R427" s="4">
        <v>0</v>
      </c>
      <c r="S427" s="6">
        <v>0.39</v>
      </c>
      <c r="T427" s="6">
        <v>0.156</v>
      </c>
    </row>
    <row r="428" spans="1:20" ht="18" x14ac:dyDescent="0.2">
      <c r="A428" s="4" t="s">
        <v>1607</v>
      </c>
      <c r="B428" s="4" t="s">
        <v>2297</v>
      </c>
      <c r="C428" s="4" t="s">
        <v>140</v>
      </c>
      <c r="D428" s="4">
        <v>2</v>
      </c>
      <c r="E428" s="4" t="s">
        <v>116</v>
      </c>
      <c r="F428" s="4">
        <v>0</v>
      </c>
      <c r="G428" s="4">
        <v>5</v>
      </c>
      <c r="H428" s="4">
        <v>4</v>
      </c>
      <c r="I428" s="4">
        <v>0</v>
      </c>
      <c r="J428" s="5">
        <v>4.2064665E-4</v>
      </c>
      <c r="K428" s="5">
        <v>2.1558111999999999E-4</v>
      </c>
      <c r="L428" s="4">
        <v>0</v>
      </c>
      <c r="M428" s="4">
        <v>0.21618604999999999</v>
      </c>
      <c r="N428" s="4">
        <v>0.21618604999999999</v>
      </c>
      <c r="O428" s="4">
        <v>0</v>
      </c>
      <c r="P428" s="4">
        <v>8</v>
      </c>
      <c r="Q428" s="4">
        <v>7</v>
      </c>
      <c r="R428" s="4">
        <v>0</v>
      </c>
      <c r="S428" s="6">
        <v>8.5000000000000006E-2</v>
      </c>
      <c r="T428" s="6">
        <v>8.5000000000000006E-2</v>
      </c>
    </row>
    <row r="429" spans="1:20" ht="18" x14ac:dyDescent="0.2">
      <c r="A429" s="4" t="s">
        <v>1608</v>
      </c>
      <c r="B429" s="4" t="s">
        <v>2298</v>
      </c>
      <c r="C429" s="4" t="s">
        <v>140</v>
      </c>
      <c r="D429" s="4">
        <v>2</v>
      </c>
      <c r="E429" s="4" t="s">
        <v>116</v>
      </c>
      <c r="F429" s="4">
        <v>0</v>
      </c>
      <c r="G429" s="4">
        <v>19</v>
      </c>
      <c r="H429" s="4">
        <v>29</v>
      </c>
      <c r="I429" s="4">
        <v>0</v>
      </c>
      <c r="J429" s="4">
        <v>1.4804114E-3</v>
      </c>
      <c r="K429" s="4">
        <v>1.5046682999999999E-3</v>
      </c>
      <c r="L429" s="4">
        <v>0</v>
      </c>
      <c r="M429" s="4">
        <v>0.55238699999999996</v>
      </c>
      <c r="N429" s="4">
        <v>0.99526239999999999</v>
      </c>
      <c r="O429" s="4">
        <v>0</v>
      </c>
      <c r="P429" s="4">
        <v>34</v>
      </c>
      <c r="Q429" s="4">
        <v>59</v>
      </c>
      <c r="R429" s="4">
        <v>0</v>
      </c>
      <c r="S429" s="6">
        <v>0.191</v>
      </c>
      <c r="T429" s="6">
        <v>0.3</v>
      </c>
    </row>
    <row r="430" spans="1:20" ht="18" x14ac:dyDescent="0.2">
      <c r="A430" s="4" t="s">
        <v>1609</v>
      </c>
      <c r="B430" s="4" t="s">
        <v>2299</v>
      </c>
      <c r="C430" s="4" t="s">
        <v>140</v>
      </c>
      <c r="D430" s="4">
        <v>2</v>
      </c>
      <c r="E430" s="4" t="s">
        <v>116</v>
      </c>
      <c r="F430" s="4">
        <v>0</v>
      </c>
      <c r="G430" s="4">
        <v>19</v>
      </c>
      <c r="H430" s="4">
        <v>21</v>
      </c>
      <c r="I430" s="4">
        <v>0</v>
      </c>
      <c r="J430" s="4">
        <v>1.4804114E-3</v>
      </c>
      <c r="K430" s="4">
        <v>1.2241369000000001E-3</v>
      </c>
      <c r="L430" s="4">
        <v>0</v>
      </c>
      <c r="M430" s="4">
        <v>0.55238699999999996</v>
      </c>
      <c r="N430" s="4">
        <v>0.69044090000000002</v>
      </c>
      <c r="O430" s="4">
        <v>0</v>
      </c>
      <c r="P430" s="4">
        <v>34</v>
      </c>
      <c r="Q430" s="4">
        <v>48</v>
      </c>
      <c r="R430" s="4">
        <v>0</v>
      </c>
      <c r="S430" s="6">
        <v>0.191</v>
      </c>
      <c r="T430" s="6">
        <v>0.22800000000000001</v>
      </c>
    </row>
    <row r="431" spans="1:20" ht="18" x14ac:dyDescent="0.2">
      <c r="A431" s="4" t="s">
        <v>1610</v>
      </c>
      <c r="B431" s="4" t="s">
        <v>2300</v>
      </c>
      <c r="C431" s="4" t="s">
        <v>140</v>
      </c>
      <c r="D431" s="4">
        <v>2</v>
      </c>
      <c r="E431" s="4" t="s">
        <v>116</v>
      </c>
      <c r="F431" s="4">
        <v>0</v>
      </c>
      <c r="G431" s="4">
        <v>19</v>
      </c>
      <c r="H431" s="4">
        <v>20</v>
      </c>
      <c r="I431" s="4">
        <v>0</v>
      </c>
      <c r="J431" s="4">
        <v>1.4804114E-3</v>
      </c>
      <c r="K431" s="4">
        <v>1.1986339E-3</v>
      </c>
      <c r="L431" s="4">
        <v>0</v>
      </c>
      <c r="M431" s="4">
        <v>0.55238699999999996</v>
      </c>
      <c r="N431" s="4">
        <v>0.48593570000000003</v>
      </c>
      <c r="O431" s="4">
        <v>0</v>
      </c>
      <c r="P431" s="4">
        <v>34</v>
      </c>
      <c r="Q431" s="4">
        <v>47</v>
      </c>
      <c r="R431" s="4">
        <v>0</v>
      </c>
      <c r="S431" s="6">
        <v>0.191</v>
      </c>
      <c r="T431" s="6">
        <v>0.17199999999999999</v>
      </c>
    </row>
    <row r="432" spans="1:20" ht="18" x14ac:dyDescent="0.2">
      <c r="A432" s="4" t="s">
        <v>1611</v>
      </c>
      <c r="B432" s="4" t="s">
        <v>2301</v>
      </c>
      <c r="C432" s="4" t="s">
        <v>140</v>
      </c>
      <c r="D432" s="4">
        <v>2</v>
      </c>
      <c r="E432" s="4" t="s">
        <v>116</v>
      </c>
      <c r="F432" s="4">
        <v>0</v>
      </c>
      <c r="G432" s="4">
        <v>15</v>
      </c>
      <c r="H432" s="4">
        <v>17</v>
      </c>
      <c r="I432" s="4">
        <v>0</v>
      </c>
      <c r="J432" s="4">
        <v>1.0885379E-3</v>
      </c>
      <c r="K432" s="5">
        <v>9.6910837000000003E-4</v>
      </c>
      <c r="L432" s="4">
        <v>0</v>
      </c>
      <c r="M432" s="4">
        <v>0.37404190999999998</v>
      </c>
      <c r="N432" s="4">
        <v>0.37404190999999998</v>
      </c>
      <c r="O432" s="4">
        <v>0</v>
      </c>
      <c r="P432" s="4">
        <v>25</v>
      </c>
      <c r="Q432" s="4">
        <v>38</v>
      </c>
      <c r="R432" s="4">
        <v>0</v>
      </c>
      <c r="S432" s="6">
        <v>0.13800000000000001</v>
      </c>
      <c r="T432" s="6">
        <v>0.13800000000000001</v>
      </c>
    </row>
    <row r="433" spans="1:20" ht="18" x14ac:dyDescent="0.2">
      <c r="A433" s="4" t="s">
        <v>1612</v>
      </c>
      <c r="B433" s="4" t="s">
        <v>2302</v>
      </c>
      <c r="C433" s="4" t="s">
        <v>144</v>
      </c>
      <c r="D433" s="4">
        <v>2</v>
      </c>
      <c r="E433" s="4" t="s">
        <v>116</v>
      </c>
      <c r="F433" s="4">
        <v>0</v>
      </c>
      <c r="G433" s="4">
        <v>2</v>
      </c>
      <c r="H433" s="4">
        <v>3</v>
      </c>
      <c r="I433" s="4">
        <v>0</v>
      </c>
      <c r="J433" s="5">
        <v>2.0934394000000001E-5</v>
      </c>
      <c r="K433" s="5">
        <v>4.904623E-5</v>
      </c>
      <c r="L433" s="4">
        <v>0</v>
      </c>
      <c r="M433" s="4">
        <v>3.2761455000000002E-2</v>
      </c>
      <c r="N433" s="4">
        <v>3.2761455000000002E-2</v>
      </c>
      <c r="O433" s="4">
        <v>0</v>
      </c>
      <c r="P433" s="4">
        <v>2</v>
      </c>
      <c r="Q433" s="4">
        <v>8</v>
      </c>
      <c r="R433" s="4">
        <v>0</v>
      </c>
      <c r="S433" s="6">
        <v>1.4E-2</v>
      </c>
      <c r="T433" s="6">
        <v>1.4E-2</v>
      </c>
    </row>
    <row r="434" spans="1:20" ht="18" x14ac:dyDescent="0.2">
      <c r="A434" s="4" t="s">
        <v>1613</v>
      </c>
      <c r="B434" s="4" t="s">
        <v>2303</v>
      </c>
      <c r="C434" s="4" t="s">
        <v>144</v>
      </c>
      <c r="D434" s="4">
        <v>2</v>
      </c>
      <c r="E434" s="4" t="s">
        <v>116</v>
      </c>
      <c r="F434" s="4">
        <v>0</v>
      </c>
      <c r="G434" s="4">
        <v>3</v>
      </c>
      <c r="H434" s="4">
        <v>2</v>
      </c>
      <c r="I434" s="4">
        <v>0</v>
      </c>
      <c r="J434" s="5">
        <v>3.2895081999999998E-4</v>
      </c>
      <c r="K434" s="5">
        <v>1.2844728E-4</v>
      </c>
      <c r="L434" s="4">
        <v>0</v>
      </c>
      <c r="M434" s="4">
        <v>0.38038432999999999</v>
      </c>
      <c r="N434" s="4">
        <v>0.38038432999999999</v>
      </c>
      <c r="O434" s="4">
        <v>0</v>
      </c>
      <c r="P434" s="4">
        <v>3</v>
      </c>
      <c r="Q434" s="4">
        <v>2</v>
      </c>
      <c r="R434" s="4">
        <v>0</v>
      </c>
      <c r="S434" s="6">
        <v>0.14000000000000001</v>
      </c>
      <c r="T434" s="6">
        <v>0.14000000000000001</v>
      </c>
    </row>
    <row r="435" spans="1:20" ht="18" x14ac:dyDescent="0.2">
      <c r="A435" s="4" t="s">
        <v>1614</v>
      </c>
      <c r="B435" s="4" t="s">
        <v>2304</v>
      </c>
      <c r="C435" s="4" t="s">
        <v>144</v>
      </c>
      <c r="D435" s="4">
        <v>2</v>
      </c>
      <c r="E435" s="4" t="s">
        <v>116</v>
      </c>
      <c r="F435" s="4">
        <v>0</v>
      </c>
      <c r="G435" s="4">
        <v>5</v>
      </c>
      <c r="H435" s="4">
        <v>4</v>
      </c>
      <c r="I435" s="4">
        <v>0</v>
      </c>
      <c r="J435" s="5">
        <v>7.0520176000000003E-4</v>
      </c>
      <c r="K435" s="5">
        <v>2.7536412000000001E-4</v>
      </c>
      <c r="L435" s="4">
        <v>0</v>
      </c>
      <c r="M435" s="4">
        <v>0.19674051000000001</v>
      </c>
      <c r="N435" s="4">
        <v>0.19674051000000001</v>
      </c>
      <c r="O435" s="4">
        <v>0</v>
      </c>
      <c r="P435" s="4">
        <v>6</v>
      </c>
      <c r="Q435" s="4">
        <v>4</v>
      </c>
      <c r="R435" s="4">
        <v>0</v>
      </c>
      <c r="S435" s="6">
        <v>7.8E-2</v>
      </c>
      <c r="T435" s="6">
        <v>7.8E-2</v>
      </c>
    </row>
    <row r="436" spans="1:20" ht="18" x14ac:dyDescent="0.2">
      <c r="A436" s="4" t="s">
        <v>1615</v>
      </c>
      <c r="B436" s="4" t="s">
        <v>2305</v>
      </c>
      <c r="C436" s="4" t="s">
        <v>144</v>
      </c>
      <c r="D436" s="4">
        <v>2</v>
      </c>
      <c r="E436" s="4" t="s">
        <v>116</v>
      </c>
      <c r="F436" s="4">
        <v>0</v>
      </c>
      <c r="G436" s="4">
        <v>8</v>
      </c>
      <c r="H436" s="4">
        <v>6</v>
      </c>
      <c r="I436" s="4">
        <v>0</v>
      </c>
      <c r="J436" s="4">
        <v>1.0509337E-3</v>
      </c>
      <c r="K436" s="5">
        <v>4.1036403999999998E-4</v>
      </c>
      <c r="L436" s="4">
        <v>0</v>
      </c>
      <c r="M436" s="4">
        <v>0.68655310000000003</v>
      </c>
      <c r="N436" s="4">
        <v>0.68655310000000003</v>
      </c>
      <c r="O436" s="4">
        <v>0</v>
      </c>
      <c r="P436" s="4">
        <v>9</v>
      </c>
      <c r="Q436" s="4">
        <v>6</v>
      </c>
      <c r="R436" s="4">
        <v>0</v>
      </c>
      <c r="S436" s="6">
        <v>0.22700000000000001</v>
      </c>
      <c r="T436" s="6">
        <v>0.22700000000000001</v>
      </c>
    </row>
    <row r="437" spans="1:20" ht="18" x14ac:dyDescent="0.2">
      <c r="A437" s="4" t="s">
        <v>1616</v>
      </c>
      <c r="B437" s="4" t="s">
        <v>2306</v>
      </c>
      <c r="C437" s="7" t="s">
        <v>96</v>
      </c>
      <c r="D437" s="4">
        <v>2</v>
      </c>
      <c r="E437" s="4" t="s">
        <v>116</v>
      </c>
      <c r="F437" s="4">
        <v>0</v>
      </c>
      <c r="G437" s="4">
        <v>3</v>
      </c>
      <c r="H437" s="4">
        <v>3</v>
      </c>
      <c r="I437" s="4">
        <v>0</v>
      </c>
      <c r="J437" s="4">
        <v>1.26194E-3</v>
      </c>
      <c r="K437" s="5">
        <v>5.5435149999999997E-4</v>
      </c>
      <c r="L437" s="4">
        <v>0</v>
      </c>
      <c r="M437" s="4">
        <v>0.38038432999999999</v>
      </c>
      <c r="N437" s="4">
        <v>0.38038432999999999</v>
      </c>
      <c r="O437" s="4">
        <v>0</v>
      </c>
      <c r="P437" s="4">
        <v>8</v>
      </c>
      <c r="Q437" s="4">
        <v>6</v>
      </c>
      <c r="R437" s="4">
        <v>0</v>
      </c>
      <c r="S437" s="6">
        <v>0.14000000000000001</v>
      </c>
      <c r="T437" s="6">
        <v>0.14000000000000001</v>
      </c>
    </row>
    <row r="438" spans="1:20" ht="18" x14ac:dyDescent="0.2">
      <c r="A438" s="4" t="s">
        <v>1617</v>
      </c>
      <c r="B438" s="4" t="s">
        <v>2307</v>
      </c>
      <c r="C438" s="7" t="s">
        <v>96</v>
      </c>
      <c r="D438" s="4">
        <v>2</v>
      </c>
      <c r="E438" s="4" t="s">
        <v>116</v>
      </c>
      <c r="F438" s="4">
        <v>0</v>
      </c>
      <c r="G438" s="4">
        <v>5</v>
      </c>
      <c r="H438" s="4">
        <v>3</v>
      </c>
      <c r="I438" s="4">
        <v>0</v>
      </c>
      <c r="J438" s="4">
        <v>1.7982644000000001E-3</v>
      </c>
      <c r="K438" s="5">
        <v>4.5140046999999999E-4</v>
      </c>
      <c r="L438" s="4">
        <v>0</v>
      </c>
      <c r="M438" s="4">
        <v>0.53461694999999998</v>
      </c>
      <c r="N438" s="4">
        <v>0.53461694999999998</v>
      </c>
      <c r="O438" s="4">
        <v>0</v>
      </c>
      <c r="P438" s="4">
        <v>7</v>
      </c>
      <c r="Q438" s="4">
        <v>3</v>
      </c>
      <c r="R438" s="4">
        <v>0</v>
      </c>
      <c r="S438" s="6">
        <v>0.186</v>
      </c>
      <c r="T438" s="6">
        <v>0.186</v>
      </c>
    </row>
    <row r="439" spans="1:20" ht="18" x14ac:dyDescent="0.2">
      <c r="A439" s="4" t="s">
        <v>1618</v>
      </c>
      <c r="B439" s="4" t="s">
        <v>2308</v>
      </c>
      <c r="C439" s="7" t="s">
        <v>96</v>
      </c>
      <c r="D439" s="4">
        <v>2</v>
      </c>
      <c r="E439" s="4" t="s">
        <v>116</v>
      </c>
      <c r="F439" s="4">
        <v>0</v>
      </c>
      <c r="G439" s="4">
        <v>6</v>
      </c>
      <c r="H439" s="4">
        <v>5</v>
      </c>
      <c r="I439" s="4">
        <v>0</v>
      </c>
      <c r="J439" s="4">
        <v>2.8608752999999998E-3</v>
      </c>
      <c r="K439" s="4">
        <v>1.4362743000000001E-3</v>
      </c>
      <c r="L439" s="4">
        <v>0</v>
      </c>
      <c r="M439" s="4">
        <v>5.2373485999999998</v>
      </c>
      <c r="N439" s="4">
        <v>1.7039584999999999</v>
      </c>
      <c r="O439" s="4">
        <v>0</v>
      </c>
      <c r="P439" s="4">
        <v>7</v>
      </c>
      <c r="Q439" s="4">
        <v>6</v>
      </c>
      <c r="R439" s="4">
        <v>0</v>
      </c>
      <c r="S439" s="6">
        <v>0.79500000000000004</v>
      </c>
      <c r="T439" s="6">
        <v>0.432</v>
      </c>
    </row>
    <row r="440" spans="1:20" ht="18" x14ac:dyDescent="0.2">
      <c r="A440" s="4" t="s">
        <v>1619</v>
      </c>
      <c r="B440" s="4" t="s">
        <v>2309</v>
      </c>
      <c r="C440" s="4" t="s">
        <v>51</v>
      </c>
      <c r="D440" s="4">
        <v>2</v>
      </c>
      <c r="E440" s="4" t="s">
        <v>116</v>
      </c>
      <c r="F440" s="4">
        <v>0</v>
      </c>
      <c r="G440" s="4">
        <v>7</v>
      </c>
      <c r="H440" s="4">
        <v>2</v>
      </c>
      <c r="I440" s="4">
        <v>0</v>
      </c>
      <c r="J440" s="4">
        <v>1.2061531E-3</v>
      </c>
      <c r="K440" s="5">
        <v>1.2844728E-4</v>
      </c>
      <c r="L440" s="4">
        <v>0</v>
      </c>
      <c r="M440" s="4">
        <v>0.52405274000000002</v>
      </c>
      <c r="N440" s="4">
        <v>0.34276497</v>
      </c>
      <c r="O440" s="4">
        <v>0</v>
      </c>
      <c r="P440" s="4">
        <v>11</v>
      </c>
      <c r="Q440" s="4">
        <v>2</v>
      </c>
      <c r="R440" s="4">
        <v>0</v>
      </c>
      <c r="S440" s="6">
        <v>0.183</v>
      </c>
      <c r="T440" s="6">
        <v>0.128</v>
      </c>
    </row>
    <row r="441" spans="1:20" ht="18" x14ac:dyDescent="0.2">
      <c r="A441" s="4" t="s">
        <v>1620</v>
      </c>
      <c r="B441" s="4" t="s">
        <v>2310</v>
      </c>
      <c r="C441" s="4" t="s">
        <v>51</v>
      </c>
      <c r="D441" s="4">
        <v>2</v>
      </c>
      <c r="E441" s="4" t="s">
        <v>116</v>
      </c>
      <c r="F441" s="4">
        <v>0</v>
      </c>
      <c r="G441" s="4">
        <v>34</v>
      </c>
      <c r="H441" s="4">
        <v>28</v>
      </c>
      <c r="I441" s="4">
        <v>0</v>
      </c>
      <c r="J441" s="4">
        <v>2.606728E-3</v>
      </c>
      <c r="K441" s="4">
        <v>1.3276485E-3</v>
      </c>
      <c r="L441" s="4">
        <v>0</v>
      </c>
      <c r="M441" s="4">
        <v>0.98609482999999998</v>
      </c>
      <c r="N441" s="4">
        <v>0.98609482999999998</v>
      </c>
      <c r="O441" s="4">
        <v>0</v>
      </c>
      <c r="P441" s="4">
        <v>69</v>
      </c>
      <c r="Q441" s="4">
        <v>60</v>
      </c>
      <c r="R441" s="4">
        <v>0</v>
      </c>
      <c r="S441" s="6">
        <v>0.29799999999999999</v>
      </c>
      <c r="T441" s="6">
        <v>0.29799999999999999</v>
      </c>
    </row>
    <row r="442" spans="1:20" ht="18" x14ac:dyDescent="0.2">
      <c r="A442" s="4" t="s">
        <v>1621</v>
      </c>
      <c r="B442" s="4" t="s">
        <v>2225</v>
      </c>
      <c r="C442" s="4" t="s">
        <v>51</v>
      </c>
      <c r="D442" s="4">
        <v>2</v>
      </c>
      <c r="E442" s="4" t="s">
        <v>116</v>
      </c>
      <c r="F442" s="4">
        <v>0</v>
      </c>
      <c r="G442" s="4">
        <v>3</v>
      </c>
      <c r="H442" s="4">
        <v>6</v>
      </c>
      <c r="I442" s="4">
        <v>0</v>
      </c>
      <c r="J442" s="5">
        <v>4.8427227999999999E-5</v>
      </c>
      <c r="K442" s="5">
        <v>5.6728964E-5</v>
      </c>
      <c r="L442" s="4">
        <v>0</v>
      </c>
      <c r="M442" s="4">
        <v>6.9054840000000006E-2</v>
      </c>
      <c r="N442" s="4">
        <v>0.14287830000000001</v>
      </c>
      <c r="O442" s="4">
        <v>0</v>
      </c>
      <c r="P442" s="4">
        <v>3</v>
      </c>
      <c r="Q442" s="4">
        <v>6</v>
      </c>
      <c r="R442" s="4">
        <v>0</v>
      </c>
      <c r="S442" s="6">
        <v>2.9000000000000001E-2</v>
      </c>
      <c r="T442" s="6">
        <v>5.8000000000000003E-2</v>
      </c>
    </row>
    <row r="443" spans="1:20" ht="18" x14ac:dyDescent="0.2">
      <c r="A443" s="4" t="s">
        <v>1622</v>
      </c>
      <c r="B443" s="4" t="s">
        <v>2311</v>
      </c>
      <c r="C443" s="4" t="s">
        <v>51</v>
      </c>
      <c r="D443" s="4">
        <v>2</v>
      </c>
      <c r="E443" s="4" t="s">
        <v>116</v>
      </c>
      <c r="F443" s="4">
        <v>0</v>
      </c>
      <c r="G443" s="4">
        <v>8</v>
      </c>
      <c r="H443" s="4">
        <v>4</v>
      </c>
      <c r="I443" s="4">
        <v>0</v>
      </c>
      <c r="J443" s="5">
        <v>9.5652370000000005E-4</v>
      </c>
      <c r="K443" s="5">
        <v>2.2409951999999999E-4</v>
      </c>
      <c r="L443" s="4">
        <v>0</v>
      </c>
      <c r="M443" s="4">
        <v>2.1260792999999998</v>
      </c>
      <c r="N443" s="4">
        <v>0.86637973999999995</v>
      </c>
      <c r="O443" s="4">
        <v>0</v>
      </c>
      <c r="P443" s="4">
        <v>10</v>
      </c>
      <c r="Q443" s="4">
        <v>4</v>
      </c>
      <c r="R443" s="4">
        <v>0</v>
      </c>
      <c r="S443" s="6">
        <v>0.495</v>
      </c>
      <c r="T443" s="6">
        <v>0.27100000000000002</v>
      </c>
    </row>
    <row r="444" spans="1:20" ht="18" x14ac:dyDescent="0.2">
      <c r="A444" s="4" t="s">
        <v>1623</v>
      </c>
      <c r="B444" s="4" t="s">
        <v>2312</v>
      </c>
      <c r="C444" s="4" t="s">
        <v>51</v>
      </c>
      <c r="D444" s="4">
        <v>2</v>
      </c>
      <c r="E444" s="4" t="s">
        <v>116</v>
      </c>
      <c r="F444" s="4">
        <v>0</v>
      </c>
      <c r="G444" s="4">
        <v>16</v>
      </c>
      <c r="H444" s="4">
        <v>20</v>
      </c>
      <c r="I444" s="4">
        <v>0</v>
      </c>
      <c r="J444" s="4">
        <v>1.1239153E-3</v>
      </c>
      <c r="K444" s="5">
        <v>7.0217860000000001E-4</v>
      </c>
      <c r="L444" s="4">
        <v>0</v>
      </c>
      <c r="M444" s="4">
        <v>0.71001530000000002</v>
      </c>
      <c r="N444" s="4">
        <v>0.71001530000000002</v>
      </c>
      <c r="O444" s="4">
        <v>0</v>
      </c>
      <c r="P444" s="4">
        <v>30</v>
      </c>
      <c r="Q444" s="4">
        <v>32</v>
      </c>
      <c r="R444" s="4">
        <v>0</v>
      </c>
      <c r="S444" s="6">
        <v>0.23300000000000001</v>
      </c>
      <c r="T444" s="6">
        <v>0.23300000000000001</v>
      </c>
    </row>
    <row r="445" spans="1:20" ht="18" x14ac:dyDescent="0.2">
      <c r="A445" s="4" t="s">
        <v>1624</v>
      </c>
      <c r="B445" s="4" t="s">
        <v>2313</v>
      </c>
      <c r="C445" s="4" t="s">
        <v>51</v>
      </c>
      <c r="D445" s="4">
        <v>2</v>
      </c>
      <c r="E445" s="4" t="s">
        <v>116</v>
      </c>
      <c r="F445" s="4">
        <v>0</v>
      </c>
      <c r="G445" s="4">
        <v>2</v>
      </c>
      <c r="H445" s="4">
        <v>2</v>
      </c>
      <c r="I445" s="4">
        <v>0</v>
      </c>
      <c r="J445" s="5">
        <v>5.4825133999999998E-5</v>
      </c>
      <c r="K445" s="5">
        <v>2.1407881E-5</v>
      </c>
      <c r="L445" s="4">
        <v>0</v>
      </c>
      <c r="M445" s="4">
        <v>3.5142183E-2</v>
      </c>
      <c r="N445" s="4">
        <v>3.5142183E-2</v>
      </c>
      <c r="O445" s="4">
        <v>0</v>
      </c>
      <c r="P445" s="4">
        <v>3</v>
      </c>
      <c r="Q445" s="4">
        <v>2</v>
      </c>
      <c r="R445" s="4">
        <v>0</v>
      </c>
      <c r="S445" s="6">
        <v>1.4999999999999999E-2</v>
      </c>
      <c r="T445" s="6">
        <v>1.4999999999999999E-2</v>
      </c>
    </row>
    <row r="446" spans="1:20" ht="18" x14ac:dyDescent="0.2">
      <c r="A446" s="4" t="s">
        <v>1625</v>
      </c>
      <c r="B446" s="4" t="s">
        <v>2314</v>
      </c>
      <c r="C446" s="4" t="s">
        <v>51</v>
      </c>
      <c r="D446" s="4">
        <v>2</v>
      </c>
      <c r="E446" s="4" t="s">
        <v>116</v>
      </c>
      <c r="F446" s="4">
        <v>0</v>
      </c>
      <c r="G446" s="4">
        <v>4</v>
      </c>
      <c r="H446" s="4">
        <v>6</v>
      </c>
      <c r="I446" s="4">
        <v>0</v>
      </c>
      <c r="J446" s="5">
        <v>3.5786358E-4</v>
      </c>
      <c r="K446" s="5">
        <v>4.1921105000000003E-4</v>
      </c>
      <c r="L446" s="4">
        <v>0</v>
      </c>
      <c r="M446" s="4">
        <v>0.37720942000000002</v>
      </c>
      <c r="N446" s="4">
        <v>0.77418949999999997</v>
      </c>
      <c r="O446" s="4">
        <v>0</v>
      </c>
      <c r="P446" s="4">
        <v>4</v>
      </c>
      <c r="Q446" s="4">
        <v>8</v>
      </c>
      <c r="R446" s="4">
        <v>0</v>
      </c>
      <c r="S446" s="6">
        <v>0.13900000000000001</v>
      </c>
      <c r="T446" s="6">
        <v>0.249</v>
      </c>
    </row>
    <row r="447" spans="1:20" ht="18" x14ac:dyDescent="0.2">
      <c r="A447" s="4" t="s">
        <v>1626</v>
      </c>
      <c r="B447" s="4" t="s">
        <v>2315</v>
      </c>
      <c r="C447" s="4" t="s">
        <v>51</v>
      </c>
      <c r="D447" s="4">
        <v>2</v>
      </c>
      <c r="E447" s="4" t="s">
        <v>116</v>
      </c>
      <c r="F447" s="4">
        <v>0</v>
      </c>
      <c r="G447" s="4">
        <v>9</v>
      </c>
      <c r="H447" s="4">
        <v>7</v>
      </c>
      <c r="I447" s="4">
        <v>0</v>
      </c>
      <c r="J447" s="5">
        <v>4.1644019999999998E-4</v>
      </c>
      <c r="K447" s="5">
        <v>1.7739245999999999E-4</v>
      </c>
      <c r="L447" s="4">
        <v>0</v>
      </c>
      <c r="M447" s="4">
        <v>0.26182759999999999</v>
      </c>
      <c r="N447" s="4">
        <v>0.19674051000000001</v>
      </c>
      <c r="O447" s="4">
        <v>0</v>
      </c>
      <c r="P447" s="4">
        <v>11</v>
      </c>
      <c r="Q447" s="4">
        <v>8</v>
      </c>
      <c r="R447" s="4">
        <v>0</v>
      </c>
      <c r="S447" s="6">
        <v>0.10100000000000001</v>
      </c>
      <c r="T447" s="6">
        <v>7.8E-2</v>
      </c>
    </row>
    <row r="448" spans="1:20" ht="18" x14ac:dyDescent="0.2">
      <c r="A448" s="4" t="s">
        <v>1627</v>
      </c>
      <c r="B448" s="4" t="s">
        <v>2316</v>
      </c>
      <c r="C448" s="4" t="s">
        <v>51</v>
      </c>
      <c r="D448" s="4">
        <v>2</v>
      </c>
      <c r="E448" s="4" t="s">
        <v>116</v>
      </c>
      <c r="F448" s="4">
        <v>0</v>
      </c>
      <c r="G448" s="4">
        <v>4</v>
      </c>
      <c r="H448" s="4">
        <v>4</v>
      </c>
      <c r="I448" s="4">
        <v>0</v>
      </c>
      <c r="J448" s="5">
        <v>4.2312106000000002E-4</v>
      </c>
      <c r="K448" s="5">
        <v>1.6521849000000001E-4</v>
      </c>
      <c r="L448" s="4">
        <v>0</v>
      </c>
      <c r="M448" s="4">
        <v>0.17760598999999999</v>
      </c>
      <c r="N448" s="4">
        <v>0.19674051000000001</v>
      </c>
      <c r="O448" s="4">
        <v>0</v>
      </c>
      <c r="P448" s="4">
        <v>6</v>
      </c>
      <c r="Q448" s="4">
        <v>4</v>
      </c>
      <c r="R448" s="4">
        <v>0</v>
      </c>
      <c r="S448" s="6">
        <v>7.0999999999999994E-2</v>
      </c>
      <c r="T448" s="6">
        <v>7.8E-2</v>
      </c>
    </row>
    <row r="449" spans="1:20" ht="18" x14ac:dyDescent="0.2">
      <c r="A449" s="4" t="s">
        <v>1628</v>
      </c>
      <c r="B449" s="4" t="s">
        <v>2317</v>
      </c>
      <c r="C449" s="4" t="s">
        <v>51</v>
      </c>
      <c r="D449" s="4">
        <v>2</v>
      </c>
      <c r="E449" s="4" t="s">
        <v>116</v>
      </c>
      <c r="F449" s="4">
        <v>0</v>
      </c>
      <c r="G449" s="4">
        <v>6</v>
      </c>
      <c r="H449" s="4">
        <v>3</v>
      </c>
      <c r="I449" s="4">
        <v>0</v>
      </c>
      <c r="J449" s="4">
        <v>1.4143654E-3</v>
      </c>
      <c r="K449" s="5">
        <v>3.5503408000000001E-4</v>
      </c>
      <c r="L449" s="4">
        <v>0</v>
      </c>
      <c r="M449" s="4">
        <v>0.31219995</v>
      </c>
      <c r="N449" s="4">
        <v>0.13762724000000001</v>
      </c>
      <c r="O449" s="4">
        <v>0</v>
      </c>
      <c r="P449" s="4">
        <v>14</v>
      </c>
      <c r="Q449" s="4">
        <v>6</v>
      </c>
      <c r="R449" s="4">
        <v>0</v>
      </c>
      <c r="S449" s="6">
        <v>0.11799999999999999</v>
      </c>
      <c r="T449" s="6">
        <v>5.6000000000000001E-2</v>
      </c>
    </row>
    <row r="450" spans="1:20" ht="18" x14ac:dyDescent="0.2">
      <c r="A450" s="4" t="s">
        <v>1629</v>
      </c>
      <c r="B450" s="4" t="s">
        <v>2318</v>
      </c>
      <c r="C450" s="4" t="s">
        <v>51</v>
      </c>
      <c r="D450" s="4">
        <v>2</v>
      </c>
      <c r="E450" s="4" t="s">
        <v>116</v>
      </c>
      <c r="F450" s="4">
        <v>0</v>
      </c>
      <c r="G450" s="4">
        <v>4</v>
      </c>
      <c r="H450" s="4">
        <v>3</v>
      </c>
      <c r="I450" s="4">
        <v>0</v>
      </c>
      <c r="J450" s="5">
        <v>2.6773170000000002E-4</v>
      </c>
      <c r="K450" s="5">
        <v>1.04542705E-4</v>
      </c>
      <c r="L450" s="4">
        <v>0</v>
      </c>
      <c r="M450" s="4">
        <v>0.101539254</v>
      </c>
      <c r="N450" s="4">
        <v>5.1961899999999998E-2</v>
      </c>
      <c r="O450" s="4">
        <v>0</v>
      </c>
      <c r="P450" s="4">
        <v>6</v>
      </c>
      <c r="Q450" s="4">
        <v>4</v>
      </c>
      <c r="R450" s="4">
        <v>0</v>
      </c>
      <c r="S450" s="6">
        <v>4.2000000000000003E-2</v>
      </c>
      <c r="T450" s="6">
        <v>2.1999999999999999E-2</v>
      </c>
    </row>
    <row r="451" spans="1:20" ht="18" x14ac:dyDescent="0.2">
      <c r="A451" s="4" t="s">
        <v>1630</v>
      </c>
      <c r="B451" s="4" t="s">
        <v>2319</v>
      </c>
      <c r="C451" s="4" t="s">
        <v>51</v>
      </c>
      <c r="D451" s="4">
        <v>2</v>
      </c>
      <c r="E451" s="4" t="s">
        <v>116</v>
      </c>
      <c r="F451" s="4">
        <v>0</v>
      </c>
      <c r="G451" s="4">
        <v>8</v>
      </c>
      <c r="H451" s="4">
        <v>6</v>
      </c>
      <c r="I451" s="4">
        <v>0</v>
      </c>
      <c r="J451" s="4">
        <v>1.2050226E-3</v>
      </c>
      <c r="K451" s="5">
        <v>5.972137E-4</v>
      </c>
      <c r="L451" s="4">
        <v>0</v>
      </c>
      <c r="M451" s="4">
        <v>0.94536005999999995</v>
      </c>
      <c r="N451" s="4">
        <v>0.42889391999999998</v>
      </c>
      <c r="O451" s="4">
        <v>0</v>
      </c>
      <c r="P451" s="4">
        <v>13</v>
      </c>
      <c r="Q451" s="4">
        <v>11</v>
      </c>
      <c r="R451" s="4">
        <v>0</v>
      </c>
      <c r="S451" s="6">
        <v>0.28899999999999998</v>
      </c>
      <c r="T451" s="6">
        <v>0.155</v>
      </c>
    </row>
    <row r="452" spans="1:20" ht="18" x14ac:dyDescent="0.2">
      <c r="A452" s="4" t="s">
        <v>1631</v>
      </c>
      <c r="B452" s="4" t="s">
        <v>2320</v>
      </c>
      <c r="C452" s="4" t="s">
        <v>51</v>
      </c>
      <c r="D452" s="4">
        <v>2</v>
      </c>
      <c r="E452" s="4" t="s">
        <v>116</v>
      </c>
      <c r="F452" s="4">
        <v>0</v>
      </c>
      <c r="G452" s="4">
        <v>26</v>
      </c>
      <c r="H452" s="4">
        <v>11</v>
      </c>
      <c r="I452" s="4">
        <v>0</v>
      </c>
      <c r="J452" s="4">
        <v>2.9150813E-3</v>
      </c>
      <c r="K452" s="5">
        <v>5.5435149999999997E-4</v>
      </c>
      <c r="L452" s="4">
        <v>0</v>
      </c>
      <c r="M452" s="4">
        <v>0.60694119999999996</v>
      </c>
      <c r="N452" s="4">
        <v>0.35831343999999998</v>
      </c>
      <c r="O452" s="4">
        <v>0</v>
      </c>
      <c r="P452" s="4">
        <v>77</v>
      </c>
      <c r="Q452" s="4">
        <v>25</v>
      </c>
      <c r="R452" s="4">
        <v>0</v>
      </c>
      <c r="S452" s="6">
        <v>0.20599999999999999</v>
      </c>
      <c r="T452" s="6">
        <v>0.13300000000000001</v>
      </c>
    </row>
    <row r="453" spans="1:20" ht="18" x14ac:dyDescent="0.2">
      <c r="A453" s="4" t="s">
        <v>1632</v>
      </c>
      <c r="B453" s="4" t="s">
        <v>2321</v>
      </c>
      <c r="C453" s="4" t="s">
        <v>51</v>
      </c>
      <c r="D453" s="4">
        <v>2</v>
      </c>
      <c r="E453" s="4" t="s">
        <v>116</v>
      </c>
      <c r="F453" s="4">
        <v>0</v>
      </c>
      <c r="G453" s="4">
        <v>20</v>
      </c>
      <c r="H453" s="4">
        <v>26</v>
      </c>
      <c r="I453" s="4">
        <v>0</v>
      </c>
      <c r="J453" s="4">
        <v>1.3016926999999999E-3</v>
      </c>
      <c r="K453" s="4">
        <v>1.0730341000000001E-3</v>
      </c>
      <c r="L453" s="4">
        <v>0</v>
      </c>
      <c r="M453" s="4">
        <v>0.87499450000000001</v>
      </c>
      <c r="N453" s="4">
        <v>1.0606298000000001</v>
      </c>
      <c r="O453" s="4">
        <v>0</v>
      </c>
      <c r="P453" s="4">
        <v>27</v>
      </c>
      <c r="Q453" s="4">
        <v>38</v>
      </c>
      <c r="R453" s="4">
        <v>0</v>
      </c>
      <c r="S453" s="6">
        <v>0.27300000000000002</v>
      </c>
      <c r="T453" s="6">
        <v>0.314</v>
      </c>
    </row>
    <row r="454" spans="1:20" ht="18" x14ac:dyDescent="0.2">
      <c r="A454" s="4" t="s">
        <v>1633</v>
      </c>
      <c r="B454" s="4" t="s">
        <v>2322</v>
      </c>
      <c r="C454" s="4" t="s">
        <v>51</v>
      </c>
      <c r="D454" s="4">
        <v>2</v>
      </c>
      <c r="E454" s="4" t="s">
        <v>116</v>
      </c>
      <c r="F454" s="4">
        <v>0</v>
      </c>
      <c r="G454" s="4">
        <v>9</v>
      </c>
      <c r="H454" s="4">
        <v>4</v>
      </c>
      <c r="I454" s="4">
        <v>0</v>
      </c>
      <c r="J454" s="5">
        <v>6.4531020000000003E-4</v>
      </c>
      <c r="K454" s="5">
        <v>1.2598897E-4</v>
      </c>
      <c r="L454" s="4">
        <v>0</v>
      </c>
      <c r="M454" s="4">
        <v>0.39315676999999999</v>
      </c>
      <c r="N454" s="4">
        <v>0.13501083999999999</v>
      </c>
      <c r="O454" s="4">
        <v>0</v>
      </c>
      <c r="P454" s="4">
        <v>15</v>
      </c>
      <c r="Q454" s="4">
        <v>5</v>
      </c>
      <c r="R454" s="4">
        <v>0</v>
      </c>
      <c r="S454" s="6">
        <v>0.14399999999999999</v>
      </c>
      <c r="T454" s="6">
        <v>5.5E-2</v>
      </c>
    </row>
    <row r="455" spans="1:20" ht="18" x14ac:dyDescent="0.2">
      <c r="A455" s="4" t="s">
        <v>1634</v>
      </c>
      <c r="B455" s="4" t="s">
        <v>2323</v>
      </c>
      <c r="C455" s="4" t="s">
        <v>51</v>
      </c>
      <c r="D455" s="4">
        <v>2</v>
      </c>
      <c r="E455" s="4" t="s">
        <v>116</v>
      </c>
      <c r="F455" s="4">
        <v>0</v>
      </c>
      <c r="G455" s="4">
        <v>3</v>
      </c>
      <c r="H455" s="4">
        <v>6</v>
      </c>
      <c r="I455" s="4">
        <v>0</v>
      </c>
      <c r="J455" s="4">
        <v>2.2478305999999999E-3</v>
      </c>
      <c r="K455" s="4">
        <v>7.1095573000000004E-3</v>
      </c>
      <c r="L455" s="4">
        <v>0</v>
      </c>
      <c r="M455" s="4">
        <v>2.7583739999999999</v>
      </c>
      <c r="N455" s="4">
        <v>2.7583739999999999</v>
      </c>
      <c r="O455" s="4">
        <v>0</v>
      </c>
      <c r="P455" s="4">
        <v>5</v>
      </c>
      <c r="Q455" s="4">
        <v>27</v>
      </c>
      <c r="R455" s="4">
        <v>0</v>
      </c>
      <c r="S455" s="6">
        <v>0.57499999999999996</v>
      </c>
      <c r="T455" s="6">
        <v>0.57499999999999996</v>
      </c>
    </row>
    <row r="456" spans="1:20" ht="18" x14ac:dyDescent="0.2">
      <c r="A456" s="4" t="s">
        <v>1635</v>
      </c>
      <c r="B456" s="4" t="s">
        <v>2026</v>
      </c>
      <c r="C456" s="4" t="s">
        <v>2028</v>
      </c>
      <c r="D456" s="4">
        <v>2</v>
      </c>
      <c r="E456" s="4" t="s">
        <v>116</v>
      </c>
      <c r="F456" s="4">
        <v>0</v>
      </c>
      <c r="G456" s="4">
        <v>3</v>
      </c>
      <c r="H456" s="4">
        <v>2</v>
      </c>
      <c r="I456" s="4">
        <v>0</v>
      </c>
      <c r="J456" s="4">
        <v>2.5288095000000001E-3</v>
      </c>
      <c r="K456" s="5">
        <v>2.4685962000000001E-4</v>
      </c>
      <c r="L456" s="4">
        <v>0</v>
      </c>
      <c r="M456" s="4">
        <v>0.17489755000000001</v>
      </c>
      <c r="N456" s="4">
        <v>0.17489755000000001</v>
      </c>
      <c r="O456" s="4">
        <v>0</v>
      </c>
      <c r="P456" s="4">
        <v>18</v>
      </c>
      <c r="Q456" s="4">
        <v>3</v>
      </c>
      <c r="R456" s="4">
        <v>0</v>
      </c>
      <c r="S456" s="6">
        <v>7.0000000000000007E-2</v>
      </c>
      <c r="T456" s="6">
        <v>7.0000000000000007E-2</v>
      </c>
    </row>
    <row r="457" spans="1:20" ht="18" x14ac:dyDescent="0.2">
      <c r="A457" s="4" t="s">
        <v>1636</v>
      </c>
      <c r="B457" s="4" t="s">
        <v>2026</v>
      </c>
      <c r="C457" s="4" t="s">
        <v>2028</v>
      </c>
      <c r="D457" s="4">
        <v>2</v>
      </c>
      <c r="E457" s="4" t="s">
        <v>116</v>
      </c>
      <c r="F457" s="4">
        <v>0</v>
      </c>
      <c r="G457" s="4">
        <v>9</v>
      </c>
      <c r="H457" s="4">
        <v>3</v>
      </c>
      <c r="I457" s="4">
        <v>0</v>
      </c>
      <c r="J457" s="4">
        <v>1.0234026000000001E-3</v>
      </c>
      <c r="K457" s="5">
        <v>1.2844728E-4</v>
      </c>
      <c r="L457" s="4">
        <v>0</v>
      </c>
      <c r="M457" s="4">
        <v>0.34896290000000002</v>
      </c>
      <c r="N457" s="4">
        <v>0.1614486</v>
      </c>
      <c r="O457" s="4">
        <v>0</v>
      </c>
      <c r="P457" s="4">
        <v>14</v>
      </c>
      <c r="Q457" s="4">
        <v>3</v>
      </c>
      <c r="R457" s="4">
        <v>0</v>
      </c>
      <c r="S457" s="6">
        <v>0.13</v>
      </c>
      <c r="T457" s="6">
        <v>6.5000000000000002E-2</v>
      </c>
    </row>
    <row r="458" spans="1:20" ht="18" x14ac:dyDescent="0.2">
      <c r="A458" s="4" t="s">
        <v>1637</v>
      </c>
      <c r="B458" s="4" t="s">
        <v>2324</v>
      </c>
      <c r="C458" s="4" t="s">
        <v>2028</v>
      </c>
      <c r="D458" s="4">
        <v>2</v>
      </c>
      <c r="E458" s="4" t="s">
        <v>116</v>
      </c>
      <c r="F458" s="4">
        <v>0</v>
      </c>
      <c r="G458" s="4">
        <v>6</v>
      </c>
      <c r="H458" s="4">
        <v>3</v>
      </c>
      <c r="I458" s="4">
        <v>0</v>
      </c>
      <c r="J458" s="4">
        <v>1.3435308E-3</v>
      </c>
      <c r="K458" s="5">
        <v>3.0266316000000001E-4</v>
      </c>
      <c r="L458" s="4">
        <v>0</v>
      </c>
      <c r="M458" s="4">
        <v>0.50660706</v>
      </c>
      <c r="N458" s="4">
        <v>0.23594749000000001</v>
      </c>
      <c r="O458" s="4">
        <v>0</v>
      </c>
      <c r="P458" s="4">
        <v>13</v>
      </c>
      <c r="Q458" s="4">
        <v>5</v>
      </c>
      <c r="R458" s="4">
        <v>0</v>
      </c>
      <c r="S458" s="6">
        <v>0.17799999999999999</v>
      </c>
      <c r="T458" s="6">
        <v>9.1999999999999998E-2</v>
      </c>
    </row>
    <row r="459" spans="1:20" ht="18" x14ac:dyDescent="0.2">
      <c r="A459" s="4" t="s">
        <v>1638</v>
      </c>
      <c r="B459" s="4" t="s">
        <v>2325</v>
      </c>
      <c r="C459" s="4" t="s">
        <v>2028</v>
      </c>
      <c r="D459" s="4">
        <v>2</v>
      </c>
      <c r="E459" s="4" t="s">
        <v>116</v>
      </c>
      <c r="F459" s="4">
        <v>0</v>
      </c>
      <c r="G459" s="4">
        <v>3</v>
      </c>
      <c r="H459" s="4">
        <v>2</v>
      </c>
      <c r="I459" s="4">
        <v>0</v>
      </c>
      <c r="J459" s="5">
        <v>2.5750803999999999E-4</v>
      </c>
      <c r="K459" s="5">
        <v>1.0055062999999999E-4</v>
      </c>
      <c r="L459" s="4">
        <v>0</v>
      </c>
      <c r="M459" s="4">
        <v>6.1695576000000002E-2</v>
      </c>
      <c r="N459" s="4">
        <v>6.1695576000000002E-2</v>
      </c>
      <c r="O459" s="4">
        <v>0</v>
      </c>
      <c r="P459" s="4">
        <v>6</v>
      </c>
      <c r="Q459" s="4">
        <v>4</v>
      </c>
      <c r="R459" s="4">
        <v>0</v>
      </c>
      <c r="S459" s="6">
        <v>2.5999999999999999E-2</v>
      </c>
      <c r="T459" s="6">
        <v>2.5999999999999999E-2</v>
      </c>
    </row>
    <row r="460" spans="1:20" ht="18" x14ac:dyDescent="0.2">
      <c r="A460" s="4" t="s">
        <v>1639</v>
      </c>
      <c r="B460" s="4" t="s">
        <v>2326</v>
      </c>
      <c r="C460" s="4" t="s">
        <v>2028</v>
      </c>
      <c r="D460" s="4">
        <v>2</v>
      </c>
      <c r="E460" s="4" t="s">
        <v>116</v>
      </c>
      <c r="F460" s="4">
        <v>0</v>
      </c>
      <c r="G460" s="4">
        <v>13</v>
      </c>
      <c r="H460" s="4">
        <v>27</v>
      </c>
      <c r="I460" s="4">
        <v>0</v>
      </c>
      <c r="J460" s="5">
        <v>1.847532E-4</v>
      </c>
      <c r="K460" s="5">
        <v>2.5970985999999998E-4</v>
      </c>
      <c r="L460" s="4">
        <v>0</v>
      </c>
      <c r="M460" s="4">
        <v>0.14024972999999999</v>
      </c>
      <c r="N460" s="4">
        <v>0.32129562</v>
      </c>
      <c r="O460" s="4">
        <v>0</v>
      </c>
      <c r="P460" s="4">
        <v>15</v>
      </c>
      <c r="Q460" s="4">
        <v>36</v>
      </c>
      <c r="R460" s="4">
        <v>0</v>
      </c>
      <c r="S460" s="6">
        <v>5.7000000000000002E-2</v>
      </c>
      <c r="T460" s="6">
        <v>0.121</v>
      </c>
    </row>
    <row r="461" spans="1:20" ht="18" x14ac:dyDescent="0.2">
      <c r="A461" s="4" t="s">
        <v>1640</v>
      </c>
      <c r="B461" s="4" t="s">
        <v>2327</v>
      </c>
      <c r="C461" s="4" t="s">
        <v>2028</v>
      </c>
      <c r="D461" s="4">
        <v>2</v>
      </c>
      <c r="E461" s="4" t="s">
        <v>116</v>
      </c>
      <c r="F461" s="4">
        <v>0</v>
      </c>
      <c r="G461" s="4">
        <v>4</v>
      </c>
      <c r="H461" s="4">
        <v>5</v>
      </c>
      <c r="I461" s="4">
        <v>0</v>
      </c>
      <c r="J461" s="5">
        <v>4.1056263999999997E-5</v>
      </c>
      <c r="K461" s="5">
        <v>4.2082617999999998E-5</v>
      </c>
      <c r="L461" s="4">
        <v>0</v>
      </c>
      <c r="M461" s="4">
        <v>3.9920209999999998E-2</v>
      </c>
      <c r="N461" s="4">
        <v>4.2317390000000003E-2</v>
      </c>
      <c r="O461" s="4">
        <v>0</v>
      </c>
      <c r="P461" s="4">
        <v>4</v>
      </c>
      <c r="Q461" s="4">
        <v>7</v>
      </c>
      <c r="R461" s="4">
        <v>0</v>
      </c>
      <c r="S461" s="6">
        <v>1.7000000000000001E-2</v>
      </c>
      <c r="T461" s="6">
        <v>1.7999999999999999E-2</v>
      </c>
    </row>
    <row r="462" spans="1:20" ht="18" x14ac:dyDescent="0.2">
      <c r="A462" s="4" t="s">
        <v>1641</v>
      </c>
      <c r="B462" s="4" t="s">
        <v>2328</v>
      </c>
      <c r="C462" s="4" t="s">
        <v>2028</v>
      </c>
      <c r="D462" s="4">
        <v>2</v>
      </c>
      <c r="E462" s="4" t="s">
        <v>116</v>
      </c>
      <c r="F462" s="4">
        <v>0</v>
      </c>
      <c r="G462" s="4">
        <v>17</v>
      </c>
      <c r="H462" s="4">
        <v>47</v>
      </c>
      <c r="I462" s="4">
        <v>0</v>
      </c>
      <c r="J462" s="5">
        <v>2.4560620000000001E-4</v>
      </c>
      <c r="K462" s="5">
        <v>5.5040120000000002E-4</v>
      </c>
      <c r="L462" s="4">
        <v>0</v>
      </c>
      <c r="M462" s="4">
        <v>0.16412604</v>
      </c>
      <c r="N462" s="4">
        <v>0.41253757000000002</v>
      </c>
      <c r="O462" s="4">
        <v>0</v>
      </c>
      <c r="P462" s="4">
        <v>23</v>
      </c>
      <c r="Q462" s="4">
        <v>88</v>
      </c>
      <c r="R462" s="4">
        <v>0</v>
      </c>
      <c r="S462" s="6">
        <v>6.6000000000000003E-2</v>
      </c>
      <c r="T462" s="6">
        <v>0.15</v>
      </c>
    </row>
    <row r="463" spans="1:20" ht="18" x14ac:dyDescent="0.2">
      <c r="A463" s="4" t="s">
        <v>1642</v>
      </c>
      <c r="B463" s="4" t="s">
        <v>2329</v>
      </c>
      <c r="C463" s="4" t="s">
        <v>2028</v>
      </c>
      <c r="D463" s="4">
        <v>2</v>
      </c>
      <c r="E463" s="4" t="s">
        <v>116</v>
      </c>
      <c r="F463" s="4">
        <v>0</v>
      </c>
      <c r="G463" s="4">
        <v>3</v>
      </c>
      <c r="H463" s="4">
        <v>3</v>
      </c>
      <c r="I463" s="4">
        <v>0</v>
      </c>
      <c r="J463" s="5">
        <v>5.3077463E-5</v>
      </c>
      <c r="K463" s="5">
        <v>3.7305825E-5</v>
      </c>
      <c r="L463" s="4">
        <v>0</v>
      </c>
      <c r="M463" s="4">
        <v>2.5651931999999999E-2</v>
      </c>
      <c r="N463" s="4">
        <v>2.5651931999999999E-2</v>
      </c>
      <c r="O463" s="4">
        <v>0</v>
      </c>
      <c r="P463" s="4">
        <v>5</v>
      </c>
      <c r="Q463" s="4">
        <v>6</v>
      </c>
      <c r="R463" s="4">
        <v>0</v>
      </c>
      <c r="S463" s="6">
        <v>1.0999999999999999E-2</v>
      </c>
      <c r="T463" s="6">
        <v>1.0999999999999999E-2</v>
      </c>
    </row>
    <row r="464" spans="1:20" ht="18" x14ac:dyDescent="0.2">
      <c r="A464" s="4" t="s">
        <v>1643</v>
      </c>
      <c r="B464" s="4" t="s">
        <v>2024</v>
      </c>
      <c r="C464" s="4" t="s">
        <v>2028</v>
      </c>
      <c r="D464" s="4">
        <v>2</v>
      </c>
      <c r="E464" s="4" t="s">
        <v>116</v>
      </c>
      <c r="F464" s="4">
        <v>0</v>
      </c>
      <c r="G464" s="4">
        <v>3</v>
      </c>
      <c r="H464" s="4">
        <v>2</v>
      </c>
      <c r="I464" s="4">
        <v>0</v>
      </c>
      <c r="J464" s="5">
        <v>2.7384737000000001E-4</v>
      </c>
      <c r="K464" s="5">
        <v>1.0693073E-4</v>
      </c>
      <c r="L464" s="4">
        <v>0</v>
      </c>
      <c r="M464" s="4">
        <v>0.30918192999999999</v>
      </c>
      <c r="N464" s="4">
        <v>0.15080035</v>
      </c>
      <c r="O464" s="4">
        <v>0</v>
      </c>
      <c r="P464" s="4">
        <v>3</v>
      </c>
      <c r="Q464" s="4">
        <v>2</v>
      </c>
      <c r="R464" s="4">
        <v>0</v>
      </c>
      <c r="S464" s="6">
        <v>0.11700000000000001</v>
      </c>
      <c r="T464" s="6">
        <v>6.0999999999999999E-2</v>
      </c>
    </row>
    <row r="465" spans="1:20" ht="18" x14ac:dyDescent="0.2">
      <c r="A465" s="4" t="s">
        <v>1644</v>
      </c>
      <c r="B465" s="4" t="s">
        <v>2330</v>
      </c>
      <c r="C465" s="4" t="s">
        <v>2028</v>
      </c>
      <c r="D465" s="4">
        <v>2</v>
      </c>
      <c r="E465" s="4" t="s">
        <v>116</v>
      </c>
      <c r="F465" s="4">
        <v>0</v>
      </c>
      <c r="G465" s="4">
        <v>2</v>
      </c>
      <c r="H465" s="4">
        <v>2</v>
      </c>
      <c r="I465" s="4">
        <v>0</v>
      </c>
      <c r="J465" s="5">
        <v>7.9218699999999994E-5</v>
      </c>
      <c r="K465" s="5">
        <v>4.6399459999999999E-5</v>
      </c>
      <c r="L465" s="4">
        <v>0</v>
      </c>
      <c r="M465" s="4">
        <v>0.13501083999999999</v>
      </c>
      <c r="N465" s="4">
        <v>7.3989390000000002E-2</v>
      </c>
      <c r="O465" s="4">
        <v>0</v>
      </c>
      <c r="P465" s="4">
        <v>2</v>
      </c>
      <c r="Q465" s="4">
        <v>2</v>
      </c>
      <c r="R465" s="4">
        <v>0</v>
      </c>
      <c r="S465" s="6">
        <v>5.5E-2</v>
      </c>
      <c r="T465" s="6">
        <v>3.1E-2</v>
      </c>
    </row>
    <row r="466" spans="1:20" ht="18" x14ac:dyDescent="0.2">
      <c r="A466" s="4" t="s">
        <v>1645</v>
      </c>
      <c r="B466" s="4" t="s">
        <v>2026</v>
      </c>
      <c r="C466" s="4" t="s">
        <v>2028</v>
      </c>
      <c r="D466" s="4">
        <v>2</v>
      </c>
      <c r="E466" s="4" t="s">
        <v>116</v>
      </c>
      <c r="F466" s="4">
        <v>0</v>
      </c>
      <c r="G466" s="4">
        <v>6</v>
      </c>
      <c r="H466" s="4">
        <v>3</v>
      </c>
      <c r="I466" s="4">
        <v>0</v>
      </c>
      <c r="J466" s="5">
        <v>9.4232199999999999E-4</v>
      </c>
      <c r="K466" s="5">
        <v>1.3798266999999999E-4</v>
      </c>
      <c r="L466" s="4">
        <v>0</v>
      </c>
      <c r="M466" s="4">
        <v>0.28528666000000003</v>
      </c>
      <c r="N466" s="4">
        <v>0.10662377000000001</v>
      </c>
      <c r="O466" s="4">
        <v>0</v>
      </c>
      <c r="P466" s="4">
        <v>12</v>
      </c>
      <c r="Q466" s="4">
        <v>3</v>
      </c>
      <c r="R466" s="4">
        <v>0</v>
      </c>
      <c r="S466" s="6">
        <v>0.109</v>
      </c>
      <c r="T466" s="6">
        <v>4.3999999999999997E-2</v>
      </c>
    </row>
    <row r="467" spans="1:20" ht="18" x14ac:dyDescent="0.2">
      <c r="A467" s="4" t="s">
        <v>1646</v>
      </c>
      <c r="B467" s="4" t="s">
        <v>2026</v>
      </c>
      <c r="C467" s="4" t="s">
        <v>2028</v>
      </c>
      <c r="D467" s="4">
        <v>2</v>
      </c>
      <c r="E467" s="4" t="s">
        <v>116</v>
      </c>
      <c r="F467" s="4">
        <v>0</v>
      </c>
      <c r="G467" s="4">
        <v>2</v>
      </c>
      <c r="H467" s="4">
        <v>3</v>
      </c>
      <c r="I467" s="4">
        <v>0</v>
      </c>
      <c r="J467" s="5">
        <v>4.4956610000000002E-4</v>
      </c>
      <c r="K467" s="5">
        <v>2.6331694000000002E-4</v>
      </c>
      <c r="L467" s="4">
        <v>0</v>
      </c>
      <c r="M467" s="4">
        <v>0.35831343999999998</v>
      </c>
      <c r="N467" s="4">
        <v>0.35831343999999998</v>
      </c>
      <c r="O467" s="4">
        <v>0</v>
      </c>
      <c r="P467" s="4">
        <v>3</v>
      </c>
      <c r="Q467" s="4">
        <v>3</v>
      </c>
      <c r="R467" s="4">
        <v>0</v>
      </c>
      <c r="S467" s="6">
        <v>0.13300000000000001</v>
      </c>
      <c r="T467" s="6">
        <v>0.13300000000000001</v>
      </c>
    </row>
    <row r="468" spans="1:20" ht="18" x14ac:dyDescent="0.2">
      <c r="A468" s="4" t="s">
        <v>1647</v>
      </c>
      <c r="B468" s="4" t="s">
        <v>2160</v>
      </c>
      <c r="C468" s="4" t="s">
        <v>2028</v>
      </c>
      <c r="D468" s="4">
        <v>2</v>
      </c>
      <c r="E468" s="4" t="s">
        <v>116</v>
      </c>
      <c r="F468" s="4">
        <v>0</v>
      </c>
      <c r="G468" s="4">
        <v>20</v>
      </c>
      <c r="H468" s="4">
        <v>18</v>
      </c>
      <c r="I468" s="4">
        <v>0</v>
      </c>
      <c r="J468" s="4">
        <v>2.4726137E-3</v>
      </c>
      <c r="K468" s="4">
        <v>1.2068694000000001E-3</v>
      </c>
      <c r="L468" s="4">
        <v>0</v>
      </c>
      <c r="M468" s="4">
        <v>0.64816236000000005</v>
      </c>
      <c r="N468" s="4">
        <v>0.64816236000000005</v>
      </c>
      <c r="O468" s="4">
        <v>0</v>
      </c>
      <c r="P468" s="4">
        <v>66</v>
      </c>
      <c r="Q468" s="4">
        <v>55</v>
      </c>
      <c r="R468" s="4">
        <v>0</v>
      </c>
      <c r="S468" s="6">
        <v>0.217</v>
      </c>
      <c r="T468" s="6">
        <v>0.217</v>
      </c>
    </row>
    <row r="469" spans="1:20" ht="18" x14ac:dyDescent="0.2">
      <c r="A469" s="4" t="s">
        <v>1648</v>
      </c>
      <c r="B469" s="4" t="s">
        <v>2331</v>
      </c>
      <c r="C469" s="4" t="s">
        <v>2028</v>
      </c>
      <c r="D469" s="4">
        <v>2</v>
      </c>
      <c r="E469" s="4" t="s">
        <v>116</v>
      </c>
      <c r="F469" s="4">
        <v>0</v>
      </c>
      <c r="G469" s="4">
        <v>3</v>
      </c>
      <c r="H469" s="4">
        <v>5</v>
      </c>
      <c r="I469" s="4">
        <v>0</v>
      </c>
      <c r="J469" s="5">
        <v>7.0438930000000003E-4</v>
      </c>
      <c r="K469" s="5">
        <v>3.8830146999999999E-4</v>
      </c>
      <c r="L469" s="4">
        <v>0</v>
      </c>
      <c r="M469" s="4">
        <v>3.7528395999999999E-2</v>
      </c>
      <c r="N469" s="4">
        <v>0.17219532000000001</v>
      </c>
      <c r="O469" s="4">
        <v>0</v>
      </c>
      <c r="P469" s="4">
        <v>17</v>
      </c>
      <c r="Q469" s="4">
        <v>16</v>
      </c>
      <c r="R469" s="4">
        <v>0</v>
      </c>
      <c r="S469" s="6">
        <v>1.6E-2</v>
      </c>
      <c r="T469" s="6">
        <v>6.9000000000000006E-2</v>
      </c>
    </row>
    <row r="470" spans="1:20" ht="18" x14ac:dyDescent="0.2">
      <c r="A470" s="4" t="s">
        <v>1649</v>
      </c>
      <c r="B470" s="4" t="s">
        <v>2024</v>
      </c>
      <c r="C470" s="4" t="s">
        <v>2028</v>
      </c>
      <c r="D470" s="4">
        <v>2</v>
      </c>
      <c r="E470" s="4" t="s">
        <v>116</v>
      </c>
      <c r="F470" s="4">
        <v>0</v>
      </c>
      <c r="G470" s="4">
        <v>2</v>
      </c>
      <c r="H470" s="4">
        <v>3</v>
      </c>
      <c r="I470" s="4">
        <v>0</v>
      </c>
      <c r="J470" s="5">
        <v>5.1873014E-4</v>
      </c>
      <c r="K470" s="5">
        <v>3.0382723000000001E-4</v>
      </c>
      <c r="L470" s="4">
        <v>0</v>
      </c>
      <c r="M470" s="4">
        <v>0.42560756</v>
      </c>
      <c r="N470" s="4">
        <v>0.42560756</v>
      </c>
      <c r="O470" s="4">
        <v>0</v>
      </c>
      <c r="P470" s="4">
        <v>3</v>
      </c>
      <c r="Q470" s="4">
        <v>3</v>
      </c>
      <c r="R470" s="4">
        <v>0</v>
      </c>
      <c r="S470" s="6">
        <v>0.154</v>
      </c>
      <c r="T470" s="6">
        <v>0.154</v>
      </c>
    </row>
    <row r="471" spans="1:20" ht="18" x14ac:dyDescent="0.2">
      <c r="A471" s="4" t="s">
        <v>1650</v>
      </c>
      <c r="B471" s="4" t="s">
        <v>2024</v>
      </c>
      <c r="C471" s="4" t="s">
        <v>2028</v>
      </c>
      <c r="D471" s="4">
        <v>2</v>
      </c>
      <c r="E471" s="4" t="s">
        <v>116</v>
      </c>
      <c r="F471" s="4">
        <v>0</v>
      </c>
      <c r="G471" s="4">
        <v>2</v>
      </c>
      <c r="H471" s="4">
        <v>3</v>
      </c>
      <c r="I471" s="4">
        <v>0</v>
      </c>
      <c r="J471" s="5">
        <v>4.9951789999999998E-4</v>
      </c>
      <c r="K471" s="5">
        <v>2.9257437999999998E-4</v>
      </c>
      <c r="L471" s="4">
        <v>0</v>
      </c>
      <c r="M471" s="4">
        <v>0.40604758000000002</v>
      </c>
      <c r="N471" s="4">
        <v>0.40604758000000002</v>
      </c>
      <c r="O471" s="4">
        <v>0</v>
      </c>
      <c r="P471" s="4">
        <v>3</v>
      </c>
      <c r="Q471" s="4">
        <v>3</v>
      </c>
      <c r="R471" s="4">
        <v>0</v>
      </c>
      <c r="S471" s="6">
        <v>0.14799999999999999</v>
      </c>
      <c r="T471" s="6">
        <v>0.14799999999999999</v>
      </c>
    </row>
    <row r="472" spans="1:20" ht="18" x14ac:dyDescent="0.2">
      <c r="A472" s="4" t="s">
        <v>1651</v>
      </c>
      <c r="B472" s="4" t="s">
        <v>2026</v>
      </c>
      <c r="C472" s="4" t="s">
        <v>2028</v>
      </c>
      <c r="D472" s="4">
        <v>2</v>
      </c>
      <c r="E472" s="4" t="s">
        <v>116</v>
      </c>
      <c r="F472" s="4">
        <v>0</v>
      </c>
      <c r="G472" s="4">
        <v>2</v>
      </c>
      <c r="H472" s="4">
        <v>3</v>
      </c>
      <c r="I472" s="4">
        <v>0</v>
      </c>
      <c r="J472" s="5">
        <v>1.0593605E-4</v>
      </c>
      <c r="K472" s="5">
        <v>1.396084E-4</v>
      </c>
      <c r="L472" s="4">
        <v>0</v>
      </c>
      <c r="M472" s="4">
        <v>8.3926916000000004E-2</v>
      </c>
      <c r="N472" s="4">
        <v>8.3926916000000004E-2</v>
      </c>
      <c r="O472" s="4">
        <v>0</v>
      </c>
      <c r="P472" s="4">
        <v>4</v>
      </c>
      <c r="Q472" s="4">
        <v>9</v>
      </c>
      <c r="R472" s="4">
        <v>0</v>
      </c>
      <c r="S472" s="6">
        <v>3.5000000000000003E-2</v>
      </c>
      <c r="T472" s="6">
        <v>3.5000000000000003E-2</v>
      </c>
    </row>
    <row r="473" spans="1:20" ht="18" x14ac:dyDescent="0.2">
      <c r="A473" s="4" t="s">
        <v>1652</v>
      </c>
      <c r="B473" s="4" t="s">
        <v>2026</v>
      </c>
      <c r="C473" s="4" t="s">
        <v>2028</v>
      </c>
      <c r="D473" s="4">
        <v>2</v>
      </c>
      <c r="E473" s="4" t="s">
        <v>116</v>
      </c>
      <c r="F473" s="4">
        <v>0</v>
      </c>
      <c r="G473" s="4">
        <v>12</v>
      </c>
      <c r="H473" s="4">
        <v>6</v>
      </c>
      <c r="I473" s="4">
        <v>0</v>
      </c>
      <c r="J473" s="4">
        <v>1.2844747000000001E-3</v>
      </c>
      <c r="K473" s="5">
        <v>2.2570023000000001E-4</v>
      </c>
      <c r="L473" s="4">
        <v>0</v>
      </c>
      <c r="M473" s="4">
        <v>0.41253757000000002</v>
      </c>
      <c r="N473" s="4">
        <v>0.23879659</v>
      </c>
      <c r="O473" s="4">
        <v>0</v>
      </c>
      <c r="P473" s="4">
        <v>20</v>
      </c>
      <c r="Q473" s="4">
        <v>6</v>
      </c>
      <c r="R473" s="4">
        <v>0</v>
      </c>
      <c r="S473" s="6">
        <v>0.15</v>
      </c>
      <c r="T473" s="6">
        <v>9.2999999999999999E-2</v>
      </c>
    </row>
    <row r="474" spans="1:20" ht="18" x14ac:dyDescent="0.2">
      <c r="A474" s="4" t="s">
        <v>1653</v>
      </c>
      <c r="B474" s="4" t="s">
        <v>2026</v>
      </c>
      <c r="C474" s="4" t="s">
        <v>2028</v>
      </c>
      <c r="D474" s="4">
        <v>2</v>
      </c>
      <c r="E474" s="4" t="s">
        <v>116</v>
      </c>
      <c r="F474" s="4">
        <v>0</v>
      </c>
      <c r="G474" s="4">
        <v>12</v>
      </c>
      <c r="H474" s="4">
        <v>6</v>
      </c>
      <c r="I474" s="4">
        <v>0</v>
      </c>
      <c r="J474" s="4">
        <v>1.5705366E-3</v>
      </c>
      <c r="K474" s="5">
        <v>2.7596533999999997E-4</v>
      </c>
      <c r="L474" s="4">
        <v>0</v>
      </c>
      <c r="M474" s="4">
        <v>0.52405274000000002</v>
      </c>
      <c r="N474" s="4">
        <v>0.30016959999999998</v>
      </c>
      <c r="O474" s="4">
        <v>0</v>
      </c>
      <c r="P474" s="4">
        <v>20</v>
      </c>
      <c r="Q474" s="4">
        <v>6</v>
      </c>
      <c r="R474" s="4">
        <v>0</v>
      </c>
      <c r="S474" s="6">
        <v>0.183</v>
      </c>
      <c r="T474" s="6">
        <v>0.114</v>
      </c>
    </row>
    <row r="475" spans="1:20" ht="18" x14ac:dyDescent="0.2">
      <c r="A475" s="4" t="s">
        <v>1654</v>
      </c>
      <c r="B475" s="4" t="s">
        <v>2160</v>
      </c>
      <c r="C475" s="4" t="s">
        <v>2028</v>
      </c>
      <c r="D475" s="4">
        <v>2</v>
      </c>
      <c r="E475" s="4" t="s">
        <v>116</v>
      </c>
      <c r="F475" s="4">
        <v>0</v>
      </c>
      <c r="G475" s="4">
        <v>2</v>
      </c>
      <c r="H475" s="4">
        <v>3</v>
      </c>
      <c r="I475" s="4">
        <v>0</v>
      </c>
      <c r="J475" s="5">
        <v>3.7205472000000002E-4</v>
      </c>
      <c r="K475" s="5">
        <v>2.1791746000000001E-4</v>
      </c>
      <c r="L475" s="4">
        <v>0</v>
      </c>
      <c r="M475" s="4">
        <v>0.28824949999999999</v>
      </c>
      <c r="N475" s="4">
        <v>0.28824949999999999</v>
      </c>
      <c r="O475" s="4">
        <v>0</v>
      </c>
      <c r="P475" s="4">
        <v>3</v>
      </c>
      <c r="Q475" s="4">
        <v>3</v>
      </c>
      <c r="R475" s="4">
        <v>0</v>
      </c>
      <c r="S475" s="6">
        <v>0.11</v>
      </c>
      <c r="T475" s="6">
        <v>0.11</v>
      </c>
    </row>
    <row r="476" spans="1:20" ht="18" x14ac:dyDescent="0.2">
      <c r="A476" s="4" t="s">
        <v>1655</v>
      </c>
      <c r="B476" s="4" t="s">
        <v>2160</v>
      </c>
      <c r="C476" s="4" t="s">
        <v>2028</v>
      </c>
      <c r="D476" s="4">
        <v>2</v>
      </c>
      <c r="E476" s="4" t="s">
        <v>116</v>
      </c>
      <c r="F476" s="4">
        <v>0</v>
      </c>
      <c r="G476" s="4">
        <v>7</v>
      </c>
      <c r="H476" s="4">
        <v>3</v>
      </c>
      <c r="I476" s="4">
        <v>0</v>
      </c>
      <c r="J476" s="5">
        <v>9.4263859999999997E-4</v>
      </c>
      <c r="K476" s="5">
        <v>1.2741141999999999E-4</v>
      </c>
      <c r="L476" s="4">
        <v>0</v>
      </c>
      <c r="M476" s="4">
        <v>0.46217715999999998</v>
      </c>
      <c r="N476" s="4">
        <v>9.6478224000000001E-2</v>
      </c>
      <c r="O476" s="4">
        <v>0</v>
      </c>
      <c r="P476" s="4">
        <v>13</v>
      </c>
      <c r="Q476" s="4">
        <v>3</v>
      </c>
      <c r="R476" s="4">
        <v>0</v>
      </c>
      <c r="S476" s="6">
        <v>0.16500000000000001</v>
      </c>
      <c r="T476" s="6">
        <v>0.04</v>
      </c>
    </row>
    <row r="477" spans="1:20" ht="18" x14ac:dyDescent="0.2">
      <c r="A477" s="4" t="s">
        <v>1656</v>
      </c>
      <c r="B477" s="4" t="s">
        <v>2026</v>
      </c>
      <c r="C477" s="4" t="s">
        <v>2028</v>
      </c>
      <c r="D477" s="4">
        <v>2</v>
      </c>
      <c r="E477" s="4" t="s">
        <v>116</v>
      </c>
      <c r="F477" s="4">
        <v>0</v>
      </c>
      <c r="G477" s="4">
        <v>9</v>
      </c>
      <c r="H477" s="4">
        <v>6</v>
      </c>
      <c r="I477" s="4">
        <v>0</v>
      </c>
      <c r="J477" s="4">
        <v>1.0360371000000001E-3</v>
      </c>
      <c r="K477" s="5">
        <v>2.6006611999999999E-4</v>
      </c>
      <c r="L477" s="4">
        <v>0</v>
      </c>
      <c r="M477" s="4">
        <v>0.29121923</v>
      </c>
      <c r="N477" s="4">
        <v>0.27938128000000001</v>
      </c>
      <c r="O477" s="4">
        <v>0</v>
      </c>
      <c r="P477" s="4">
        <v>14</v>
      </c>
      <c r="Q477" s="4">
        <v>6</v>
      </c>
      <c r="R477" s="4">
        <v>0</v>
      </c>
      <c r="S477" s="6">
        <v>0.111</v>
      </c>
      <c r="T477" s="6">
        <v>0.107</v>
      </c>
    </row>
    <row r="478" spans="1:20" ht="18" x14ac:dyDescent="0.2">
      <c r="A478" s="4" t="s">
        <v>1657</v>
      </c>
      <c r="B478" s="4" t="s">
        <v>2024</v>
      </c>
      <c r="C478" s="4" t="s">
        <v>2028</v>
      </c>
      <c r="D478" s="4">
        <v>2</v>
      </c>
      <c r="E478" s="4" t="s">
        <v>116</v>
      </c>
      <c r="F478" s="4">
        <v>0</v>
      </c>
      <c r="G478" s="4">
        <v>3</v>
      </c>
      <c r="H478" s="4">
        <v>3</v>
      </c>
      <c r="I478" s="4">
        <v>0</v>
      </c>
      <c r="J478" s="5">
        <v>5.4219032999999999E-4</v>
      </c>
      <c r="K478" s="5">
        <v>3.1756816000000002E-4</v>
      </c>
      <c r="L478" s="4">
        <v>0</v>
      </c>
      <c r="M478" s="4">
        <v>0.14815365999999999</v>
      </c>
      <c r="N478" s="4">
        <v>0.14815365999999999</v>
      </c>
      <c r="O478" s="4">
        <v>0</v>
      </c>
      <c r="P478" s="4">
        <v>6</v>
      </c>
      <c r="Q478" s="4">
        <v>6</v>
      </c>
      <c r="R478" s="4">
        <v>0</v>
      </c>
      <c r="S478" s="6">
        <v>0.06</v>
      </c>
      <c r="T478" s="6">
        <v>0.06</v>
      </c>
    </row>
    <row r="479" spans="1:20" ht="18" x14ac:dyDescent="0.2">
      <c r="A479" s="4" t="s">
        <v>1658</v>
      </c>
      <c r="B479" s="4" t="s">
        <v>2112</v>
      </c>
      <c r="C479" s="4" t="s">
        <v>2028</v>
      </c>
      <c r="D479" s="4">
        <v>2</v>
      </c>
      <c r="E479" s="4" t="s">
        <v>116</v>
      </c>
      <c r="F479" s="4">
        <v>0</v>
      </c>
      <c r="G479" s="4">
        <v>4</v>
      </c>
      <c r="H479" s="4">
        <v>2</v>
      </c>
      <c r="I479" s="4">
        <v>0</v>
      </c>
      <c r="J479" s="5">
        <v>6.7016069999999996E-4</v>
      </c>
      <c r="K479" s="5">
        <v>1.3084072000000001E-4</v>
      </c>
      <c r="L479" s="4">
        <v>0</v>
      </c>
      <c r="M479" s="4">
        <v>0.29419577000000002</v>
      </c>
      <c r="N479" s="4">
        <v>0.12201846</v>
      </c>
      <c r="O479" s="4">
        <v>0</v>
      </c>
      <c r="P479" s="4">
        <v>6</v>
      </c>
      <c r="Q479" s="4">
        <v>2</v>
      </c>
      <c r="R479" s="4">
        <v>0</v>
      </c>
      <c r="S479" s="6">
        <v>0.112</v>
      </c>
      <c r="T479" s="6">
        <v>0.05</v>
      </c>
    </row>
    <row r="480" spans="1:20" ht="18" x14ac:dyDescent="0.2">
      <c r="A480" s="4" t="s">
        <v>1659</v>
      </c>
      <c r="B480" s="4" t="s">
        <v>2332</v>
      </c>
      <c r="C480" s="4" t="s">
        <v>2028</v>
      </c>
      <c r="D480" s="4">
        <v>2</v>
      </c>
      <c r="E480" s="4" t="s">
        <v>116</v>
      </c>
      <c r="F480" s="4">
        <v>0</v>
      </c>
      <c r="G480" s="4">
        <v>10</v>
      </c>
      <c r="H480" s="4">
        <v>8</v>
      </c>
      <c r="I480" s="4">
        <v>0</v>
      </c>
      <c r="J480" s="4">
        <v>2.2478305999999999E-3</v>
      </c>
      <c r="K480" s="5">
        <v>8.2286545999999999E-4</v>
      </c>
      <c r="L480" s="4">
        <v>0</v>
      </c>
      <c r="M480" s="4">
        <v>1.128139</v>
      </c>
      <c r="N480" s="4">
        <v>0.74582219999999999</v>
      </c>
      <c r="O480" s="4">
        <v>0</v>
      </c>
      <c r="P480" s="4">
        <v>16</v>
      </c>
      <c r="Q480" s="4">
        <v>10</v>
      </c>
      <c r="R480" s="4">
        <v>0</v>
      </c>
      <c r="S480" s="6">
        <v>0.32800000000000001</v>
      </c>
      <c r="T480" s="6">
        <v>0.24199999999999999</v>
      </c>
    </row>
    <row r="481" spans="1:20" ht="18" x14ac:dyDescent="0.2">
      <c r="A481" s="4" t="s">
        <v>1660</v>
      </c>
      <c r="B481" s="4" t="s">
        <v>2333</v>
      </c>
      <c r="C481" s="4" t="s">
        <v>2028</v>
      </c>
      <c r="D481" s="4">
        <v>2</v>
      </c>
      <c r="E481" s="4" t="s">
        <v>116</v>
      </c>
      <c r="F481" s="4">
        <v>0</v>
      </c>
      <c r="G481" s="4">
        <v>3</v>
      </c>
      <c r="H481" s="4">
        <v>3</v>
      </c>
      <c r="I481" s="4">
        <v>0</v>
      </c>
      <c r="J481" s="5">
        <v>3.0222933999999999E-4</v>
      </c>
      <c r="K481" s="5">
        <v>1.770198E-4</v>
      </c>
      <c r="L481" s="4">
        <v>0</v>
      </c>
      <c r="M481" s="4">
        <v>0.17760598999999999</v>
      </c>
      <c r="N481" s="4">
        <v>0.17760598999999999</v>
      </c>
      <c r="O481" s="4">
        <v>0</v>
      </c>
      <c r="P481" s="4">
        <v>4</v>
      </c>
      <c r="Q481" s="4">
        <v>4</v>
      </c>
      <c r="R481" s="4">
        <v>0</v>
      </c>
      <c r="S481" s="6">
        <v>7.0999999999999994E-2</v>
      </c>
      <c r="T481" s="6">
        <v>7.0999999999999994E-2</v>
      </c>
    </row>
    <row r="482" spans="1:20" ht="18" x14ac:dyDescent="0.2">
      <c r="A482" s="4" t="s">
        <v>1661</v>
      </c>
      <c r="B482" s="4" t="s">
        <v>2026</v>
      </c>
      <c r="C482" s="4" t="s">
        <v>2028</v>
      </c>
      <c r="D482" s="4">
        <v>2</v>
      </c>
      <c r="E482" s="4" t="s">
        <v>116</v>
      </c>
      <c r="F482" s="4">
        <v>0</v>
      </c>
      <c r="G482" s="4">
        <v>6</v>
      </c>
      <c r="H482" s="4">
        <v>3</v>
      </c>
      <c r="I482" s="4">
        <v>0</v>
      </c>
      <c r="J482" s="4">
        <v>1.5379893999999999E-3</v>
      </c>
      <c r="K482" s="5">
        <v>3.4646965999999998E-4</v>
      </c>
      <c r="L482" s="4">
        <v>0</v>
      </c>
      <c r="M482" s="4">
        <v>0.59955800000000004</v>
      </c>
      <c r="N482" s="4">
        <v>0.27350307000000001</v>
      </c>
      <c r="O482" s="4">
        <v>0</v>
      </c>
      <c r="P482" s="4">
        <v>13</v>
      </c>
      <c r="Q482" s="4">
        <v>5</v>
      </c>
      <c r="R482" s="4">
        <v>0</v>
      </c>
      <c r="S482" s="6">
        <v>0.20399999999999999</v>
      </c>
      <c r="T482" s="6">
        <v>0.105</v>
      </c>
    </row>
    <row r="483" spans="1:20" ht="18" x14ac:dyDescent="0.2">
      <c r="A483" s="4" t="s">
        <v>1662</v>
      </c>
      <c r="B483" s="4" t="s">
        <v>2334</v>
      </c>
      <c r="C483" s="4" t="s">
        <v>2028</v>
      </c>
      <c r="D483" s="4">
        <v>2</v>
      </c>
      <c r="E483" s="4" t="s">
        <v>116</v>
      </c>
      <c r="F483" s="4">
        <v>0</v>
      </c>
      <c r="G483" s="4">
        <v>5</v>
      </c>
      <c r="H483" s="4">
        <v>3</v>
      </c>
      <c r="I483" s="4">
        <v>0</v>
      </c>
      <c r="J483" s="4">
        <v>1.8243262000000001E-3</v>
      </c>
      <c r="K483" s="5">
        <v>4.5794251E-4</v>
      </c>
      <c r="L483" s="4">
        <v>0</v>
      </c>
      <c r="M483" s="4">
        <v>0.54170050000000003</v>
      </c>
      <c r="N483" s="4">
        <v>0.54170050000000003</v>
      </c>
      <c r="O483" s="4">
        <v>0</v>
      </c>
      <c r="P483" s="4">
        <v>7</v>
      </c>
      <c r="Q483" s="4">
        <v>3</v>
      </c>
      <c r="R483" s="4">
        <v>0</v>
      </c>
      <c r="S483" s="6">
        <v>0.188</v>
      </c>
      <c r="T483" s="6">
        <v>0.188</v>
      </c>
    </row>
    <row r="484" spans="1:20" ht="18" x14ac:dyDescent="0.2">
      <c r="A484" s="4" t="s">
        <v>1663</v>
      </c>
      <c r="B484" s="4" t="s">
        <v>2335</v>
      </c>
      <c r="C484" s="4" t="s">
        <v>2028</v>
      </c>
      <c r="D484" s="4">
        <v>2</v>
      </c>
      <c r="E484" s="4" t="s">
        <v>116</v>
      </c>
      <c r="F484" s="4">
        <v>0</v>
      </c>
      <c r="G484" s="4">
        <v>9</v>
      </c>
      <c r="H484" s="4">
        <v>5</v>
      </c>
      <c r="I484" s="4">
        <v>0</v>
      </c>
      <c r="J484" s="5">
        <v>3.4030901999999999E-4</v>
      </c>
      <c r="K484" s="5">
        <v>9.4416434999999995E-5</v>
      </c>
      <c r="L484" s="4">
        <v>0</v>
      </c>
      <c r="M484" s="4">
        <v>0.13762724000000001</v>
      </c>
      <c r="N484" s="4">
        <v>6.6596150000000007E-2</v>
      </c>
      <c r="O484" s="4">
        <v>0</v>
      </c>
      <c r="P484" s="4">
        <v>19</v>
      </c>
      <c r="Q484" s="4">
        <v>9</v>
      </c>
      <c r="R484" s="4">
        <v>0</v>
      </c>
      <c r="S484" s="6">
        <v>5.6000000000000001E-2</v>
      </c>
      <c r="T484" s="6">
        <v>2.8000000000000001E-2</v>
      </c>
    </row>
    <row r="485" spans="1:20" ht="18" x14ac:dyDescent="0.2">
      <c r="A485" s="4" t="s">
        <v>1664</v>
      </c>
      <c r="B485" s="4" t="s">
        <v>2336</v>
      </c>
      <c r="C485" s="4" t="s">
        <v>2028</v>
      </c>
      <c r="D485" s="4">
        <v>2</v>
      </c>
      <c r="E485" s="4" t="s">
        <v>116</v>
      </c>
      <c r="F485" s="4">
        <v>0</v>
      </c>
      <c r="G485" s="4">
        <v>7</v>
      </c>
      <c r="H485" s="4">
        <v>3</v>
      </c>
      <c r="I485" s="4">
        <v>0</v>
      </c>
      <c r="J485" s="4">
        <v>1.3832804000000001E-3</v>
      </c>
      <c r="K485" s="5">
        <v>2.8935928000000001E-4</v>
      </c>
      <c r="L485" s="4">
        <v>0</v>
      </c>
      <c r="M485" s="4">
        <v>0.76603779999999999</v>
      </c>
      <c r="N485" s="4">
        <v>0.22461617</v>
      </c>
      <c r="O485" s="4">
        <v>0</v>
      </c>
      <c r="P485" s="4">
        <v>14</v>
      </c>
      <c r="Q485" s="4">
        <v>5</v>
      </c>
      <c r="R485" s="4">
        <v>0</v>
      </c>
      <c r="S485" s="6">
        <v>0.247</v>
      </c>
      <c r="T485" s="6">
        <v>8.7999999999999995E-2</v>
      </c>
    </row>
    <row r="486" spans="1:20" ht="18" x14ac:dyDescent="0.2">
      <c r="A486" s="4" t="s">
        <v>1665</v>
      </c>
      <c r="B486" s="4" t="s">
        <v>2337</v>
      </c>
      <c r="C486" s="4" t="s">
        <v>2028</v>
      </c>
      <c r="D486" s="4">
        <v>2</v>
      </c>
      <c r="E486" s="4" t="s">
        <v>116</v>
      </c>
      <c r="F486" s="4">
        <v>0</v>
      </c>
      <c r="G486" s="4">
        <v>13</v>
      </c>
      <c r="H486" s="4">
        <v>6</v>
      </c>
      <c r="I486" s="4">
        <v>0</v>
      </c>
      <c r="J486" s="4">
        <v>1.0374602999999999E-3</v>
      </c>
      <c r="K486" s="5">
        <v>1.7361557000000001E-4</v>
      </c>
      <c r="L486" s="4">
        <v>0</v>
      </c>
      <c r="M486" s="4">
        <v>0.44211529999999999</v>
      </c>
      <c r="N486" s="4">
        <v>0.17760598999999999</v>
      </c>
      <c r="O486" s="4">
        <v>0</v>
      </c>
      <c r="P486" s="4">
        <v>21</v>
      </c>
      <c r="Q486" s="4">
        <v>6</v>
      </c>
      <c r="R486" s="4">
        <v>0</v>
      </c>
      <c r="S486" s="6">
        <v>0.159</v>
      </c>
      <c r="T486" s="6">
        <v>7.0999999999999994E-2</v>
      </c>
    </row>
    <row r="487" spans="1:20" ht="18" x14ac:dyDescent="0.2">
      <c r="A487" s="4" t="s">
        <v>1666</v>
      </c>
      <c r="B487" s="4" t="s">
        <v>2338</v>
      </c>
      <c r="C487" s="4" t="s">
        <v>2028</v>
      </c>
      <c r="D487" s="4">
        <v>2</v>
      </c>
      <c r="E487" s="4" t="s">
        <v>116</v>
      </c>
      <c r="F487" s="4">
        <v>0</v>
      </c>
      <c r="G487" s="4">
        <v>59</v>
      </c>
      <c r="H487" s="4">
        <v>6</v>
      </c>
      <c r="I487" s="4">
        <v>0</v>
      </c>
      <c r="J487" s="4">
        <v>1.8963516000000001E-3</v>
      </c>
      <c r="K487" s="5">
        <v>8.9368180000000001E-5</v>
      </c>
      <c r="L487" s="4">
        <v>0</v>
      </c>
      <c r="M487" s="4">
        <v>1.3823194999999999</v>
      </c>
      <c r="N487" s="4">
        <v>0.18032061999999999</v>
      </c>
      <c r="O487" s="4">
        <v>0</v>
      </c>
      <c r="P487" s="4">
        <v>87</v>
      </c>
      <c r="Q487" s="4">
        <v>7</v>
      </c>
      <c r="R487" s="4">
        <v>0</v>
      </c>
      <c r="S487" s="6">
        <v>0.377</v>
      </c>
      <c r="T487" s="6">
        <v>7.1999999999999995E-2</v>
      </c>
    </row>
    <row r="488" spans="1:20" ht="18" x14ac:dyDescent="0.2">
      <c r="A488" s="4" t="s">
        <v>1667</v>
      </c>
      <c r="B488" s="4" t="s">
        <v>2026</v>
      </c>
      <c r="C488" s="4" t="s">
        <v>2028</v>
      </c>
      <c r="D488" s="4">
        <v>2</v>
      </c>
      <c r="E488" s="4" t="s">
        <v>116</v>
      </c>
      <c r="F488" s="4">
        <v>0</v>
      </c>
      <c r="G488" s="4">
        <v>3</v>
      </c>
      <c r="H488" s="4">
        <v>3</v>
      </c>
      <c r="I488" s="4">
        <v>0</v>
      </c>
      <c r="J488" s="5">
        <v>3.7991503000000003E-4</v>
      </c>
      <c r="K488" s="5">
        <v>2.9669513E-4</v>
      </c>
      <c r="L488" s="4">
        <v>0</v>
      </c>
      <c r="M488" s="4">
        <v>0.29717934000000001</v>
      </c>
      <c r="N488" s="4">
        <v>0.29717934000000001</v>
      </c>
      <c r="O488" s="4">
        <v>0</v>
      </c>
      <c r="P488" s="4">
        <v>3</v>
      </c>
      <c r="Q488" s="4">
        <v>4</v>
      </c>
      <c r="R488" s="4">
        <v>0</v>
      </c>
      <c r="S488" s="6">
        <v>0.113</v>
      </c>
      <c r="T488" s="6">
        <v>0.113</v>
      </c>
    </row>
    <row r="489" spans="1:20" ht="18" x14ac:dyDescent="0.2">
      <c r="A489" s="4" t="s">
        <v>1668</v>
      </c>
      <c r="B489" s="4" t="s">
        <v>2339</v>
      </c>
      <c r="C489" s="4" t="s">
        <v>241</v>
      </c>
      <c r="D489" s="4">
        <v>1</v>
      </c>
      <c r="E489" s="4" t="s">
        <v>97</v>
      </c>
      <c r="F489" s="4">
        <v>0</v>
      </c>
      <c r="G489" s="4">
        <v>4</v>
      </c>
      <c r="H489" s="4">
        <v>0</v>
      </c>
      <c r="I489" s="4">
        <v>0</v>
      </c>
      <c r="J489" s="5">
        <v>1.0938349E-4</v>
      </c>
      <c r="K489" s="4">
        <v>0</v>
      </c>
      <c r="L489" s="4">
        <v>0</v>
      </c>
      <c r="M489" s="4">
        <v>8.6425660000000001E-2</v>
      </c>
      <c r="N489" s="4">
        <v>0</v>
      </c>
      <c r="O489" s="4">
        <v>0</v>
      </c>
      <c r="P489" s="4">
        <v>5</v>
      </c>
      <c r="Q489" s="4">
        <v>0</v>
      </c>
      <c r="R489" s="4">
        <v>0</v>
      </c>
      <c r="S489" s="6">
        <v>3.5999999999999997E-2</v>
      </c>
      <c r="T489" s="4">
        <v>0</v>
      </c>
    </row>
    <row r="490" spans="1:20" ht="18" x14ac:dyDescent="0.2">
      <c r="A490" s="4" t="s">
        <v>1669</v>
      </c>
      <c r="B490" s="4" t="s">
        <v>2140</v>
      </c>
      <c r="C490" s="4" t="s">
        <v>248</v>
      </c>
      <c r="D490" s="4">
        <v>1</v>
      </c>
      <c r="E490" s="4" t="s">
        <v>97</v>
      </c>
      <c r="F490" s="4">
        <v>0</v>
      </c>
      <c r="G490" s="4">
        <v>16</v>
      </c>
      <c r="H490" s="4">
        <v>0</v>
      </c>
      <c r="I490" s="4">
        <v>0</v>
      </c>
      <c r="J490" s="4">
        <v>1.7798523000000001E-3</v>
      </c>
      <c r="K490" s="4">
        <v>0</v>
      </c>
      <c r="L490" s="4">
        <v>0</v>
      </c>
      <c r="M490" s="4">
        <v>1.3933158000000001</v>
      </c>
      <c r="N490" s="4">
        <v>0</v>
      </c>
      <c r="O490" s="4">
        <v>0</v>
      </c>
      <c r="P490" s="4">
        <v>29</v>
      </c>
      <c r="Q490" s="4">
        <v>0</v>
      </c>
      <c r="R490" s="4">
        <v>0</v>
      </c>
      <c r="S490" s="6">
        <v>0.379</v>
      </c>
      <c r="T490" s="4">
        <v>0</v>
      </c>
    </row>
    <row r="491" spans="1:20" ht="18" x14ac:dyDescent="0.2">
      <c r="A491" s="4" t="s">
        <v>1670</v>
      </c>
      <c r="B491" s="4" t="s">
        <v>2340</v>
      </c>
      <c r="C491" s="4" t="s">
        <v>48</v>
      </c>
      <c r="D491" s="4">
        <v>1</v>
      </c>
      <c r="E491" s="4" t="s">
        <v>97</v>
      </c>
      <c r="F491" s="4">
        <v>0</v>
      </c>
      <c r="G491" s="4">
        <v>3</v>
      </c>
      <c r="H491" s="4">
        <v>0</v>
      </c>
      <c r="I491" s="4">
        <v>0</v>
      </c>
      <c r="J491" s="5">
        <v>5.1378980000000001E-4</v>
      </c>
      <c r="K491" s="4">
        <v>0</v>
      </c>
      <c r="L491" s="4">
        <v>0</v>
      </c>
      <c r="M491" s="4">
        <v>0.19124198000000001</v>
      </c>
      <c r="N491" s="4">
        <v>0</v>
      </c>
      <c r="O491" s="4">
        <v>0</v>
      </c>
      <c r="P491" s="4">
        <v>6</v>
      </c>
      <c r="Q491" s="4">
        <v>0</v>
      </c>
      <c r="R491" s="4">
        <v>0</v>
      </c>
      <c r="S491" s="6">
        <v>7.5999999999999998E-2</v>
      </c>
      <c r="T491" s="4">
        <v>0</v>
      </c>
    </row>
    <row r="492" spans="1:20" ht="18" x14ac:dyDescent="0.2">
      <c r="A492" s="4" t="s">
        <v>1671</v>
      </c>
      <c r="B492" s="4" t="s">
        <v>2341</v>
      </c>
      <c r="C492" s="4" t="s">
        <v>48</v>
      </c>
      <c r="D492" s="4">
        <v>1</v>
      </c>
      <c r="E492" s="4" t="s">
        <v>97</v>
      </c>
      <c r="F492" s="4">
        <v>0</v>
      </c>
      <c r="G492" s="4">
        <v>3</v>
      </c>
      <c r="H492" s="4">
        <v>0</v>
      </c>
      <c r="I492" s="4">
        <v>0</v>
      </c>
      <c r="J492" s="5">
        <v>3.7594377999999998E-4</v>
      </c>
      <c r="K492" s="4">
        <v>0</v>
      </c>
      <c r="L492" s="4">
        <v>0</v>
      </c>
      <c r="M492" s="4">
        <v>8.3926916000000004E-2</v>
      </c>
      <c r="N492" s="4">
        <v>0</v>
      </c>
      <c r="O492" s="4">
        <v>0</v>
      </c>
      <c r="P492" s="4">
        <v>6</v>
      </c>
      <c r="Q492" s="4">
        <v>0</v>
      </c>
      <c r="R492" s="4">
        <v>0</v>
      </c>
      <c r="S492" s="6">
        <v>3.5000000000000003E-2</v>
      </c>
      <c r="T492" s="4">
        <v>0</v>
      </c>
    </row>
    <row r="493" spans="1:20" ht="18" x14ac:dyDescent="0.2">
      <c r="A493" s="4" t="s">
        <v>1672</v>
      </c>
      <c r="B493" s="4" t="s">
        <v>2342</v>
      </c>
      <c r="C493" s="4" t="s">
        <v>48</v>
      </c>
      <c r="D493" s="4">
        <v>1</v>
      </c>
      <c r="E493" s="4" t="s">
        <v>97</v>
      </c>
      <c r="F493" s="4">
        <v>0</v>
      </c>
      <c r="G493" s="4">
        <v>2</v>
      </c>
      <c r="H493" s="4">
        <v>0</v>
      </c>
      <c r="I493" s="4">
        <v>0</v>
      </c>
      <c r="J493" s="5">
        <v>2.4300872000000001E-4</v>
      </c>
      <c r="K493" s="4">
        <v>0</v>
      </c>
      <c r="L493" s="4">
        <v>0</v>
      </c>
      <c r="M493" s="4">
        <v>0.22461617</v>
      </c>
      <c r="N493" s="4">
        <v>0</v>
      </c>
      <c r="O493" s="4">
        <v>0</v>
      </c>
      <c r="P493" s="4">
        <v>2</v>
      </c>
      <c r="Q493" s="4">
        <v>0</v>
      </c>
      <c r="R493" s="4">
        <v>0</v>
      </c>
      <c r="S493" s="6">
        <v>8.7999999999999995E-2</v>
      </c>
      <c r="T493" s="4">
        <v>0</v>
      </c>
    </row>
    <row r="494" spans="1:20" ht="18" x14ac:dyDescent="0.2">
      <c r="A494" s="4" t="s">
        <v>1673</v>
      </c>
      <c r="B494" s="4" t="s">
        <v>2343</v>
      </c>
      <c r="C494" s="4" t="s">
        <v>48</v>
      </c>
      <c r="D494" s="4">
        <v>1</v>
      </c>
      <c r="E494" s="4" t="s">
        <v>97</v>
      </c>
      <c r="F494" s="4">
        <v>0</v>
      </c>
      <c r="G494" s="4">
        <v>3</v>
      </c>
      <c r="H494" s="4">
        <v>0</v>
      </c>
      <c r="I494" s="4">
        <v>0</v>
      </c>
      <c r="J494" s="5">
        <v>2.0590815E-4</v>
      </c>
      <c r="K494" s="4">
        <v>0</v>
      </c>
      <c r="L494" s="4">
        <v>0</v>
      </c>
      <c r="M494" s="4">
        <v>0.11173176999999999</v>
      </c>
      <c r="N494" s="4">
        <v>0</v>
      </c>
      <c r="O494" s="4">
        <v>0</v>
      </c>
      <c r="P494" s="4">
        <v>3</v>
      </c>
      <c r="Q494" s="4">
        <v>0</v>
      </c>
      <c r="R494" s="4">
        <v>0</v>
      </c>
      <c r="S494" s="6">
        <v>4.5999999999999999E-2</v>
      </c>
      <c r="T494" s="4">
        <v>0</v>
      </c>
    </row>
    <row r="495" spans="1:20" ht="18" x14ac:dyDescent="0.2">
      <c r="A495" s="4" t="s">
        <v>1674</v>
      </c>
      <c r="B495" s="4" t="s">
        <v>2344</v>
      </c>
      <c r="C495" s="4" t="s">
        <v>48</v>
      </c>
      <c r="D495" s="4">
        <v>1</v>
      </c>
      <c r="E495" s="4" t="s">
        <v>97</v>
      </c>
      <c r="F495" s="4">
        <v>0</v>
      </c>
      <c r="G495" s="4">
        <v>2</v>
      </c>
      <c r="H495" s="4">
        <v>0</v>
      </c>
      <c r="I495" s="4">
        <v>0</v>
      </c>
      <c r="J495" s="5">
        <v>2.4137778E-4</v>
      </c>
      <c r="K495" s="4">
        <v>0</v>
      </c>
      <c r="L495" s="4">
        <v>0</v>
      </c>
      <c r="M495" s="4">
        <v>0.22179961000000001</v>
      </c>
      <c r="N495" s="4">
        <v>0</v>
      </c>
      <c r="O495" s="4">
        <v>0</v>
      </c>
      <c r="P495" s="4">
        <v>2</v>
      </c>
      <c r="Q495" s="4">
        <v>0</v>
      </c>
      <c r="R495" s="4">
        <v>0</v>
      </c>
      <c r="S495" s="6">
        <v>8.6999999999999994E-2</v>
      </c>
      <c r="T495" s="4">
        <v>0</v>
      </c>
    </row>
    <row r="496" spans="1:20" ht="18" x14ac:dyDescent="0.2">
      <c r="A496" s="4" t="s">
        <v>1675</v>
      </c>
      <c r="B496" s="4" t="s">
        <v>2345</v>
      </c>
      <c r="C496" s="4" t="s">
        <v>48</v>
      </c>
      <c r="D496" s="4">
        <v>1</v>
      </c>
      <c r="E496" s="4" t="s">
        <v>97</v>
      </c>
      <c r="F496" s="4">
        <v>0</v>
      </c>
      <c r="G496" s="4">
        <v>3</v>
      </c>
      <c r="H496" s="4">
        <v>0</v>
      </c>
      <c r="I496" s="4">
        <v>0</v>
      </c>
      <c r="J496" s="5">
        <v>3.7725829999999999E-4</v>
      </c>
      <c r="K496" s="4">
        <v>0</v>
      </c>
      <c r="L496" s="4">
        <v>0</v>
      </c>
      <c r="M496" s="4">
        <v>8.3926916000000004E-2</v>
      </c>
      <c r="N496" s="4">
        <v>0</v>
      </c>
      <c r="O496" s="4">
        <v>0</v>
      </c>
      <c r="P496" s="4">
        <v>6</v>
      </c>
      <c r="Q496" s="4">
        <v>0</v>
      </c>
      <c r="R496" s="4">
        <v>0</v>
      </c>
      <c r="S496" s="6">
        <v>3.5000000000000003E-2</v>
      </c>
      <c r="T496" s="4">
        <v>0</v>
      </c>
    </row>
    <row r="497" spans="1:20" ht="18" x14ac:dyDescent="0.2">
      <c r="A497" s="4" t="s">
        <v>1676</v>
      </c>
      <c r="B497" s="4" t="s">
        <v>2346</v>
      </c>
      <c r="C497" s="4" t="s">
        <v>1924</v>
      </c>
      <c r="D497" s="4">
        <v>1</v>
      </c>
      <c r="E497" s="4" t="s">
        <v>97</v>
      </c>
      <c r="F497" s="4">
        <v>0</v>
      </c>
      <c r="G497" s="4">
        <v>2</v>
      </c>
      <c r="H497" s="4">
        <v>0</v>
      </c>
      <c r="I497" s="4">
        <v>0</v>
      </c>
      <c r="J497" s="5">
        <v>4.0776972999999999E-5</v>
      </c>
      <c r="K497" s="4">
        <v>0</v>
      </c>
      <c r="L497" s="4">
        <v>0</v>
      </c>
      <c r="M497" s="4">
        <v>5.4386853999999998E-2</v>
      </c>
      <c r="N497" s="4">
        <v>0</v>
      </c>
      <c r="O497" s="4">
        <v>0</v>
      </c>
      <c r="P497" s="4">
        <v>2</v>
      </c>
      <c r="Q497" s="4">
        <v>0</v>
      </c>
      <c r="R497" s="4">
        <v>0</v>
      </c>
      <c r="S497" s="6">
        <v>2.3E-2</v>
      </c>
      <c r="T497" s="4">
        <v>0</v>
      </c>
    </row>
    <row r="498" spans="1:20" ht="18" x14ac:dyDescent="0.2">
      <c r="A498" s="4" t="s">
        <v>1677</v>
      </c>
      <c r="B498" s="4" t="s">
        <v>2347</v>
      </c>
      <c r="C498" s="4" t="s">
        <v>1924</v>
      </c>
      <c r="D498" s="4">
        <v>1</v>
      </c>
      <c r="E498" s="4" t="s">
        <v>97</v>
      </c>
      <c r="F498" s="4">
        <v>0</v>
      </c>
      <c r="G498" s="4">
        <v>3</v>
      </c>
      <c r="H498" s="4">
        <v>0</v>
      </c>
      <c r="I498" s="4">
        <v>0</v>
      </c>
      <c r="J498" s="5">
        <v>4.3474528000000002E-4</v>
      </c>
      <c r="K498" s="4">
        <v>0</v>
      </c>
      <c r="L498" s="4">
        <v>0</v>
      </c>
      <c r="M498" s="4">
        <v>0.10662377000000001</v>
      </c>
      <c r="N498" s="4">
        <v>0</v>
      </c>
      <c r="O498" s="4">
        <v>0</v>
      </c>
      <c r="P498" s="4">
        <v>11</v>
      </c>
      <c r="Q498" s="4">
        <v>0</v>
      </c>
      <c r="R498" s="4">
        <v>0</v>
      </c>
      <c r="S498" s="6">
        <v>4.3999999999999997E-2</v>
      </c>
      <c r="T498" s="4">
        <v>0</v>
      </c>
    </row>
    <row r="499" spans="1:20" ht="18" x14ac:dyDescent="0.2">
      <c r="A499" s="4" t="s">
        <v>1678</v>
      </c>
      <c r="B499" s="4" t="s">
        <v>2348</v>
      </c>
      <c r="C499" s="4" t="s">
        <v>50</v>
      </c>
      <c r="D499" s="4">
        <v>1</v>
      </c>
      <c r="E499" s="4" t="s">
        <v>97</v>
      </c>
      <c r="F499" s="4">
        <v>0</v>
      </c>
      <c r="G499" s="4">
        <v>2</v>
      </c>
      <c r="H499" s="4">
        <v>0</v>
      </c>
      <c r="I499" s="4">
        <v>0</v>
      </c>
      <c r="J499" s="5">
        <v>3.8548004999999998E-5</v>
      </c>
      <c r="K499" s="4">
        <v>0</v>
      </c>
      <c r="L499" s="4">
        <v>0</v>
      </c>
      <c r="M499" s="4">
        <v>3.7528395999999999E-2</v>
      </c>
      <c r="N499" s="4">
        <v>0</v>
      </c>
      <c r="O499" s="4">
        <v>0</v>
      </c>
      <c r="P499" s="4">
        <v>2</v>
      </c>
      <c r="Q499" s="4">
        <v>0</v>
      </c>
      <c r="R499" s="4">
        <v>0</v>
      </c>
      <c r="S499" s="6">
        <v>1.6E-2</v>
      </c>
      <c r="T499" s="4">
        <v>0</v>
      </c>
    </row>
    <row r="500" spans="1:20" ht="18" x14ac:dyDescent="0.2">
      <c r="A500" s="4" t="s">
        <v>1679</v>
      </c>
      <c r="B500" s="4" t="s">
        <v>2349</v>
      </c>
      <c r="C500" s="4" t="s">
        <v>50</v>
      </c>
      <c r="D500" s="4">
        <v>1</v>
      </c>
      <c r="E500" s="4" t="s">
        <v>97</v>
      </c>
      <c r="F500" s="4">
        <v>0</v>
      </c>
      <c r="G500" s="4">
        <v>4</v>
      </c>
      <c r="H500" s="4">
        <v>0</v>
      </c>
      <c r="I500" s="4">
        <v>0</v>
      </c>
      <c r="J500" s="5">
        <v>1.0261138E-4</v>
      </c>
      <c r="K500" s="4">
        <v>0</v>
      </c>
      <c r="L500" s="4">
        <v>0</v>
      </c>
      <c r="M500" s="4">
        <v>8.8930129999999996E-2</v>
      </c>
      <c r="N500" s="4">
        <v>0</v>
      </c>
      <c r="O500" s="4">
        <v>0</v>
      </c>
      <c r="P500" s="4">
        <v>4</v>
      </c>
      <c r="Q500" s="4">
        <v>0</v>
      </c>
      <c r="R500" s="4">
        <v>0</v>
      </c>
      <c r="S500" s="6">
        <v>3.6999999999999998E-2</v>
      </c>
      <c r="T500" s="4">
        <v>0</v>
      </c>
    </row>
    <row r="501" spans="1:20" ht="18" x14ac:dyDescent="0.2">
      <c r="A501" s="4" t="s">
        <v>1680</v>
      </c>
      <c r="B501" s="4" t="s">
        <v>2350</v>
      </c>
      <c r="C501" s="4" t="s">
        <v>1929</v>
      </c>
      <c r="D501" s="4">
        <v>1</v>
      </c>
      <c r="E501" s="4" t="s">
        <v>97</v>
      </c>
      <c r="F501" s="4">
        <v>0</v>
      </c>
      <c r="G501" s="4">
        <v>2</v>
      </c>
      <c r="H501" s="4">
        <v>0</v>
      </c>
      <c r="I501" s="4">
        <v>0</v>
      </c>
      <c r="J501" s="5">
        <v>8.6593800000000004E-5</v>
      </c>
      <c r="K501" s="4">
        <v>0</v>
      </c>
      <c r="L501" s="4">
        <v>0</v>
      </c>
      <c r="M501" s="4">
        <v>6.4143060000000002E-2</v>
      </c>
      <c r="N501" s="4">
        <v>0</v>
      </c>
      <c r="O501" s="4">
        <v>0</v>
      </c>
      <c r="P501" s="4">
        <v>3</v>
      </c>
      <c r="Q501" s="4">
        <v>0</v>
      </c>
      <c r="R501" s="4">
        <v>0</v>
      </c>
      <c r="S501" s="6">
        <v>2.7E-2</v>
      </c>
      <c r="T501" s="4">
        <v>0</v>
      </c>
    </row>
    <row r="502" spans="1:20" ht="18" x14ac:dyDescent="0.2">
      <c r="A502" s="4" t="s">
        <v>1681</v>
      </c>
      <c r="B502" s="4" t="s">
        <v>2351</v>
      </c>
      <c r="C502" s="4" t="s">
        <v>1929</v>
      </c>
      <c r="D502" s="4">
        <v>1</v>
      </c>
      <c r="E502" s="4" t="s">
        <v>97</v>
      </c>
      <c r="F502" s="4">
        <v>0</v>
      </c>
      <c r="G502" s="4">
        <v>7</v>
      </c>
      <c r="H502" s="4">
        <v>0</v>
      </c>
      <c r="I502" s="4">
        <v>0</v>
      </c>
      <c r="J502" s="5">
        <v>6.7887500000000004E-5</v>
      </c>
      <c r="K502" s="4">
        <v>0</v>
      </c>
      <c r="L502" s="4">
        <v>0</v>
      </c>
      <c r="M502" s="4">
        <v>4.9542427E-2</v>
      </c>
      <c r="N502" s="4">
        <v>0</v>
      </c>
      <c r="O502" s="4">
        <v>0</v>
      </c>
      <c r="P502" s="4">
        <v>9</v>
      </c>
      <c r="Q502" s="4">
        <v>0</v>
      </c>
      <c r="R502" s="4">
        <v>0</v>
      </c>
      <c r="S502" s="6">
        <v>2.1000000000000001E-2</v>
      </c>
      <c r="T502" s="4">
        <v>0</v>
      </c>
    </row>
    <row r="503" spans="1:20" ht="18" x14ac:dyDescent="0.2">
      <c r="A503" s="4" t="s">
        <v>1682</v>
      </c>
      <c r="B503" s="4" t="s">
        <v>2352</v>
      </c>
      <c r="C503" s="4" t="s">
        <v>1929</v>
      </c>
      <c r="D503" s="4">
        <v>1</v>
      </c>
      <c r="E503" s="4" t="s">
        <v>97</v>
      </c>
      <c r="F503" s="4">
        <v>0</v>
      </c>
      <c r="G503" s="4">
        <v>3</v>
      </c>
      <c r="H503" s="4">
        <v>0</v>
      </c>
      <c r="I503" s="4">
        <v>0</v>
      </c>
      <c r="J503" s="5">
        <v>1.8287433999999999E-4</v>
      </c>
      <c r="K503" s="4">
        <v>0</v>
      </c>
      <c r="L503" s="4">
        <v>0</v>
      </c>
      <c r="M503" s="4">
        <v>7.3989390000000002E-2</v>
      </c>
      <c r="N503" s="4">
        <v>0</v>
      </c>
      <c r="O503" s="4">
        <v>0</v>
      </c>
      <c r="P503" s="4">
        <v>3</v>
      </c>
      <c r="Q503" s="4">
        <v>0</v>
      </c>
      <c r="R503" s="4">
        <v>0</v>
      </c>
      <c r="S503" s="6">
        <v>3.1E-2</v>
      </c>
      <c r="T503" s="4">
        <v>0</v>
      </c>
    </row>
    <row r="504" spans="1:20" ht="18" x14ac:dyDescent="0.2">
      <c r="A504" s="4" t="s">
        <v>1683</v>
      </c>
      <c r="B504" s="4" t="s">
        <v>2353</v>
      </c>
      <c r="C504" s="4" t="s">
        <v>1967</v>
      </c>
      <c r="D504" s="4">
        <v>1</v>
      </c>
      <c r="E504" s="4" t="s">
        <v>97</v>
      </c>
      <c r="F504" s="4">
        <v>0</v>
      </c>
      <c r="G504" s="4">
        <v>6</v>
      </c>
      <c r="H504" s="4">
        <v>0</v>
      </c>
      <c r="I504" s="4">
        <v>0</v>
      </c>
      <c r="J504" s="4">
        <v>1.0578026E-3</v>
      </c>
      <c r="K504" s="4">
        <v>0</v>
      </c>
      <c r="L504" s="4">
        <v>0</v>
      </c>
      <c r="M504" s="4">
        <v>0.79887090000000005</v>
      </c>
      <c r="N504" s="4">
        <v>0</v>
      </c>
      <c r="O504" s="4">
        <v>0</v>
      </c>
      <c r="P504" s="4">
        <v>6</v>
      </c>
      <c r="Q504" s="4">
        <v>0</v>
      </c>
      <c r="R504" s="4">
        <v>0</v>
      </c>
      <c r="S504" s="6">
        <v>0.255</v>
      </c>
      <c r="T504" s="4">
        <v>0</v>
      </c>
    </row>
    <row r="505" spans="1:20" ht="18" x14ac:dyDescent="0.2">
      <c r="A505" s="4" t="s">
        <v>1684</v>
      </c>
      <c r="B505" s="4" t="s">
        <v>2354</v>
      </c>
      <c r="C505" s="4" t="s">
        <v>271</v>
      </c>
      <c r="D505" s="4">
        <v>1</v>
      </c>
      <c r="E505" s="4" t="s">
        <v>97</v>
      </c>
      <c r="F505" s="4">
        <v>0</v>
      </c>
      <c r="G505" s="4">
        <v>3</v>
      </c>
      <c r="H505" s="4">
        <v>0</v>
      </c>
      <c r="I505" s="4">
        <v>0</v>
      </c>
      <c r="J505" s="5">
        <v>5.7087762999999999E-4</v>
      </c>
      <c r="K505" s="4">
        <v>0</v>
      </c>
      <c r="L505" s="4">
        <v>0</v>
      </c>
      <c r="M505" s="4">
        <v>0.19949937000000001</v>
      </c>
      <c r="N505" s="4">
        <v>0</v>
      </c>
      <c r="O505" s="4">
        <v>0</v>
      </c>
      <c r="P505" s="4">
        <v>4</v>
      </c>
      <c r="Q505" s="4">
        <v>0</v>
      </c>
      <c r="R505" s="4">
        <v>0</v>
      </c>
      <c r="S505" s="6">
        <v>7.9000000000000001E-2</v>
      </c>
      <c r="T505" s="4">
        <v>0</v>
      </c>
    </row>
    <row r="506" spans="1:20" ht="18" x14ac:dyDescent="0.2">
      <c r="A506" s="4" t="s">
        <v>1685</v>
      </c>
      <c r="B506" s="4" t="s">
        <v>2355</v>
      </c>
      <c r="C506" s="4" t="s">
        <v>271</v>
      </c>
      <c r="D506" s="4">
        <v>1</v>
      </c>
      <c r="E506" s="4" t="s">
        <v>97</v>
      </c>
      <c r="F506" s="4">
        <v>0</v>
      </c>
      <c r="G506" s="4">
        <v>6</v>
      </c>
      <c r="H506" s="4">
        <v>0</v>
      </c>
      <c r="I506" s="4">
        <v>0</v>
      </c>
      <c r="J506" s="5">
        <v>9.9903579999999995E-4</v>
      </c>
      <c r="K506" s="4">
        <v>0</v>
      </c>
      <c r="L506" s="4">
        <v>0</v>
      </c>
      <c r="M506" s="4">
        <v>0.60694119999999996</v>
      </c>
      <c r="N506" s="4">
        <v>0</v>
      </c>
      <c r="O506" s="4">
        <v>0</v>
      </c>
      <c r="P506" s="4">
        <v>7</v>
      </c>
      <c r="Q506" s="4">
        <v>0</v>
      </c>
      <c r="R506" s="4">
        <v>0</v>
      </c>
      <c r="S506" s="6">
        <v>0.20599999999999999</v>
      </c>
      <c r="T506" s="4">
        <v>0</v>
      </c>
    </row>
    <row r="507" spans="1:20" ht="18" x14ac:dyDescent="0.2">
      <c r="A507" s="4" t="s">
        <v>1686</v>
      </c>
      <c r="B507" s="4" t="s">
        <v>2356</v>
      </c>
      <c r="C507" s="4" t="s">
        <v>271</v>
      </c>
      <c r="D507" s="4">
        <v>1</v>
      </c>
      <c r="E507" s="4" t="s">
        <v>97</v>
      </c>
      <c r="F507" s="4">
        <v>0</v>
      </c>
      <c r="G507" s="4">
        <v>3</v>
      </c>
      <c r="H507" s="4">
        <v>0</v>
      </c>
      <c r="I507" s="4">
        <v>0</v>
      </c>
      <c r="J507" s="5">
        <v>4.2478687999999998E-4</v>
      </c>
      <c r="K507" s="4">
        <v>0</v>
      </c>
      <c r="L507" s="4">
        <v>0</v>
      </c>
      <c r="M507" s="4">
        <v>0.33659554000000003</v>
      </c>
      <c r="N507" s="4">
        <v>0</v>
      </c>
      <c r="O507" s="4">
        <v>0</v>
      </c>
      <c r="P507" s="4">
        <v>3</v>
      </c>
      <c r="Q507" s="4">
        <v>0</v>
      </c>
      <c r="R507" s="4">
        <v>0</v>
      </c>
      <c r="S507" s="6">
        <v>0.126</v>
      </c>
      <c r="T507" s="4">
        <v>0</v>
      </c>
    </row>
    <row r="508" spans="1:20" ht="18" x14ac:dyDescent="0.2">
      <c r="A508" s="4" t="s">
        <v>1687</v>
      </c>
      <c r="B508" s="4" t="s">
        <v>2357</v>
      </c>
      <c r="C508" s="4" t="s">
        <v>2088</v>
      </c>
      <c r="D508" s="4">
        <v>1</v>
      </c>
      <c r="E508" s="4" t="s">
        <v>97</v>
      </c>
      <c r="F508" s="4">
        <v>0</v>
      </c>
      <c r="G508" s="4">
        <v>8</v>
      </c>
      <c r="H508" s="4">
        <v>0</v>
      </c>
      <c r="I508" s="4">
        <v>0</v>
      </c>
      <c r="J508" s="4">
        <v>2.1043519999999999E-3</v>
      </c>
      <c r="K508" s="4">
        <v>0</v>
      </c>
      <c r="L508" s="4">
        <v>0</v>
      </c>
      <c r="M508" s="4">
        <v>2.0130059999999999</v>
      </c>
      <c r="N508" s="4">
        <v>0</v>
      </c>
      <c r="O508" s="4">
        <v>0</v>
      </c>
      <c r="P508" s="4">
        <v>11</v>
      </c>
      <c r="Q508" s="4">
        <v>0</v>
      </c>
      <c r="R508" s="4">
        <v>0</v>
      </c>
      <c r="S508" s="6">
        <v>0.47899999999999998</v>
      </c>
      <c r="T508" s="4">
        <v>0</v>
      </c>
    </row>
    <row r="509" spans="1:20" ht="18" x14ac:dyDescent="0.2">
      <c r="A509" s="4" t="s">
        <v>1688</v>
      </c>
      <c r="B509" s="4" t="s">
        <v>2358</v>
      </c>
      <c r="C509" s="4" t="s">
        <v>2088</v>
      </c>
      <c r="D509" s="4">
        <v>1</v>
      </c>
      <c r="E509" s="4" t="s">
        <v>97</v>
      </c>
      <c r="F509" s="4">
        <v>0</v>
      </c>
      <c r="G509" s="4">
        <v>2</v>
      </c>
      <c r="H509" s="4">
        <v>0</v>
      </c>
      <c r="I509" s="4">
        <v>0</v>
      </c>
      <c r="J509" s="5">
        <v>8.7720213999999998E-4</v>
      </c>
      <c r="K509" s="4">
        <v>0</v>
      </c>
      <c r="L509" s="4">
        <v>0</v>
      </c>
      <c r="M509" s="4">
        <v>0.61064565000000004</v>
      </c>
      <c r="N509" s="4">
        <v>0</v>
      </c>
      <c r="O509" s="4">
        <v>0</v>
      </c>
      <c r="P509" s="4">
        <v>4</v>
      </c>
      <c r="Q509" s="4">
        <v>0</v>
      </c>
      <c r="R509" s="4">
        <v>0</v>
      </c>
      <c r="S509" s="6">
        <v>0.20699999999999999</v>
      </c>
      <c r="T509" s="4">
        <v>0</v>
      </c>
    </row>
    <row r="510" spans="1:20" ht="18" x14ac:dyDescent="0.2">
      <c r="A510" s="4" t="s">
        <v>1689</v>
      </c>
      <c r="B510" s="4" t="s">
        <v>2359</v>
      </c>
      <c r="C510" s="7" t="s">
        <v>2088</v>
      </c>
      <c r="D510" s="4">
        <v>1</v>
      </c>
      <c r="E510" s="4" t="s">
        <v>97</v>
      </c>
      <c r="F510" s="4">
        <v>0</v>
      </c>
      <c r="G510" s="4">
        <v>2</v>
      </c>
      <c r="H510" s="4">
        <v>0</v>
      </c>
      <c r="I510" s="4">
        <v>0</v>
      </c>
      <c r="J510" s="5">
        <v>4.8932369999999997E-5</v>
      </c>
      <c r="K510" s="4">
        <v>0</v>
      </c>
      <c r="L510" s="4">
        <v>0</v>
      </c>
      <c r="M510" s="4">
        <v>4.2317390000000003E-2</v>
      </c>
      <c r="N510" s="4">
        <v>0</v>
      </c>
      <c r="O510" s="4">
        <v>0</v>
      </c>
      <c r="P510" s="4">
        <v>2</v>
      </c>
      <c r="Q510" s="4">
        <v>0</v>
      </c>
      <c r="R510" s="4">
        <v>0</v>
      </c>
      <c r="S510" s="6">
        <v>1.7999999999999999E-2</v>
      </c>
      <c r="T510" s="4">
        <v>0</v>
      </c>
    </row>
    <row r="511" spans="1:20" ht="18" x14ac:dyDescent="0.2">
      <c r="A511" s="4" t="s">
        <v>1690</v>
      </c>
      <c r="B511" s="4" t="s">
        <v>2360</v>
      </c>
      <c r="C511" s="4" t="s">
        <v>2088</v>
      </c>
      <c r="D511" s="4">
        <v>1</v>
      </c>
      <c r="E511" s="4" t="s">
        <v>97</v>
      </c>
      <c r="F511" s="4">
        <v>0</v>
      </c>
      <c r="G511" s="4">
        <v>3</v>
      </c>
      <c r="H511" s="4">
        <v>0</v>
      </c>
      <c r="I511" s="4">
        <v>0</v>
      </c>
      <c r="J511" s="5">
        <v>1.3762228E-4</v>
      </c>
      <c r="K511" s="4">
        <v>0</v>
      </c>
      <c r="L511" s="4">
        <v>0</v>
      </c>
      <c r="M511" s="4">
        <v>0.1324004</v>
      </c>
      <c r="N511" s="4">
        <v>0</v>
      </c>
      <c r="O511" s="4">
        <v>0</v>
      </c>
      <c r="P511" s="4">
        <v>3</v>
      </c>
      <c r="Q511" s="4">
        <v>0</v>
      </c>
      <c r="R511" s="4">
        <v>0</v>
      </c>
      <c r="S511" s="6">
        <v>5.3999999999999999E-2</v>
      </c>
      <c r="T511" s="4">
        <v>0</v>
      </c>
    </row>
    <row r="512" spans="1:20" ht="18" x14ac:dyDescent="0.2">
      <c r="A512" s="4" t="s">
        <v>1691</v>
      </c>
      <c r="B512" s="4" t="s">
        <v>2361</v>
      </c>
      <c r="C512" s="4" t="s">
        <v>2088</v>
      </c>
      <c r="D512" s="4">
        <v>1</v>
      </c>
      <c r="E512" s="4" t="s">
        <v>97</v>
      </c>
      <c r="F512" s="4">
        <v>0</v>
      </c>
      <c r="G512" s="4">
        <v>4</v>
      </c>
      <c r="H512" s="4">
        <v>0</v>
      </c>
      <c r="I512" s="4">
        <v>0</v>
      </c>
      <c r="J512" s="5">
        <v>1.4159561999999999E-4</v>
      </c>
      <c r="K512" s="4">
        <v>0</v>
      </c>
      <c r="L512" s="4">
        <v>0</v>
      </c>
      <c r="M512" s="4">
        <v>0.19949937000000001</v>
      </c>
      <c r="N512" s="4">
        <v>0</v>
      </c>
      <c r="O512" s="4">
        <v>0</v>
      </c>
      <c r="P512" s="4">
        <v>4</v>
      </c>
      <c r="Q512" s="4">
        <v>0</v>
      </c>
      <c r="R512" s="4">
        <v>0</v>
      </c>
      <c r="S512" s="6">
        <v>7.9000000000000001E-2</v>
      </c>
      <c r="T512" s="4">
        <v>0</v>
      </c>
    </row>
    <row r="513" spans="1:20" ht="18" x14ac:dyDescent="0.2">
      <c r="A513" s="4" t="s">
        <v>1692</v>
      </c>
      <c r="B513" s="4" t="s">
        <v>2362</v>
      </c>
      <c r="C513" s="4" t="s">
        <v>2088</v>
      </c>
      <c r="D513" s="4">
        <v>1</v>
      </c>
      <c r="E513" s="4" t="s">
        <v>97</v>
      </c>
      <c r="F513" s="4">
        <v>0</v>
      </c>
      <c r="G513" s="4">
        <v>2</v>
      </c>
      <c r="H513" s="4">
        <v>0</v>
      </c>
      <c r="I513" s="4">
        <v>0</v>
      </c>
      <c r="J513" s="5">
        <v>4.6168538000000001E-5</v>
      </c>
      <c r="K513" s="4">
        <v>0</v>
      </c>
      <c r="L513" s="4">
        <v>0</v>
      </c>
      <c r="M513" s="4">
        <v>4.4720173000000002E-2</v>
      </c>
      <c r="N513" s="4">
        <v>0</v>
      </c>
      <c r="O513" s="4">
        <v>0</v>
      </c>
      <c r="P513" s="4">
        <v>2</v>
      </c>
      <c r="Q513" s="4">
        <v>0</v>
      </c>
      <c r="R513" s="4">
        <v>0</v>
      </c>
      <c r="S513" s="6">
        <v>1.9E-2</v>
      </c>
      <c r="T513" s="4">
        <v>0</v>
      </c>
    </row>
    <row r="514" spans="1:20" ht="18" x14ac:dyDescent="0.2">
      <c r="A514" s="4" t="s">
        <v>1693</v>
      </c>
      <c r="B514" s="4" t="s">
        <v>2363</v>
      </c>
      <c r="C514" s="7" t="s">
        <v>2088</v>
      </c>
      <c r="D514" s="4">
        <v>1</v>
      </c>
      <c r="E514" s="4" t="s">
        <v>97</v>
      </c>
      <c r="F514" s="4">
        <v>0</v>
      </c>
      <c r="G514" s="4">
        <v>3</v>
      </c>
      <c r="H514" s="4">
        <v>0</v>
      </c>
      <c r="I514" s="4">
        <v>0</v>
      </c>
      <c r="J514" s="5">
        <v>2.6316065000000003E-4</v>
      </c>
      <c r="K514" s="4">
        <v>0</v>
      </c>
      <c r="L514" s="4">
        <v>0</v>
      </c>
      <c r="M514" s="4">
        <v>0.21059811000000001</v>
      </c>
      <c r="N514" s="4">
        <v>0</v>
      </c>
      <c r="O514" s="4">
        <v>0</v>
      </c>
      <c r="P514" s="4">
        <v>3</v>
      </c>
      <c r="Q514" s="4">
        <v>0</v>
      </c>
      <c r="R514" s="4">
        <v>0</v>
      </c>
      <c r="S514" s="6">
        <v>8.3000000000000004E-2</v>
      </c>
      <c r="T514" s="4">
        <v>0</v>
      </c>
    </row>
    <row r="515" spans="1:20" ht="18" x14ac:dyDescent="0.2">
      <c r="A515" s="4" t="s">
        <v>1694</v>
      </c>
      <c r="B515" s="4" t="s">
        <v>2364</v>
      </c>
      <c r="C515" s="7" t="s">
        <v>2088</v>
      </c>
      <c r="D515" s="4">
        <v>1</v>
      </c>
      <c r="E515" s="4" t="s">
        <v>97</v>
      </c>
      <c r="F515" s="4">
        <v>0</v>
      </c>
      <c r="G515" s="4">
        <v>4</v>
      </c>
      <c r="H515" s="4">
        <v>0</v>
      </c>
      <c r="I515" s="4">
        <v>0</v>
      </c>
      <c r="J515" s="5">
        <v>5.4785836E-4</v>
      </c>
      <c r="K515" s="4">
        <v>0</v>
      </c>
      <c r="L515" s="4">
        <v>0</v>
      </c>
      <c r="M515" s="4">
        <v>0.13762724000000001</v>
      </c>
      <c r="N515" s="4">
        <v>0</v>
      </c>
      <c r="O515" s="4">
        <v>0</v>
      </c>
      <c r="P515" s="4">
        <v>17</v>
      </c>
      <c r="Q515" s="4">
        <v>0</v>
      </c>
      <c r="R515" s="4">
        <v>0</v>
      </c>
      <c r="S515" s="6">
        <v>5.6000000000000001E-2</v>
      </c>
      <c r="T515" s="4">
        <v>0</v>
      </c>
    </row>
    <row r="516" spans="1:20" ht="18" x14ac:dyDescent="0.2">
      <c r="A516" s="4" t="s">
        <v>1695</v>
      </c>
      <c r="B516" s="4" t="s">
        <v>2365</v>
      </c>
      <c r="C516" s="7" t="s">
        <v>2088</v>
      </c>
      <c r="D516" s="4">
        <v>1</v>
      </c>
      <c r="E516" s="4" t="s">
        <v>97</v>
      </c>
      <c r="F516" s="4">
        <v>0</v>
      </c>
      <c r="G516" s="4">
        <v>2</v>
      </c>
      <c r="H516" s="4">
        <v>0</v>
      </c>
      <c r="I516" s="4">
        <v>0</v>
      </c>
      <c r="J516" s="5">
        <v>2.2506440000000001E-5</v>
      </c>
      <c r="K516" s="4">
        <v>0</v>
      </c>
      <c r="L516" s="4">
        <v>0</v>
      </c>
      <c r="M516" s="4">
        <v>2.0939470000000002E-2</v>
      </c>
      <c r="N516" s="4">
        <v>0</v>
      </c>
      <c r="O516" s="4">
        <v>0</v>
      </c>
      <c r="P516" s="4">
        <v>2</v>
      </c>
      <c r="Q516" s="4">
        <v>0</v>
      </c>
      <c r="R516" s="4">
        <v>0</v>
      </c>
      <c r="S516" s="6">
        <v>8.9999999999999993E-3</v>
      </c>
      <c r="T516" s="4">
        <v>0</v>
      </c>
    </row>
    <row r="517" spans="1:20" ht="18" x14ac:dyDescent="0.2">
      <c r="A517" s="4" t="s">
        <v>1696</v>
      </c>
      <c r="B517" s="4" t="s">
        <v>2366</v>
      </c>
      <c r="C517" s="4" t="s">
        <v>2088</v>
      </c>
      <c r="D517" s="4">
        <v>1</v>
      </c>
      <c r="E517" s="4" t="s">
        <v>97</v>
      </c>
      <c r="F517" s="4">
        <v>0</v>
      </c>
      <c r="G517" s="4">
        <v>2</v>
      </c>
      <c r="H517" s="4">
        <v>0</v>
      </c>
      <c r="I517" s="4">
        <v>0</v>
      </c>
      <c r="J517" s="5">
        <v>4.6347020000000003E-5</v>
      </c>
      <c r="K517" s="4">
        <v>0</v>
      </c>
      <c r="L517" s="4">
        <v>0</v>
      </c>
      <c r="M517" s="4">
        <v>3.0386090000000001E-2</v>
      </c>
      <c r="N517" s="4">
        <v>0</v>
      </c>
      <c r="O517" s="4">
        <v>0</v>
      </c>
      <c r="P517" s="4">
        <v>2</v>
      </c>
      <c r="Q517" s="4">
        <v>0</v>
      </c>
      <c r="R517" s="4">
        <v>0</v>
      </c>
      <c r="S517" s="6">
        <v>1.2999999999999999E-2</v>
      </c>
      <c r="T517" s="4">
        <v>0</v>
      </c>
    </row>
    <row r="518" spans="1:20" ht="18" x14ac:dyDescent="0.2">
      <c r="A518" s="4" t="s">
        <v>1697</v>
      </c>
      <c r="B518" s="4" t="s">
        <v>2367</v>
      </c>
      <c r="C518" s="4" t="s">
        <v>2088</v>
      </c>
      <c r="D518" s="4">
        <v>1</v>
      </c>
      <c r="E518" s="4" t="s">
        <v>97</v>
      </c>
      <c r="F518" s="4">
        <v>0</v>
      </c>
      <c r="G518" s="4">
        <v>6</v>
      </c>
      <c r="H518" s="4">
        <v>0</v>
      </c>
      <c r="I518" s="4">
        <v>0</v>
      </c>
      <c r="J518" s="5">
        <v>3.2255865999999999E-4</v>
      </c>
      <c r="K518" s="4">
        <v>0</v>
      </c>
      <c r="L518" s="4">
        <v>0</v>
      </c>
      <c r="M518" s="4">
        <v>0.32739449999999998</v>
      </c>
      <c r="N518" s="4">
        <v>0</v>
      </c>
      <c r="O518" s="4">
        <v>0</v>
      </c>
      <c r="P518" s="4">
        <v>8</v>
      </c>
      <c r="Q518" s="4">
        <v>0</v>
      </c>
      <c r="R518" s="4">
        <v>0</v>
      </c>
      <c r="S518" s="6">
        <v>0.123</v>
      </c>
      <c r="T518" s="4">
        <v>0</v>
      </c>
    </row>
    <row r="519" spans="1:20" ht="18" x14ac:dyDescent="0.2">
      <c r="A519" s="4" t="s">
        <v>1698</v>
      </c>
      <c r="B519" s="4" t="s">
        <v>2368</v>
      </c>
      <c r="C519" s="4" t="s">
        <v>2088</v>
      </c>
      <c r="D519" s="4">
        <v>1</v>
      </c>
      <c r="E519" s="4" t="s">
        <v>97</v>
      </c>
      <c r="F519" s="4">
        <v>0</v>
      </c>
      <c r="G519" s="4">
        <v>2</v>
      </c>
      <c r="H519" s="4">
        <v>0</v>
      </c>
      <c r="I519" s="4">
        <v>0</v>
      </c>
      <c r="J519" s="5">
        <v>5.2735027999999999E-5</v>
      </c>
      <c r="K519" s="4">
        <v>0</v>
      </c>
      <c r="L519" s="4">
        <v>0</v>
      </c>
      <c r="M519" s="4">
        <v>5.4386853999999998E-2</v>
      </c>
      <c r="N519" s="4">
        <v>0</v>
      </c>
      <c r="O519" s="4">
        <v>0</v>
      </c>
      <c r="P519" s="4">
        <v>2</v>
      </c>
      <c r="Q519" s="4">
        <v>0</v>
      </c>
      <c r="R519" s="4">
        <v>0</v>
      </c>
      <c r="S519" s="6">
        <v>2.3E-2</v>
      </c>
      <c r="T519" s="4">
        <v>0</v>
      </c>
    </row>
    <row r="520" spans="1:20" ht="18" x14ac:dyDescent="0.2">
      <c r="A520" s="4" t="s">
        <v>1699</v>
      </c>
      <c r="B520" s="4" t="s">
        <v>2369</v>
      </c>
      <c r="C520" s="4" t="s">
        <v>2088</v>
      </c>
      <c r="D520" s="4">
        <v>1</v>
      </c>
      <c r="E520" s="4" t="s">
        <v>97</v>
      </c>
      <c r="F520" s="4">
        <v>0</v>
      </c>
      <c r="G520" s="4">
        <v>5</v>
      </c>
      <c r="H520" s="4">
        <v>0</v>
      </c>
      <c r="I520" s="4">
        <v>0</v>
      </c>
      <c r="J520" s="5">
        <v>9.5652370000000005E-4</v>
      </c>
      <c r="K520" s="4">
        <v>0</v>
      </c>
      <c r="L520" s="4">
        <v>0</v>
      </c>
      <c r="M520" s="4">
        <v>0.79887090000000005</v>
      </c>
      <c r="N520" s="4">
        <v>0</v>
      </c>
      <c r="O520" s="4">
        <v>0</v>
      </c>
      <c r="P520" s="4">
        <v>5</v>
      </c>
      <c r="Q520" s="4">
        <v>0</v>
      </c>
      <c r="R520" s="4">
        <v>0</v>
      </c>
      <c r="S520" s="6">
        <v>0.255</v>
      </c>
      <c r="T520" s="4">
        <v>0</v>
      </c>
    </row>
    <row r="521" spans="1:20" ht="18" x14ac:dyDescent="0.2">
      <c r="A521" s="4" t="s">
        <v>1700</v>
      </c>
      <c r="B521" s="4" t="s">
        <v>2370</v>
      </c>
      <c r="C521" s="4" t="s">
        <v>2088</v>
      </c>
      <c r="D521" s="4">
        <v>1</v>
      </c>
      <c r="E521" s="4" t="s">
        <v>97</v>
      </c>
      <c r="F521" s="4">
        <v>0</v>
      </c>
      <c r="G521" s="4">
        <v>5</v>
      </c>
      <c r="H521" s="4">
        <v>0</v>
      </c>
      <c r="I521" s="4">
        <v>0</v>
      </c>
      <c r="J521" s="5">
        <v>5.6195766000000005E-4</v>
      </c>
      <c r="K521" s="4">
        <v>0</v>
      </c>
      <c r="L521" s="4">
        <v>0</v>
      </c>
      <c r="M521" s="4">
        <v>0.60694119999999996</v>
      </c>
      <c r="N521" s="4">
        <v>0</v>
      </c>
      <c r="O521" s="4">
        <v>0</v>
      </c>
      <c r="P521" s="4">
        <v>5</v>
      </c>
      <c r="Q521" s="4">
        <v>0</v>
      </c>
      <c r="R521" s="4">
        <v>0</v>
      </c>
      <c r="S521" s="6">
        <v>0.20599999999999999</v>
      </c>
      <c r="T521" s="4">
        <v>0</v>
      </c>
    </row>
    <row r="522" spans="1:20" ht="18" x14ac:dyDescent="0.2">
      <c r="A522" s="4" t="s">
        <v>1701</v>
      </c>
      <c r="B522" s="4" t="s">
        <v>2371</v>
      </c>
      <c r="C522" s="4" t="s">
        <v>2088</v>
      </c>
      <c r="D522" s="4">
        <v>1</v>
      </c>
      <c r="E522" s="4" t="s">
        <v>97</v>
      </c>
      <c r="F522" s="4">
        <v>0</v>
      </c>
      <c r="G522" s="4">
        <v>3</v>
      </c>
      <c r="H522" s="4">
        <v>0</v>
      </c>
      <c r="I522" s="4">
        <v>0</v>
      </c>
      <c r="J522" s="5">
        <v>5.7698319999999995E-4</v>
      </c>
      <c r="K522" s="4">
        <v>0</v>
      </c>
      <c r="L522" s="4">
        <v>0</v>
      </c>
      <c r="M522" s="4">
        <v>0.23310483000000001</v>
      </c>
      <c r="N522" s="4">
        <v>0</v>
      </c>
      <c r="O522" s="4">
        <v>0</v>
      </c>
      <c r="P522" s="4">
        <v>6</v>
      </c>
      <c r="Q522" s="4">
        <v>0</v>
      </c>
      <c r="R522" s="4">
        <v>0</v>
      </c>
      <c r="S522" s="6">
        <v>9.0999999999999998E-2</v>
      </c>
      <c r="T522" s="4">
        <v>0</v>
      </c>
    </row>
    <row r="523" spans="1:20" ht="18" x14ac:dyDescent="0.2">
      <c r="A523" s="4" t="s">
        <v>1702</v>
      </c>
      <c r="B523" s="4" t="s">
        <v>2372</v>
      </c>
      <c r="C523" s="4" t="s">
        <v>2088</v>
      </c>
      <c r="D523" s="4">
        <v>1</v>
      </c>
      <c r="E523" s="4" t="s">
        <v>97</v>
      </c>
      <c r="F523" s="4">
        <v>0</v>
      </c>
      <c r="G523" s="4">
        <v>2</v>
      </c>
      <c r="H523" s="4">
        <v>0</v>
      </c>
      <c r="I523" s="4">
        <v>0</v>
      </c>
      <c r="J523" s="5">
        <v>2.532767E-4</v>
      </c>
      <c r="K523" s="4">
        <v>0</v>
      </c>
      <c r="L523" s="4">
        <v>0</v>
      </c>
      <c r="M523" s="4">
        <v>0.23594749000000001</v>
      </c>
      <c r="N523" s="4">
        <v>0</v>
      </c>
      <c r="O523" s="4">
        <v>0</v>
      </c>
      <c r="P523" s="4">
        <v>2</v>
      </c>
      <c r="Q523" s="4">
        <v>0</v>
      </c>
      <c r="R523" s="4">
        <v>0</v>
      </c>
      <c r="S523" s="6">
        <v>9.1999999999999998E-2</v>
      </c>
      <c r="T523" s="4">
        <v>0</v>
      </c>
    </row>
    <row r="524" spans="1:20" ht="18" x14ac:dyDescent="0.2">
      <c r="A524" s="4" t="s">
        <v>1703</v>
      </c>
      <c r="B524" s="4" t="s">
        <v>2373</v>
      </c>
      <c r="C524" s="4" t="s">
        <v>2088</v>
      </c>
      <c r="D524" s="4">
        <v>1</v>
      </c>
      <c r="E524" s="4" t="s">
        <v>97</v>
      </c>
      <c r="F524" s="4">
        <v>0</v>
      </c>
      <c r="G524" s="4">
        <v>2</v>
      </c>
      <c r="H524" s="4">
        <v>0</v>
      </c>
      <c r="I524" s="4">
        <v>0</v>
      </c>
      <c r="J524" s="5">
        <v>1.2487946999999999E-4</v>
      </c>
      <c r="K524" s="4">
        <v>0</v>
      </c>
      <c r="L524" s="4">
        <v>0</v>
      </c>
      <c r="M524" s="4">
        <v>0.13762724000000001</v>
      </c>
      <c r="N524" s="4">
        <v>0</v>
      </c>
      <c r="O524" s="4">
        <v>0</v>
      </c>
      <c r="P524" s="4">
        <v>2</v>
      </c>
      <c r="Q524" s="4">
        <v>0</v>
      </c>
      <c r="R524" s="4">
        <v>0</v>
      </c>
      <c r="S524" s="6">
        <v>5.6000000000000001E-2</v>
      </c>
      <c r="T524" s="4">
        <v>0</v>
      </c>
    </row>
    <row r="525" spans="1:20" ht="18" x14ac:dyDescent="0.2">
      <c r="A525" s="4" t="s">
        <v>1704</v>
      </c>
      <c r="B525" s="4" t="s">
        <v>2374</v>
      </c>
      <c r="C525" s="4" t="s">
        <v>2088</v>
      </c>
      <c r="D525" s="4">
        <v>1</v>
      </c>
      <c r="E525" s="4" t="s">
        <v>97</v>
      </c>
      <c r="F525" s="4">
        <v>0</v>
      </c>
      <c r="G525" s="4">
        <v>3</v>
      </c>
      <c r="H525" s="4">
        <v>0</v>
      </c>
      <c r="I525" s="4">
        <v>0</v>
      </c>
      <c r="J525" s="4">
        <v>1.1546751500000001E-2</v>
      </c>
      <c r="K525" s="4">
        <v>0</v>
      </c>
      <c r="L525" s="4">
        <v>0</v>
      </c>
      <c r="M525" s="4">
        <v>0.18576872</v>
      </c>
      <c r="N525" s="4">
        <v>0</v>
      </c>
      <c r="O525" s="4">
        <v>0</v>
      </c>
      <c r="P525" s="4">
        <v>61</v>
      </c>
      <c r="Q525" s="4">
        <v>0</v>
      </c>
      <c r="R525" s="4">
        <v>0</v>
      </c>
      <c r="S525" s="6">
        <v>7.3999999999999996E-2</v>
      </c>
      <c r="T525" s="4">
        <v>0</v>
      </c>
    </row>
    <row r="526" spans="1:20" ht="18" x14ac:dyDescent="0.2">
      <c r="A526" s="4" t="s">
        <v>1705</v>
      </c>
      <c r="B526" s="4" t="s">
        <v>2375</v>
      </c>
      <c r="C526" s="4" t="s">
        <v>2088</v>
      </c>
      <c r="D526" s="4">
        <v>1</v>
      </c>
      <c r="E526" s="4" t="s">
        <v>97</v>
      </c>
      <c r="F526" s="4">
        <v>0</v>
      </c>
      <c r="G526" s="4">
        <v>4</v>
      </c>
      <c r="H526" s="4">
        <v>0</v>
      </c>
      <c r="I526" s="4">
        <v>0</v>
      </c>
      <c r="J526" s="4">
        <v>2.0434823999999998E-3</v>
      </c>
      <c r="K526" s="4">
        <v>0</v>
      </c>
      <c r="L526" s="4">
        <v>0</v>
      </c>
      <c r="M526" s="4">
        <v>1.7039584999999999</v>
      </c>
      <c r="N526" s="4">
        <v>0</v>
      </c>
      <c r="O526" s="4">
        <v>0</v>
      </c>
      <c r="P526" s="4">
        <v>5</v>
      </c>
      <c r="Q526" s="4">
        <v>0</v>
      </c>
      <c r="R526" s="4">
        <v>0</v>
      </c>
      <c r="S526" s="6">
        <v>0.432</v>
      </c>
      <c r="T526" s="4">
        <v>0</v>
      </c>
    </row>
    <row r="527" spans="1:20" ht="18" x14ac:dyDescent="0.2">
      <c r="A527" s="4" t="s">
        <v>1706</v>
      </c>
      <c r="B527" s="4" t="s">
        <v>2376</v>
      </c>
      <c r="C527" s="4" t="s">
        <v>2088</v>
      </c>
      <c r="D527" s="4">
        <v>1</v>
      </c>
      <c r="E527" s="4" t="s">
        <v>97</v>
      </c>
      <c r="F527" s="4">
        <v>0</v>
      </c>
      <c r="G527" s="4">
        <v>2</v>
      </c>
      <c r="H527" s="4">
        <v>0</v>
      </c>
      <c r="I527" s="4">
        <v>0</v>
      </c>
      <c r="J527" s="5">
        <v>4.5410717999999998E-5</v>
      </c>
      <c r="K527" s="4">
        <v>0</v>
      </c>
      <c r="L527" s="4">
        <v>0</v>
      </c>
      <c r="M527" s="4">
        <v>5.9253693000000003E-2</v>
      </c>
      <c r="N527" s="4">
        <v>0</v>
      </c>
      <c r="O527" s="4">
        <v>0</v>
      </c>
      <c r="P527" s="4">
        <v>2</v>
      </c>
      <c r="Q527" s="4">
        <v>0</v>
      </c>
      <c r="R527" s="4">
        <v>0</v>
      </c>
      <c r="S527" s="6">
        <v>2.5000000000000001E-2</v>
      </c>
      <c r="T527" s="4">
        <v>0</v>
      </c>
    </row>
    <row r="528" spans="1:20" ht="18" x14ac:dyDescent="0.2">
      <c r="A528" s="4" t="s">
        <v>1707</v>
      </c>
      <c r="B528" s="4" t="s">
        <v>2377</v>
      </c>
      <c r="C528" s="4" t="s">
        <v>2000</v>
      </c>
      <c r="D528" s="4">
        <v>1</v>
      </c>
      <c r="E528" s="4" t="s">
        <v>97</v>
      </c>
      <c r="F528" s="4">
        <v>0</v>
      </c>
      <c r="G528" s="4">
        <v>3</v>
      </c>
      <c r="H528" s="4">
        <v>0</v>
      </c>
      <c r="I528" s="4">
        <v>0</v>
      </c>
      <c r="J528" s="5">
        <v>1.5591887999999999E-4</v>
      </c>
      <c r="K528" s="4">
        <v>0</v>
      </c>
      <c r="L528" s="4">
        <v>0</v>
      </c>
      <c r="M528" s="4">
        <v>8.3926916000000004E-2</v>
      </c>
      <c r="N528" s="4">
        <v>0</v>
      </c>
      <c r="O528" s="4">
        <v>0</v>
      </c>
      <c r="P528" s="4">
        <v>3</v>
      </c>
      <c r="Q528" s="4">
        <v>0</v>
      </c>
      <c r="R528" s="4">
        <v>0</v>
      </c>
      <c r="S528" s="6">
        <v>3.5000000000000003E-2</v>
      </c>
      <c r="T528" s="4">
        <v>0</v>
      </c>
    </row>
    <row r="529" spans="1:20" ht="18" x14ac:dyDescent="0.2">
      <c r="A529" s="4" t="s">
        <v>1708</v>
      </c>
      <c r="B529" s="4" t="s">
        <v>2378</v>
      </c>
      <c r="C529" s="4" t="s">
        <v>2000</v>
      </c>
      <c r="D529" s="4">
        <v>1</v>
      </c>
      <c r="E529" s="4" t="s">
        <v>97</v>
      </c>
      <c r="F529" s="4">
        <v>0</v>
      </c>
      <c r="G529" s="4">
        <v>3</v>
      </c>
      <c r="H529" s="4">
        <v>0</v>
      </c>
      <c r="I529" s="4">
        <v>0</v>
      </c>
      <c r="J529" s="5">
        <v>1.2937155E-4</v>
      </c>
      <c r="K529" s="4">
        <v>0</v>
      </c>
      <c r="L529" s="4">
        <v>0</v>
      </c>
      <c r="M529" s="4">
        <v>8.6425660000000001E-2</v>
      </c>
      <c r="N529" s="4">
        <v>0</v>
      </c>
      <c r="O529" s="4">
        <v>0</v>
      </c>
      <c r="P529" s="4">
        <v>3</v>
      </c>
      <c r="Q529" s="4">
        <v>0</v>
      </c>
      <c r="R529" s="4">
        <v>0</v>
      </c>
      <c r="S529" s="6">
        <v>3.5999999999999997E-2</v>
      </c>
      <c r="T529" s="4">
        <v>0</v>
      </c>
    </row>
    <row r="530" spans="1:20" ht="18" x14ac:dyDescent="0.2">
      <c r="A530" s="4" t="s">
        <v>1709</v>
      </c>
      <c r="B530" s="4" t="s">
        <v>2379</v>
      </c>
      <c r="C530" s="4" t="s">
        <v>2000</v>
      </c>
      <c r="D530" s="4">
        <v>1</v>
      </c>
      <c r="E530" s="4" t="s">
        <v>97</v>
      </c>
      <c r="F530" s="4">
        <v>0</v>
      </c>
      <c r="G530" s="4">
        <v>3</v>
      </c>
      <c r="H530" s="4">
        <v>0</v>
      </c>
      <c r="I530" s="4">
        <v>0</v>
      </c>
      <c r="J530" s="5">
        <v>3.7594377999999998E-4</v>
      </c>
      <c r="K530" s="4">
        <v>0</v>
      </c>
      <c r="L530" s="4">
        <v>0</v>
      </c>
      <c r="M530" s="4">
        <v>8.3926916000000004E-2</v>
      </c>
      <c r="N530" s="4">
        <v>0</v>
      </c>
      <c r="O530" s="4">
        <v>0</v>
      </c>
      <c r="P530" s="4">
        <v>6</v>
      </c>
      <c r="Q530" s="4">
        <v>0</v>
      </c>
      <c r="R530" s="4">
        <v>0</v>
      </c>
      <c r="S530" s="6">
        <v>3.5000000000000003E-2</v>
      </c>
      <c r="T530" s="4">
        <v>0</v>
      </c>
    </row>
    <row r="531" spans="1:20" ht="18" x14ac:dyDescent="0.2">
      <c r="A531" s="4" t="s">
        <v>1710</v>
      </c>
      <c r="B531" s="4" t="s">
        <v>2380</v>
      </c>
      <c r="C531" s="4" t="s">
        <v>2000</v>
      </c>
      <c r="D531" s="4">
        <v>1</v>
      </c>
      <c r="E531" s="4" t="s">
        <v>97</v>
      </c>
      <c r="F531" s="4">
        <v>0</v>
      </c>
      <c r="G531" s="4">
        <v>2</v>
      </c>
      <c r="H531" s="4">
        <v>0</v>
      </c>
      <c r="I531" s="4">
        <v>0</v>
      </c>
      <c r="J531" s="5">
        <v>6.1061610000000006E-5</v>
      </c>
      <c r="K531" s="4">
        <v>0</v>
      </c>
      <c r="L531" s="4">
        <v>0</v>
      </c>
      <c r="M531" s="4">
        <v>8.6425660000000001E-2</v>
      </c>
      <c r="N531" s="4">
        <v>0</v>
      </c>
      <c r="O531" s="4">
        <v>0</v>
      </c>
      <c r="P531" s="4">
        <v>2</v>
      </c>
      <c r="Q531" s="4">
        <v>0</v>
      </c>
      <c r="R531" s="4">
        <v>0</v>
      </c>
      <c r="S531" s="6">
        <v>3.5999999999999997E-2</v>
      </c>
      <c r="T531" s="4">
        <v>0</v>
      </c>
    </row>
    <row r="532" spans="1:20" ht="18" x14ac:dyDescent="0.2">
      <c r="A532" s="4" t="s">
        <v>1711</v>
      </c>
      <c r="B532" s="4" t="s">
        <v>2381</v>
      </c>
      <c r="C532" s="4" t="s">
        <v>2045</v>
      </c>
      <c r="D532" s="4">
        <v>1</v>
      </c>
      <c r="E532" s="4" t="s">
        <v>97</v>
      </c>
      <c r="F532" s="4">
        <v>0</v>
      </c>
      <c r="G532" s="4">
        <v>2</v>
      </c>
      <c r="H532" s="4">
        <v>0</v>
      </c>
      <c r="I532" s="4">
        <v>0</v>
      </c>
      <c r="J532" s="5">
        <v>5.0301106999999998E-5</v>
      </c>
      <c r="K532" s="4">
        <v>0</v>
      </c>
      <c r="L532" s="4">
        <v>0</v>
      </c>
      <c r="M532" s="4">
        <v>0.10407864999999999</v>
      </c>
      <c r="N532" s="4">
        <v>0</v>
      </c>
      <c r="O532" s="4">
        <v>0</v>
      </c>
      <c r="P532" s="4">
        <v>2</v>
      </c>
      <c r="Q532" s="4">
        <v>0</v>
      </c>
      <c r="R532" s="4">
        <v>0</v>
      </c>
      <c r="S532" s="6">
        <v>4.2999999999999997E-2</v>
      </c>
      <c r="T532" s="4">
        <v>0</v>
      </c>
    </row>
    <row r="533" spans="1:20" ht="18" x14ac:dyDescent="0.2">
      <c r="A533" s="4" t="s">
        <v>1712</v>
      </c>
      <c r="B533" s="4" t="s">
        <v>2382</v>
      </c>
      <c r="C533" s="4" t="s">
        <v>2045</v>
      </c>
      <c r="D533" s="4">
        <v>1</v>
      </c>
      <c r="E533" s="4" t="s">
        <v>97</v>
      </c>
      <c r="F533" s="4">
        <v>0</v>
      </c>
      <c r="G533" s="4">
        <v>6</v>
      </c>
      <c r="H533" s="4">
        <v>0</v>
      </c>
      <c r="I533" s="4">
        <v>0</v>
      </c>
      <c r="J533" s="5">
        <v>9.9903579999999995E-4</v>
      </c>
      <c r="K533" s="4">
        <v>0</v>
      </c>
      <c r="L533" s="4">
        <v>0</v>
      </c>
      <c r="M533" s="4">
        <v>0.60694119999999996</v>
      </c>
      <c r="N533" s="4">
        <v>0</v>
      </c>
      <c r="O533" s="4">
        <v>0</v>
      </c>
      <c r="P533" s="4">
        <v>7</v>
      </c>
      <c r="Q533" s="4">
        <v>0</v>
      </c>
      <c r="R533" s="4">
        <v>0</v>
      </c>
      <c r="S533" s="6">
        <v>0.20599999999999999</v>
      </c>
      <c r="T533" s="4">
        <v>0</v>
      </c>
    </row>
    <row r="534" spans="1:20" ht="18" x14ac:dyDescent="0.2">
      <c r="A534" s="4" t="s">
        <v>1713</v>
      </c>
      <c r="B534" s="4" t="s">
        <v>2383</v>
      </c>
      <c r="C534" s="4" t="s">
        <v>2045</v>
      </c>
      <c r="D534" s="4">
        <v>1</v>
      </c>
      <c r="E534" s="4" t="s">
        <v>97</v>
      </c>
      <c r="F534" s="4">
        <v>0</v>
      </c>
      <c r="G534" s="4">
        <v>4</v>
      </c>
      <c r="H534" s="4">
        <v>0</v>
      </c>
      <c r="I534" s="4">
        <v>0</v>
      </c>
      <c r="J534" s="5">
        <v>1.1309838999999999E-4</v>
      </c>
      <c r="K534" s="4">
        <v>0</v>
      </c>
      <c r="L534" s="4">
        <v>0</v>
      </c>
      <c r="M534" s="4">
        <v>0.15611220000000001</v>
      </c>
      <c r="N534" s="4">
        <v>0</v>
      </c>
      <c r="O534" s="4">
        <v>0</v>
      </c>
      <c r="P534" s="4">
        <v>4</v>
      </c>
      <c r="Q534" s="4">
        <v>0</v>
      </c>
      <c r="R534" s="4">
        <v>0</v>
      </c>
      <c r="S534" s="6">
        <v>6.3E-2</v>
      </c>
      <c r="T534" s="4">
        <v>0</v>
      </c>
    </row>
    <row r="535" spans="1:20" ht="18" x14ac:dyDescent="0.2">
      <c r="A535" s="4" t="s">
        <v>1714</v>
      </c>
      <c r="B535" s="4" t="s">
        <v>2384</v>
      </c>
      <c r="C535" s="4" t="s">
        <v>2045</v>
      </c>
      <c r="D535" s="4">
        <v>1</v>
      </c>
      <c r="E535" s="4" t="s">
        <v>97</v>
      </c>
      <c r="F535" s="4">
        <v>0</v>
      </c>
      <c r="G535" s="4">
        <v>4</v>
      </c>
      <c r="H535" s="4">
        <v>0</v>
      </c>
      <c r="I535" s="4">
        <v>0</v>
      </c>
      <c r="J535" s="5">
        <v>1.10662426E-4</v>
      </c>
      <c r="K535" s="4">
        <v>0</v>
      </c>
      <c r="L535" s="4">
        <v>0</v>
      </c>
      <c r="M535" s="4">
        <v>0.14287830000000001</v>
      </c>
      <c r="N535" s="4">
        <v>0</v>
      </c>
      <c r="O535" s="4">
        <v>0</v>
      </c>
      <c r="P535" s="4">
        <v>4</v>
      </c>
      <c r="Q535" s="4">
        <v>0</v>
      </c>
      <c r="R535" s="4">
        <v>0</v>
      </c>
      <c r="S535" s="6">
        <v>5.8000000000000003E-2</v>
      </c>
      <c r="T535" s="4">
        <v>0</v>
      </c>
    </row>
    <row r="536" spans="1:20" ht="18" x14ac:dyDescent="0.2">
      <c r="A536" s="4" t="s">
        <v>1715</v>
      </c>
      <c r="B536" s="4" t="s">
        <v>2385</v>
      </c>
      <c r="C536" s="4" t="s">
        <v>2045</v>
      </c>
      <c r="D536" s="4">
        <v>1</v>
      </c>
      <c r="E536" s="4" t="s">
        <v>97</v>
      </c>
      <c r="F536" s="4">
        <v>0</v>
      </c>
      <c r="G536" s="4">
        <v>3</v>
      </c>
      <c r="H536" s="4">
        <v>0</v>
      </c>
      <c r="I536" s="4">
        <v>0</v>
      </c>
      <c r="J536" s="5">
        <v>2.5567740000000003E-4</v>
      </c>
      <c r="K536" s="4">
        <v>0</v>
      </c>
      <c r="L536" s="4">
        <v>0</v>
      </c>
      <c r="M536" s="4">
        <v>0.15345323</v>
      </c>
      <c r="N536" s="4">
        <v>0</v>
      </c>
      <c r="O536" s="4">
        <v>0</v>
      </c>
      <c r="P536" s="4">
        <v>3</v>
      </c>
      <c r="Q536" s="4">
        <v>0</v>
      </c>
      <c r="R536" s="4">
        <v>0</v>
      </c>
      <c r="S536" s="6">
        <v>6.2E-2</v>
      </c>
      <c r="T536" s="4">
        <v>0</v>
      </c>
    </row>
    <row r="537" spans="1:20" ht="18" x14ac:dyDescent="0.2">
      <c r="A537" s="4" t="s">
        <v>1716</v>
      </c>
      <c r="B537" s="4" t="s">
        <v>2386</v>
      </c>
      <c r="C537" s="4" t="s">
        <v>2045</v>
      </c>
      <c r="D537" s="4">
        <v>1</v>
      </c>
      <c r="E537" s="4" t="s">
        <v>97</v>
      </c>
      <c r="F537" s="4">
        <v>0</v>
      </c>
      <c r="G537" s="4">
        <v>2</v>
      </c>
      <c r="H537" s="4">
        <v>0</v>
      </c>
      <c r="I537" s="4">
        <v>0</v>
      </c>
      <c r="J537" s="5">
        <v>9.1982840000000006E-5</v>
      </c>
      <c r="K537" s="4">
        <v>0</v>
      </c>
      <c r="L537" s="4">
        <v>0</v>
      </c>
      <c r="M537" s="4">
        <v>0.10407864999999999</v>
      </c>
      <c r="N537" s="4">
        <v>0</v>
      </c>
      <c r="O537" s="4">
        <v>0</v>
      </c>
      <c r="P537" s="4">
        <v>2</v>
      </c>
      <c r="Q537" s="4">
        <v>0</v>
      </c>
      <c r="R537" s="4">
        <v>0</v>
      </c>
      <c r="S537" s="6">
        <v>4.2999999999999997E-2</v>
      </c>
      <c r="T537" s="4">
        <v>0</v>
      </c>
    </row>
    <row r="538" spans="1:20" ht="18" x14ac:dyDescent="0.2">
      <c r="A538" s="4" t="s">
        <v>1717</v>
      </c>
      <c r="B538" s="4" t="s">
        <v>2387</v>
      </c>
      <c r="C538" s="4" t="s">
        <v>2045</v>
      </c>
      <c r="D538" s="4">
        <v>1</v>
      </c>
      <c r="E538" s="4" t="s">
        <v>97</v>
      </c>
      <c r="F538" s="4">
        <v>0</v>
      </c>
      <c r="G538" s="4">
        <v>3</v>
      </c>
      <c r="H538" s="4">
        <v>0</v>
      </c>
      <c r="I538" s="4">
        <v>0</v>
      </c>
      <c r="J538" s="5">
        <v>9.0213935999999999E-5</v>
      </c>
      <c r="K538" s="4">
        <v>0</v>
      </c>
      <c r="L538" s="4">
        <v>0</v>
      </c>
      <c r="M538" s="4">
        <v>0.101539254</v>
      </c>
      <c r="N538" s="4">
        <v>0</v>
      </c>
      <c r="O538" s="4">
        <v>0</v>
      </c>
      <c r="P538" s="4">
        <v>3</v>
      </c>
      <c r="Q538" s="4">
        <v>0</v>
      </c>
      <c r="R538" s="4">
        <v>0</v>
      </c>
      <c r="S538" s="6">
        <v>4.2000000000000003E-2</v>
      </c>
      <c r="T538" s="4">
        <v>0</v>
      </c>
    </row>
    <row r="539" spans="1:20" ht="18" x14ac:dyDescent="0.2">
      <c r="A539" s="4" t="s">
        <v>1718</v>
      </c>
      <c r="B539" s="4" t="s">
        <v>2388</v>
      </c>
      <c r="C539" s="4" t="s">
        <v>2045</v>
      </c>
      <c r="D539" s="4">
        <v>1</v>
      </c>
      <c r="E539" s="4" t="s">
        <v>97</v>
      </c>
      <c r="F539" s="4">
        <v>0</v>
      </c>
      <c r="G539" s="4">
        <v>8</v>
      </c>
      <c r="H539" s="4">
        <v>0</v>
      </c>
      <c r="I539" s="4">
        <v>0</v>
      </c>
      <c r="J539" s="5">
        <v>5.9720960000000001E-4</v>
      </c>
      <c r="K539" s="4">
        <v>0</v>
      </c>
      <c r="L539" s="4">
        <v>0</v>
      </c>
      <c r="M539" s="4">
        <v>0.37088179999999998</v>
      </c>
      <c r="N539" s="4">
        <v>0</v>
      </c>
      <c r="O539" s="4">
        <v>0</v>
      </c>
      <c r="P539" s="4">
        <v>9</v>
      </c>
      <c r="Q539" s="4">
        <v>0</v>
      </c>
      <c r="R539" s="4">
        <v>0</v>
      </c>
      <c r="S539" s="6">
        <v>0.13700000000000001</v>
      </c>
      <c r="T539" s="4">
        <v>0</v>
      </c>
    </row>
    <row r="540" spans="1:20" ht="18" x14ac:dyDescent="0.2">
      <c r="A540" s="4" t="s">
        <v>1719</v>
      </c>
      <c r="B540" s="4" t="s">
        <v>2389</v>
      </c>
      <c r="C540" s="4" t="s">
        <v>2045</v>
      </c>
      <c r="D540" s="4">
        <v>1</v>
      </c>
      <c r="E540" s="4" t="s">
        <v>97</v>
      </c>
      <c r="F540" s="4">
        <v>0</v>
      </c>
      <c r="G540" s="4">
        <v>2</v>
      </c>
      <c r="H540" s="4">
        <v>0</v>
      </c>
      <c r="I540" s="4">
        <v>0</v>
      </c>
      <c r="J540" s="5">
        <v>1.3087805999999999E-4</v>
      </c>
      <c r="K540" s="4">
        <v>0</v>
      </c>
      <c r="L540" s="4">
        <v>0</v>
      </c>
      <c r="M540" s="4">
        <v>6.1695576000000002E-2</v>
      </c>
      <c r="N540" s="4">
        <v>0</v>
      </c>
      <c r="O540" s="4">
        <v>0</v>
      </c>
      <c r="P540" s="4">
        <v>5</v>
      </c>
      <c r="Q540" s="4">
        <v>0</v>
      </c>
      <c r="R540" s="4">
        <v>0</v>
      </c>
      <c r="S540" s="6">
        <v>2.5999999999999999E-2</v>
      </c>
      <c r="T540" s="4">
        <v>0</v>
      </c>
    </row>
    <row r="541" spans="1:20" ht="18" x14ac:dyDescent="0.2">
      <c r="A541" s="4" t="s">
        <v>1720</v>
      </c>
      <c r="B541" s="4" t="s">
        <v>2390</v>
      </c>
      <c r="C541" s="4" t="s">
        <v>2045</v>
      </c>
      <c r="D541" s="4">
        <v>1</v>
      </c>
      <c r="E541" s="4" t="s">
        <v>97</v>
      </c>
      <c r="F541" s="4">
        <v>0</v>
      </c>
      <c r="G541" s="4">
        <v>2</v>
      </c>
      <c r="H541" s="4">
        <v>0</v>
      </c>
      <c r="I541" s="4">
        <v>0</v>
      </c>
      <c r="J541" s="5">
        <v>7.8871250000000001E-5</v>
      </c>
      <c r="K541" s="4">
        <v>0</v>
      </c>
      <c r="L541" s="4">
        <v>0</v>
      </c>
      <c r="M541" s="4">
        <v>6.9054840000000006E-2</v>
      </c>
      <c r="N541" s="4">
        <v>0</v>
      </c>
      <c r="O541" s="4">
        <v>0</v>
      </c>
      <c r="P541" s="4">
        <v>3</v>
      </c>
      <c r="Q541" s="4">
        <v>0</v>
      </c>
      <c r="R541" s="4">
        <v>0</v>
      </c>
      <c r="S541" s="6">
        <v>2.9000000000000001E-2</v>
      </c>
      <c r="T541" s="4">
        <v>0</v>
      </c>
    </row>
    <row r="542" spans="1:20" ht="18" x14ac:dyDescent="0.2">
      <c r="A542" s="4" t="s">
        <v>1721</v>
      </c>
      <c r="B542" s="4" t="s">
        <v>2391</v>
      </c>
      <c r="C542" s="4" t="s">
        <v>2045</v>
      </c>
      <c r="D542" s="4">
        <v>1</v>
      </c>
      <c r="E542" s="4" t="s">
        <v>97</v>
      </c>
      <c r="F542" s="4">
        <v>0</v>
      </c>
      <c r="G542" s="4">
        <v>2</v>
      </c>
      <c r="H542" s="4">
        <v>0</v>
      </c>
      <c r="I542" s="4">
        <v>0</v>
      </c>
      <c r="J542" s="5">
        <v>1.0188467400000001E-4</v>
      </c>
      <c r="K542" s="4">
        <v>0</v>
      </c>
      <c r="L542" s="4">
        <v>0</v>
      </c>
      <c r="M542" s="4">
        <v>0.101539254</v>
      </c>
      <c r="N542" s="4">
        <v>0</v>
      </c>
      <c r="O542" s="4">
        <v>0</v>
      </c>
      <c r="P542" s="4">
        <v>2</v>
      </c>
      <c r="Q542" s="4">
        <v>0</v>
      </c>
      <c r="R542" s="4">
        <v>0</v>
      </c>
      <c r="S542" s="6">
        <v>4.2000000000000003E-2</v>
      </c>
      <c r="T542" s="4">
        <v>0</v>
      </c>
    </row>
    <row r="543" spans="1:20" ht="18" x14ac:dyDescent="0.2">
      <c r="A543" s="4" t="s">
        <v>1722</v>
      </c>
      <c r="B543" s="4" t="s">
        <v>2026</v>
      </c>
      <c r="C543" s="4" t="s">
        <v>2045</v>
      </c>
      <c r="D543" s="4">
        <v>1</v>
      </c>
      <c r="E543" s="4" t="s">
        <v>97</v>
      </c>
      <c r="F543" s="4">
        <v>0</v>
      </c>
      <c r="G543" s="4">
        <v>11</v>
      </c>
      <c r="H543" s="4">
        <v>0</v>
      </c>
      <c r="I543" s="4">
        <v>0</v>
      </c>
      <c r="J543" s="5">
        <v>6.3400355000000003E-4</v>
      </c>
      <c r="K543" s="4">
        <v>0</v>
      </c>
      <c r="L543" s="4">
        <v>0</v>
      </c>
      <c r="M543" s="4">
        <v>0.64058983000000003</v>
      </c>
      <c r="N543" s="4">
        <v>0</v>
      </c>
      <c r="O543" s="4">
        <v>0</v>
      </c>
      <c r="P543" s="4">
        <v>11</v>
      </c>
      <c r="Q543" s="4">
        <v>0</v>
      </c>
      <c r="R543" s="4">
        <v>0</v>
      </c>
      <c r="S543" s="6">
        <v>0.215</v>
      </c>
      <c r="T543" s="4">
        <v>0</v>
      </c>
    </row>
    <row r="544" spans="1:20" ht="18" x14ac:dyDescent="0.2">
      <c r="A544" s="4" t="s">
        <v>1723</v>
      </c>
      <c r="B544" s="4" t="s">
        <v>2392</v>
      </c>
      <c r="C544" s="4" t="s">
        <v>144</v>
      </c>
      <c r="D544" s="4">
        <v>1</v>
      </c>
      <c r="E544" s="4" t="s">
        <v>97</v>
      </c>
      <c r="F544" s="4">
        <v>0</v>
      </c>
      <c r="G544" s="4">
        <v>2</v>
      </c>
      <c r="H544" s="4">
        <v>0</v>
      </c>
      <c r="I544" s="4">
        <v>0</v>
      </c>
      <c r="J544" s="5">
        <v>4.3123848E-5</v>
      </c>
      <c r="K544" s="4">
        <v>0</v>
      </c>
      <c r="L544" s="4">
        <v>0</v>
      </c>
      <c r="M544" s="4">
        <v>3.7528395999999999E-2</v>
      </c>
      <c r="N544" s="4">
        <v>0</v>
      </c>
      <c r="O544" s="4">
        <v>0</v>
      </c>
      <c r="P544" s="4">
        <v>2</v>
      </c>
      <c r="Q544" s="4">
        <v>0</v>
      </c>
      <c r="R544" s="4">
        <v>0</v>
      </c>
      <c r="S544" s="6">
        <v>1.6E-2</v>
      </c>
      <c r="T544" s="4">
        <v>0</v>
      </c>
    </row>
    <row r="545" spans="1:20" ht="18" x14ac:dyDescent="0.2">
      <c r="A545" s="4" t="s">
        <v>1724</v>
      </c>
      <c r="B545" s="4" t="s">
        <v>2393</v>
      </c>
      <c r="C545" s="4" t="s">
        <v>144</v>
      </c>
      <c r="D545" s="4">
        <v>1</v>
      </c>
      <c r="E545" s="4" t="s">
        <v>97</v>
      </c>
      <c r="F545" s="4">
        <v>0</v>
      </c>
      <c r="G545" s="4">
        <v>3</v>
      </c>
      <c r="H545" s="4">
        <v>0</v>
      </c>
      <c r="I545" s="4">
        <v>0</v>
      </c>
      <c r="J545" s="5">
        <v>1.9267120000000001E-4</v>
      </c>
      <c r="K545" s="4">
        <v>0</v>
      </c>
      <c r="L545" s="4">
        <v>0</v>
      </c>
      <c r="M545" s="4">
        <v>0.11173176999999999</v>
      </c>
      <c r="N545" s="4">
        <v>0</v>
      </c>
      <c r="O545" s="4">
        <v>0</v>
      </c>
      <c r="P545" s="4">
        <v>3</v>
      </c>
      <c r="Q545" s="4">
        <v>0</v>
      </c>
      <c r="R545" s="4">
        <v>0</v>
      </c>
      <c r="S545" s="6">
        <v>4.5999999999999999E-2</v>
      </c>
      <c r="T545" s="4">
        <v>0</v>
      </c>
    </row>
    <row r="546" spans="1:20" ht="18" x14ac:dyDescent="0.2">
      <c r="A546" s="4" t="s">
        <v>1725</v>
      </c>
      <c r="B546" s="4" t="s">
        <v>2394</v>
      </c>
      <c r="C546" s="7" t="s">
        <v>96</v>
      </c>
      <c r="D546" s="4">
        <v>1</v>
      </c>
      <c r="E546" s="4" t="s">
        <v>97</v>
      </c>
      <c r="F546" s="4">
        <v>0</v>
      </c>
      <c r="G546" s="4">
        <v>2</v>
      </c>
      <c r="H546" s="4">
        <v>0</v>
      </c>
      <c r="I546" s="4">
        <v>0</v>
      </c>
      <c r="J546" s="5">
        <v>2.3054674000000001E-4</v>
      </c>
      <c r="K546" s="4">
        <v>0</v>
      </c>
      <c r="L546" s="4">
        <v>0</v>
      </c>
      <c r="M546" s="4">
        <v>0.21059811000000001</v>
      </c>
      <c r="N546" s="4">
        <v>0</v>
      </c>
      <c r="O546" s="4">
        <v>0</v>
      </c>
      <c r="P546" s="4">
        <v>2</v>
      </c>
      <c r="Q546" s="4">
        <v>0</v>
      </c>
      <c r="R546" s="4">
        <v>0</v>
      </c>
      <c r="S546" s="6">
        <v>8.3000000000000004E-2</v>
      </c>
      <c r="T546" s="4">
        <v>0</v>
      </c>
    </row>
    <row r="547" spans="1:20" ht="18" x14ac:dyDescent="0.2">
      <c r="A547" s="4" t="s">
        <v>1726</v>
      </c>
      <c r="B547" s="4" t="s">
        <v>2395</v>
      </c>
      <c r="C547" s="7" t="s">
        <v>96</v>
      </c>
      <c r="D547" s="4">
        <v>1</v>
      </c>
      <c r="E547" s="4" t="s">
        <v>97</v>
      </c>
      <c r="F547" s="4">
        <v>0</v>
      </c>
      <c r="G547" s="4">
        <v>2</v>
      </c>
      <c r="H547" s="4">
        <v>0</v>
      </c>
      <c r="I547" s="4">
        <v>0</v>
      </c>
      <c r="J547" s="5">
        <v>2.6839768000000002E-4</v>
      </c>
      <c r="K547" s="4">
        <v>0</v>
      </c>
      <c r="L547" s="4">
        <v>0</v>
      </c>
      <c r="M547" s="4">
        <v>0.23026884</v>
      </c>
      <c r="N547" s="4">
        <v>0</v>
      </c>
      <c r="O547" s="4">
        <v>0</v>
      </c>
      <c r="P547" s="4">
        <v>2</v>
      </c>
      <c r="Q547" s="4">
        <v>0</v>
      </c>
      <c r="R547" s="4">
        <v>0</v>
      </c>
      <c r="S547" s="6">
        <v>0.09</v>
      </c>
      <c r="T547" s="4">
        <v>0</v>
      </c>
    </row>
    <row r="548" spans="1:20" ht="18" x14ac:dyDescent="0.2">
      <c r="A548" s="4" t="s">
        <v>1727</v>
      </c>
      <c r="B548" s="4" t="s">
        <v>2396</v>
      </c>
      <c r="C548" s="7" t="s">
        <v>96</v>
      </c>
      <c r="D548" s="4">
        <v>1</v>
      </c>
      <c r="E548" s="4" t="s">
        <v>97</v>
      </c>
      <c r="F548" s="4">
        <v>0</v>
      </c>
      <c r="G548" s="4">
        <v>2</v>
      </c>
      <c r="H548" s="4">
        <v>0</v>
      </c>
      <c r="I548" s="4">
        <v>0</v>
      </c>
      <c r="J548" s="5">
        <v>2.704157E-4</v>
      </c>
      <c r="K548" s="4">
        <v>0</v>
      </c>
      <c r="L548" s="4">
        <v>0</v>
      </c>
      <c r="M548" s="4">
        <v>0.23026884</v>
      </c>
      <c r="N548" s="4">
        <v>0</v>
      </c>
      <c r="O548" s="4">
        <v>0</v>
      </c>
      <c r="P548" s="4">
        <v>2</v>
      </c>
      <c r="Q548" s="4">
        <v>0</v>
      </c>
      <c r="R548" s="4">
        <v>0</v>
      </c>
      <c r="S548" s="6">
        <v>0.09</v>
      </c>
      <c r="T548" s="4">
        <v>0</v>
      </c>
    </row>
    <row r="549" spans="1:20" ht="18" x14ac:dyDescent="0.2">
      <c r="A549" s="4" t="s">
        <v>1728</v>
      </c>
      <c r="B549" s="4" t="s">
        <v>2397</v>
      </c>
      <c r="C549" s="7" t="s">
        <v>96</v>
      </c>
      <c r="D549" s="4">
        <v>1</v>
      </c>
      <c r="E549" s="4" t="s">
        <v>97</v>
      </c>
      <c r="F549" s="4">
        <v>0</v>
      </c>
      <c r="G549" s="4">
        <v>2</v>
      </c>
      <c r="H549" s="4">
        <v>0</v>
      </c>
      <c r="I549" s="4">
        <v>0</v>
      </c>
      <c r="J549" s="5">
        <v>1.8538808000000001E-4</v>
      </c>
      <c r="K549" s="4">
        <v>0</v>
      </c>
      <c r="L549" s="4">
        <v>0</v>
      </c>
      <c r="M549" s="4">
        <v>0.29717934000000001</v>
      </c>
      <c r="N549" s="4">
        <v>0</v>
      </c>
      <c r="O549" s="4">
        <v>0</v>
      </c>
      <c r="P549" s="4">
        <v>2</v>
      </c>
      <c r="Q549" s="4">
        <v>0</v>
      </c>
      <c r="R549" s="4">
        <v>0</v>
      </c>
      <c r="S549" s="6">
        <v>0.113</v>
      </c>
      <c r="T549" s="4">
        <v>0</v>
      </c>
    </row>
    <row r="550" spans="1:20" ht="18" x14ac:dyDescent="0.2">
      <c r="A550" s="4" t="s">
        <v>1729</v>
      </c>
      <c r="B550" s="4" t="s">
        <v>2398</v>
      </c>
      <c r="C550" s="4" t="s">
        <v>51</v>
      </c>
      <c r="D550" s="4">
        <v>1</v>
      </c>
      <c r="E550" s="4" t="s">
        <v>97</v>
      </c>
      <c r="F550" s="4">
        <v>0</v>
      </c>
      <c r="G550" s="4">
        <v>3</v>
      </c>
      <c r="H550" s="4">
        <v>0</v>
      </c>
      <c r="I550" s="4">
        <v>0</v>
      </c>
      <c r="J550" s="5">
        <v>1.5413693999999999E-4</v>
      </c>
      <c r="K550" s="4">
        <v>0</v>
      </c>
      <c r="L550" s="4">
        <v>0</v>
      </c>
      <c r="M550" s="4">
        <v>4.4720173000000002E-2</v>
      </c>
      <c r="N550" s="4">
        <v>0</v>
      </c>
      <c r="O550" s="4">
        <v>0</v>
      </c>
      <c r="P550" s="4">
        <v>6</v>
      </c>
      <c r="Q550" s="4">
        <v>0</v>
      </c>
      <c r="R550" s="4">
        <v>0</v>
      </c>
      <c r="S550" s="6">
        <v>1.9E-2</v>
      </c>
      <c r="T550" s="4">
        <v>0</v>
      </c>
    </row>
    <row r="551" spans="1:20" ht="18" x14ac:dyDescent="0.2">
      <c r="A551" s="4" t="s">
        <v>1730</v>
      </c>
      <c r="B551" s="4" t="s">
        <v>2399</v>
      </c>
      <c r="C551" s="4" t="s">
        <v>51</v>
      </c>
      <c r="D551" s="4">
        <v>1</v>
      </c>
      <c r="E551" s="4" t="s">
        <v>97</v>
      </c>
      <c r="F551" s="4">
        <v>0</v>
      </c>
      <c r="G551" s="4">
        <v>2</v>
      </c>
      <c r="H551" s="4">
        <v>0</v>
      </c>
      <c r="I551" s="4">
        <v>0</v>
      </c>
      <c r="J551" s="5">
        <v>1.7630044000000001E-4</v>
      </c>
      <c r="K551" s="4">
        <v>0</v>
      </c>
      <c r="L551" s="4">
        <v>0</v>
      </c>
      <c r="M551" s="4">
        <v>0.21059811000000001</v>
      </c>
      <c r="N551" s="4">
        <v>0</v>
      </c>
      <c r="O551" s="4">
        <v>0</v>
      </c>
      <c r="P551" s="4">
        <v>2</v>
      </c>
      <c r="Q551" s="4">
        <v>0</v>
      </c>
      <c r="R551" s="4">
        <v>0</v>
      </c>
      <c r="S551" s="6">
        <v>8.3000000000000004E-2</v>
      </c>
      <c r="T551" s="4">
        <v>0</v>
      </c>
    </row>
    <row r="552" spans="1:20" ht="18" x14ac:dyDescent="0.2">
      <c r="A552" s="4" t="s">
        <v>1731</v>
      </c>
      <c r="B552" s="4" t="s">
        <v>2400</v>
      </c>
      <c r="C552" s="4" t="s">
        <v>51</v>
      </c>
      <c r="D552" s="4">
        <v>1</v>
      </c>
      <c r="E552" s="4" t="s">
        <v>97</v>
      </c>
      <c r="F552" s="4">
        <v>0</v>
      </c>
      <c r="G552" s="4">
        <v>5</v>
      </c>
      <c r="H552" s="4">
        <v>0</v>
      </c>
      <c r="I552" s="4">
        <v>0</v>
      </c>
      <c r="J552" s="5">
        <v>3.7778667E-4</v>
      </c>
      <c r="K552" s="4">
        <v>0</v>
      </c>
      <c r="L552" s="4">
        <v>0</v>
      </c>
      <c r="M552" s="4">
        <v>0.22461617</v>
      </c>
      <c r="N552" s="4">
        <v>0</v>
      </c>
      <c r="O552" s="4">
        <v>0</v>
      </c>
      <c r="P552" s="4">
        <v>5</v>
      </c>
      <c r="Q552" s="4">
        <v>0</v>
      </c>
      <c r="R552" s="4">
        <v>0</v>
      </c>
      <c r="S552" s="6">
        <v>8.7999999999999995E-2</v>
      </c>
      <c r="T552" s="4">
        <v>0</v>
      </c>
    </row>
    <row r="553" spans="1:20" ht="18" x14ac:dyDescent="0.2">
      <c r="A553" s="4" t="s">
        <v>1732</v>
      </c>
      <c r="B553" s="4" t="s">
        <v>2401</v>
      </c>
      <c r="C553" s="4" t="s">
        <v>51</v>
      </c>
      <c r="D553" s="4">
        <v>1</v>
      </c>
      <c r="E553" s="4" t="s">
        <v>97</v>
      </c>
      <c r="F553" s="4">
        <v>0</v>
      </c>
      <c r="G553" s="4">
        <v>3</v>
      </c>
      <c r="H553" s="4">
        <v>0</v>
      </c>
      <c r="I553" s="4">
        <v>0</v>
      </c>
      <c r="J553" s="5">
        <v>5.3947933000000003E-5</v>
      </c>
      <c r="K553" s="4">
        <v>0</v>
      </c>
      <c r="L553" s="4">
        <v>0</v>
      </c>
      <c r="M553" s="4">
        <v>3.0386090000000001E-2</v>
      </c>
      <c r="N553" s="4">
        <v>0</v>
      </c>
      <c r="O553" s="4">
        <v>0</v>
      </c>
      <c r="P553" s="4">
        <v>3</v>
      </c>
      <c r="Q553" s="4">
        <v>0</v>
      </c>
      <c r="R553" s="4">
        <v>0</v>
      </c>
      <c r="S553" s="6">
        <v>1.2999999999999999E-2</v>
      </c>
      <c r="T553" s="4">
        <v>0</v>
      </c>
    </row>
    <row r="554" spans="1:20" ht="18" x14ac:dyDescent="0.2">
      <c r="A554" s="4" t="s">
        <v>1733</v>
      </c>
      <c r="B554" s="4" t="s">
        <v>2402</v>
      </c>
      <c r="C554" s="4" t="s">
        <v>51</v>
      </c>
      <c r="D554" s="4">
        <v>1</v>
      </c>
      <c r="E554" s="4" t="s">
        <v>97</v>
      </c>
      <c r="F554" s="4">
        <v>0</v>
      </c>
      <c r="G554" s="4">
        <v>2</v>
      </c>
      <c r="H554" s="4">
        <v>0</v>
      </c>
      <c r="I554" s="4">
        <v>0</v>
      </c>
      <c r="J554" s="5">
        <v>3.4482542000000002E-5</v>
      </c>
      <c r="K554" s="4">
        <v>0</v>
      </c>
      <c r="L554" s="4">
        <v>0</v>
      </c>
      <c r="M554" s="4">
        <v>3.7528395999999999E-2</v>
      </c>
      <c r="N554" s="4">
        <v>0</v>
      </c>
      <c r="O554" s="4">
        <v>0</v>
      </c>
      <c r="P554" s="4">
        <v>2</v>
      </c>
      <c r="Q554" s="4">
        <v>0</v>
      </c>
      <c r="R554" s="4">
        <v>0</v>
      </c>
      <c r="S554" s="6">
        <v>1.6E-2</v>
      </c>
      <c r="T554" s="4">
        <v>0</v>
      </c>
    </row>
    <row r="555" spans="1:20" ht="18" x14ac:dyDescent="0.2">
      <c r="A555" s="4" t="s">
        <v>1734</v>
      </c>
      <c r="B555" s="4" t="s">
        <v>2403</v>
      </c>
      <c r="C555" s="4" t="s">
        <v>51</v>
      </c>
      <c r="D555" s="4">
        <v>1</v>
      </c>
      <c r="E555" s="4" t="s">
        <v>97</v>
      </c>
      <c r="F555" s="4">
        <v>0</v>
      </c>
      <c r="G555" s="4">
        <v>3</v>
      </c>
      <c r="H555" s="4">
        <v>0</v>
      </c>
      <c r="I555" s="4">
        <v>0</v>
      </c>
      <c r="J555" s="5">
        <v>3.1429034E-5</v>
      </c>
      <c r="K555" s="4">
        <v>0</v>
      </c>
      <c r="L555" s="4">
        <v>0</v>
      </c>
      <c r="M555" s="4">
        <v>4.6157836999999998E-3</v>
      </c>
      <c r="N555" s="4">
        <v>0</v>
      </c>
      <c r="O555" s="4">
        <v>0</v>
      </c>
      <c r="P555" s="4">
        <v>6</v>
      </c>
      <c r="Q555" s="4">
        <v>0</v>
      </c>
      <c r="R555" s="4">
        <v>0</v>
      </c>
      <c r="S555" s="6">
        <v>2E-3</v>
      </c>
      <c r="T555" s="4">
        <v>0</v>
      </c>
    </row>
    <row r="556" spans="1:20" ht="18" x14ac:dyDescent="0.2">
      <c r="A556" s="4" t="s">
        <v>1735</v>
      </c>
      <c r="B556" s="4" t="s">
        <v>2404</v>
      </c>
      <c r="C556" s="4" t="s">
        <v>52</v>
      </c>
      <c r="D556" s="4">
        <v>1</v>
      </c>
      <c r="E556" s="4" t="s">
        <v>97</v>
      </c>
      <c r="F556" s="4">
        <v>0</v>
      </c>
      <c r="G556" s="4">
        <v>2</v>
      </c>
      <c r="H556" s="4">
        <v>0</v>
      </c>
      <c r="I556" s="4">
        <v>0</v>
      </c>
      <c r="J556" s="5">
        <v>1.7544043999999999E-4</v>
      </c>
      <c r="K556" s="4">
        <v>0</v>
      </c>
      <c r="L556" s="4">
        <v>0</v>
      </c>
      <c r="M556" s="4">
        <v>0.1324004</v>
      </c>
      <c r="N556" s="4">
        <v>0</v>
      </c>
      <c r="O556" s="4">
        <v>0</v>
      </c>
      <c r="P556" s="4">
        <v>2</v>
      </c>
      <c r="Q556" s="4">
        <v>0</v>
      </c>
      <c r="R556" s="4">
        <v>0</v>
      </c>
      <c r="S556" s="6">
        <v>5.3999999999999999E-2</v>
      </c>
      <c r="T556" s="4">
        <v>0</v>
      </c>
    </row>
    <row r="557" spans="1:20" ht="18" x14ac:dyDescent="0.2">
      <c r="A557" s="4" t="s">
        <v>1736</v>
      </c>
      <c r="B557" s="4" t="s">
        <v>2405</v>
      </c>
      <c r="C557" s="4" t="s">
        <v>52</v>
      </c>
      <c r="D557" s="4">
        <v>1</v>
      </c>
      <c r="E557" s="4" t="s">
        <v>97</v>
      </c>
      <c r="F557" s="4">
        <v>0</v>
      </c>
      <c r="G557" s="4">
        <v>3</v>
      </c>
      <c r="H557" s="4">
        <v>0</v>
      </c>
      <c r="I557" s="4">
        <v>0</v>
      </c>
      <c r="J557" s="5">
        <v>5.1378980000000001E-4</v>
      </c>
      <c r="K557" s="4">
        <v>0</v>
      </c>
      <c r="L557" s="4">
        <v>0</v>
      </c>
      <c r="M557" s="4">
        <v>0.21898961</v>
      </c>
      <c r="N557" s="4">
        <v>0</v>
      </c>
      <c r="O557" s="4">
        <v>0</v>
      </c>
      <c r="P557" s="4">
        <v>5</v>
      </c>
      <c r="Q557" s="4">
        <v>0</v>
      </c>
      <c r="R557" s="4">
        <v>0</v>
      </c>
      <c r="S557" s="6">
        <v>8.5999999999999993E-2</v>
      </c>
      <c r="T557" s="4">
        <v>0</v>
      </c>
    </row>
    <row r="558" spans="1:20" ht="18" x14ac:dyDescent="0.2">
      <c r="A558" s="4" t="s">
        <v>1737</v>
      </c>
      <c r="B558" s="4" t="s">
        <v>2406</v>
      </c>
      <c r="C558" s="4" t="s">
        <v>2072</v>
      </c>
      <c r="D558" s="4">
        <v>1</v>
      </c>
      <c r="E558" s="4" t="s">
        <v>97</v>
      </c>
      <c r="F558" s="4">
        <v>0</v>
      </c>
      <c r="G558" s="4">
        <v>3</v>
      </c>
      <c r="H558" s="4">
        <v>0</v>
      </c>
      <c r="I558" s="4">
        <v>0</v>
      </c>
      <c r="J558" s="5">
        <v>1.3444967999999999E-4</v>
      </c>
      <c r="K558" s="4">
        <v>0</v>
      </c>
      <c r="L558" s="4">
        <v>0</v>
      </c>
      <c r="M558" s="4">
        <v>6.6596150000000007E-2</v>
      </c>
      <c r="N558" s="4">
        <v>0</v>
      </c>
      <c r="O558" s="4">
        <v>0</v>
      </c>
      <c r="P558" s="4">
        <v>4</v>
      </c>
      <c r="Q558" s="4">
        <v>0</v>
      </c>
      <c r="R558" s="4">
        <v>0</v>
      </c>
      <c r="S558" s="6">
        <v>2.8000000000000001E-2</v>
      </c>
      <c r="T558" s="4">
        <v>0</v>
      </c>
    </row>
    <row r="559" spans="1:20" ht="18" x14ac:dyDescent="0.2">
      <c r="A559" s="4" t="s">
        <v>1738</v>
      </c>
      <c r="B559" s="4" t="s">
        <v>2407</v>
      </c>
      <c r="C559" s="4" t="s">
        <v>2028</v>
      </c>
      <c r="D559" s="4">
        <v>1</v>
      </c>
      <c r="E559" s="4" t="s">
        <v>97</v>
      </c>
      <c r="F559" s="4">
        <v>0</v>
      </c>
      <c r="G559" s="4">
        <v>11</v>
      </c>
      <c r="H559" s="4">
        <v>0</v>
      </c>
      <c r="I559" s="4">
        <v>0</v>
      </c>
      <c r="J559" s="5">
        <v>6.181534E-4</v>
      </c>
      <c r="K559" s="4">
        <v>0</v>
      </c>
      <c r="L559" s="4">
        <v>0</v>
      </c>
      <c r="M559" s="4">
        <v>0.61807999999999996</v>
      </c>
      <c r="N559" s="4">
        <v>0</v>
      </c>
      <c r="O559" s="4">
        <v>0</v>
      </c>
      <c r="P559" s="4">
        <v>11</v>
      </c>
      <c r="Q559" s="4">
        <v>0</v>
      </c>
      <c r="R559" s="4">
        <v>0</v>
      </c>
      <c r="S559" s="6">
        <v>0.20899999999999999</v>
      </c>
      <c r="T559" s="4">
        <v>0</v>
      </c>
    </row>
    <row r="560" spans="1:20" ht="18" x14ac:dyDescent="0.2">
      <c r="A560" s="4" t="s">
        <v>1739</v>
      </c>
      <c r="B560" s="4" t="s">
        <v>2026</v>
      </c>
      <c r="C560" s="4" t="s">
        <v>2028</v>
      </c>
      <c r="D560" s="4">
        <v>1</v>
      </c>
      <c r="E560" s="4" t="s">
        <v>97</v>
      </c>
      <c r="F560" s="4">
        <v>0</v>
      </c>
      <c r="G560" s="4">
        <v>3</v>
      </c>
      <c r="H560" s="4">
        <v>0</v>
      </c>
      <c r="I560" s="4">
        <v>0</v>
      </c>
      <c r="J560" s="5">
        <v>4.6109347E-4</v>
      </c>
      <c r="K560" s="4">
        <v>0</v>
      </c>
      <c r="L560" s="4">
        <v>0</v>
      </c>
      <c r="M560" s="4">
        <v>0.37088179999999998</v>
      </c>
      <c r="N560" s="4">
        <v>0</v>
      </c>
      <c r="O560" s="4">
        <v>0</v>
      </c>
      <c r="P560" s="4">
        <v>3</v>
      </c>
      <c r="Q560" s="4">
        <v>0</v>
      </c>
      <c r="R560" s="4">
        <v>0</v>
      </c>
      <c r="S560" s="6">
        <v>0.13700000000000001</v>
      </c>
      <c r="T560" s="4">
        <v>0</v>
      </c>
    </row>
    <row r="561" spans="1:20" ht="18" x14ac:dyDescent="0.2">
      <c r="A561" s="4" t="s">
        <v>1740</v>
      </c>
      <c r="B561" s="4" t="s">
        <v>2408</v>
      </c>
      <c r="C561" s="4" t="s">
        <v>2028</v>
      </c>
      <c r="D561" s="4">
        <v>1</v>
      </c>
      <c r="E561" s="4" t="s">
        <v>97</v>
      </c>
      <c r="F561" s="4">
        <v>0</v>
      </c>
      <c r="G561" s="4">
        <v>2</v>
      </c>
      <c r="H561" s="4">
        <v>0</v>
      </c>
      <c r="I561" s="4">
        <v>0</v>
      </c>
      <c r="J561" s="5">
        <v>1.444389E-4</v>
      </c>
      <c r="K561" s="4">
        <v>0</v>
      </c>
      <c r="L561" s="4">
        <v>0</v>
      </c>
      <c r="M561" s="4">
        <v>0.13762724000000001</v>
      </c>
      <c r="N561" s="4">
        <v>0</v>
      </c>
      <c r="O561" s="4">
        <v>0</v>
      </c>
      <c r="P561" s="4">
        <v>2</v>
      </c>
      <c r="Q561" s="4">
        <v>0</v>
      </c>
      <c r="R561" s="4">
        <v>0</v>
      </c>
      <c r="S561" s="6">
        <v>5.6000000000000001E-2</v>
      </c>
      <c r="T561" s="4">
        <v>0</v>
      </c>
    </row>
    <row r="562" spans="1:20" ht="18" x14ac:dyDescent="0.2">
      <c r="A562" s="4" t="s">
        <v>1741</v>
      </c>
      <c r="B562" s="4" t="s">
        <v>2024</v>
      </c>
      <c r="C562" s="4" t="s">
        <v>2028</v>
      </c>
      <c r="D562" s="4">
        <v>1</v>
      </c>
      <c r="E562" s="4" t="s">
        <v>97</v>
      </c>
      <c r="F562" s="4">
        <v>0</v>
      </c>
      <c r="G562" s="4">
        <v>2</v>
      </c>
      <c r="H562" s="4">
        <v>0</v>
      </c>
      <c r="I562" s="4">
        <v>0</v>
      </c>
      <c r="J562" s="5">
        <v>2.9263863000000002E-5</v>
      </c>
      <c r="K562" s="4">
        <v>0</v>
      </c>
      <c r="L562" s="4">
        <v>0</v>
      </c>
      <c r="M562" s="4">
        <v>5.1961899999999998E-2</v>
      </c>
      <c r="N562" s="4">
        <v>0</v>
      </c>
      <c r="O562" s="4">
        <v>0</v>
      </c>
      <c r="P562" s="4">
        <v>2</v>
      </c>
      <c r="Q562" s="4">
        <v>0</v>
      </c>
      <c r="R562" s="4">
        <v>0</v>
      </c>
      <c r="S562" s="6">
        <v>2.1999999999999999E-2</v>
      </c>
      <c r="T562" s="4">
        <v>0</v>
      </c>
    </row>
    <row r="563" spans="1:20" ht="18" x14ac:dyDescent="0.2">
      <c r="A563" s="4" t="s">
        <v>1742</v>
      </c>
      <c r="B563" s="4" t="s">
        <v>2409</v>
      </c>
      <c r="C563" s="4" t="s">
        <v>2028</v>
      </c>
      <c r="D563" s="4">
        <v>1</v>
      </c>
      <c r="E563" s="4" t="s">
        <v>97</v>
      </c>
      <c r="F563" s="4">
        <v>0</v>
      </c>
      <c r="G563" s="4">
        <v>6</v>
      </c>
      <c r="H563" s="4">
        <v>0</v>
      </c>
      <c r="I563" s="4">
        <v>0</v>
      </c>
      <c r="J563" s="4">
        <v>1.0578026E-3</v>
      </c>
      <c r="K563" s="4">
        <v>0</v>
      </c>
      <c r="L563" s="4">
        <v>0</v>
      </c>
      <c r="M563" s="4">
        <v>0.79887090000000005</v>
      </c>
      <c r="N563" s="4">
        <v>0</v>
      </c>
      <c r="O563" s="4">
        <v>0</v>
      </c>
      <c r="P563" s="4">
        <v>6</v>
      </c>
      <c r="Q563" s="4">
        <v>0</v>
      </c>
      <c r="R563" s="4">
        <v>0</v>
      </c>
      <c r="S563" s="6">
        <v>0.255</v>
      </c>
      <c r="T563" s="4">
        <v>0</v>
      </c>
    </row>
    <row r="564" spans="1:20" ht="18" x14ac:dyDescent="0.2">
      <c r="A564" s="4" t="s">
        <v>1743</v>
      </c>
      <c r="B564" s="4" t="s">
        <v>2410</v>
      </c>
      <c r="C564" s="4" t="s">
        <v>2028</v>
      </c>
      <c r="D564" s="4">
        <v>1</v>
      </c>
      <c r="E564" s="4" t="s">
        <v>97</v>
      </c>
      <c r="F564" s="4">
        <v>0</v>
      </c>
      <c r="G564" s="4">
        <v>2</v>
      </c>
      <c r="H564" s="4">
        <v>0</v>
      </c>
      <c r="I564" s="4">
        <v>0</v>
      </c>
      <c r="J564" s="5">
        <v>1.5984573E-4</v>
      </c>
      <c r="K564" s="4">
        <v>0</v>
      </c>
      <c r="L564" s="4">
        <v>0</v>
      </c>
      <c r="M564" s="4">
        <v>9.6478224000000001E-2</v>
      </c>
      <c r="N564" s="4">
        <v>0</v>
      </c>
      <c r="O564" s="4">
        <v>0</v>
      </c>
      <c r="P564" s="4">
        <v>2</v>
      </c>
      <c r="Q564" s="4">
        <v>0</v>
      </c>
      <c r="R564" s="4">
        <v>0</v>
      </c>
      <c r="S564" s="6">
        <v>0.04</v>
      </c>
      <c r="T564" s="4">
        <v>0</v>
      </c>
    </row>
    <row r="565" spans="1:20" ht="18" x14ac:dyDescent="0.2">
      <c r="A565" s="4" t="s">
        <v>1744</v>
      </c>
      <c r="B565" s="4" t="s">
        <v>2411</v>
      </c>
      <c r="C565" s="4" t="s">
        <v>2028</v>
      </c>
      <c r="D565" s="4">
        <v>1</v>
      </c>
      <c r="E565" s="4" t="s">
        <v>97</v>
      </c>
      <c r="F565" s="4">
        <v>0</v>
      </c>
      <c r="G565" s="4">
        <v>2</v>
      </c>
      <c r="H565" s="4">
        <v>0</v>
      </c>
      <c r="I565" s="4">
        <v>0</v>
      </c>
      <c r="J565" s="5">
        <v>2.3203412E-4</v>
      </c>
      <c r="K565" s="4">
        <v>0</v>
      </c>
      <c r="L565" s="4">
        <v>0</v>
      </c>
      <c r="M565" s="4">
        <v>0.21338879999999999</v>
      </c>
      <c r="N565" s="4">
        <v>0</v>
      </c>
      <c r="O565" s="4">
        <v>0</v>
      </c>
      <c r="P565" s="4">
        <v>2</v>
      </c>
      <c r="Q565" s="4">
        <v>0</v>
      </c>
      <c r="R565" s="4">
        <v>0</v>
      </c>
      <c r="S565" s="6">
        <v>8.4000000000000005E-2</v>
      </c>
      <c r="T565" s="4">
        <v>0</v>
      </c>
    </row>
    <row r="566" spans="1:20" ht="18" x14ac:dyDescent="0.2">
      <c r="A566" s="4" t="s">
        <v>1745</v>
      </c>
      <c r="B566" s="4" t="s">
        <v>2160</v>
      </c>
      <c r="C566" s="4" t="s">
        <v>2028</v>
      </c>
      <c r="D566" s="4">
        <v>1</v>
      </c>
      <c r="E566" s="4" t="s">
        <v>97</v>
      </c>
      <c r="F566" s="4">
        <v>0</v>
      </c>
      <c r="G566" s="4">
        <v>6</v>
      </c>
      <c r="H566" s="4">
        <v>0</v>
      </c>
      <c r="I566" s="4">
        <v>0</v>
      </c>
      <c r="J566" s="4">
        <v>3.8842515000000002E-3</v>
      </c>
      <c r="K566" s="4">
        <v>0</v>
      </c>
      <c r="L566" s="4">
        <v>0</v>
      </c>
      <c r="M566" s="4">
        <v>0.39315676999999999</v>
      </c>
      <c r="N566" s="4">
        <v>0</v>
      </c>
      <c r="O566" s="4">
        <v>0</v>
      </c>
      <c r="P566" s="4">
        <v>27</v>
      </c>
      <c r="Q566" s="4">
        <v>0</v>
      </c>
      <c r="R566" s="4">
        <v>0</v>
      </c>
      <c r="S566" s="6">
        <v>0.14399999999999999</v>
      </c>
      <c r="T566" s="4">
        <v>0</v>
      </c>
    </row>
    <row r="567" spans="1:20" ht="18" x14ac:dyDescent="0.2">
      <c r="A567" s="4" t="s">
        <v>1746</v>
      </c>
      <c r="B567" s="4" t="s">
        <v>2024</v>
      </c>
      <c r="C567" s="4" t="s">
        <v>2028</v>
      </c>
      <c r="D567" s="4">
        <v>1</v>
      </c>
      <c r="E567" s="4" t="s">
        <v>97</v>
      </c>
      <c r="F567" s="4">
        <v>0</v>
      </c>
      <c r="G567" s="4">
        <v>2</v>
      </c>
      <c r="H567" s="4">
        <v>0</v>
      </c>
      <c r="I567" s="4">
        <v>0</v>
      </c>
      <c r="J567" s="5">
        <v>2.9383407E-5</v>
      </c>
      <c r="K567" s="4">
        <v>0</v>
      </c>
      <c r="L567" s="4">
        <v>0</v>
      </c>
      <c r="M567" s="4">
        <v>5.1961899999999998E-2</v>
      </c>
      <c r="N567" s="4">
        <v>0</v>
      </c>
      <c r="O567" s="4">
        <v>0</v>
      </c>
      <c r="P567" s="4">
        <v>2</v>
      </c>
      <c r="Q567" s="4">
        <v>0</v>
      </c>
      <c r="R567" s="4">
        <v>0</v>
      </c>
      <c r="S567" s="6">
        <v>2.1999999999999999E-2</v>
      </c>
      <c r="T567" s="4">
        <v>0</v>
      </c>
    </row>
    <row r="568" spans="1:20" ht="18" x14ac:dyDescent="0.2">
      <c r="A568" s="4" t="s">
        <v>1747</v>
      </c>
      <c r="B568" s="4" t="s">
        <v>2412</v>
      </c>
      <c r="C568" s="4" t="s">
        <v>2028</v>
      </c>
      <c r="D568" s="4">
        <v>1</v>
      </c>
      <c r="E568" s="4" t="s">
        <v>97</v>
      </c>
      <c r="F568" s="4">
        <v>0</v>
      </c>
      <c r="G568" s="4">
        <v>3</v>
      </c>
      <c r="H568" s="4">
        <v>0</v>
      </c>
      <c r="I568" s="4">
        <v>0</v>
      </c>
      <c r="J568" s="5">
        <v>9.5314370000000001E-5</v>
      </c>
      <c r="K568" s="4">
        <v>0</v>
      </c>
      <c r="L568" s="4">
        <v>0</v>
      </c>
      <c r="M568" s="4">
        <v>7.1519256000000003E-2</v>
      </c>
      <c r="N568" s="4">
        <v>0</v>
      </c>
      <c r="O568" s="4">
        <v>0</v>
      </c>
      <c r="P568" s="4">
        <v>3</v>
      </c>
      <c r="Q568" s="4">
        <v>0</v>
      </c>
      <c r="R568" s="4">
        <v>0</v>
      </c>
      <c r="S568" s="6">
        <v>0.03</v>
      </c>
      <c r="T568" s="4">
        <v>0</v>
      </c>
    </row>
    <row r="569" spans="1:20" ht="18" x14ac:dyDescent="0.2">
      <c r="A569" s="4" t="s">
        <v>1748</v>
      </c>
      <c r="B569" s="4" t="s">
        <v>2026</v>
      </c>
      <c r="C569" s="4" t="s">
        <v>2028</v>
      </c>
      <c r="D569" s="4">
        <v>1</v>
      </c>
      <c r="E569" s="4" t="s">
        <v>97</v>
      </c>
      <c r="F569" s="4">
        <v>0</v>
      </c>
      <c r="G569" s="4">
        <v>3</v>
      </c>
      <c r="H569" s="4">
        <v>0</v>
      </c>
      <c r="I569" s="4">
        <v>0</v>
      </c>
      <c r="J569" s="5">
        <v>5.994215E-4</v>
      </c>
      <c r="K569" s="4">
        <v>0</v>
      </c>
      <c r="L569" s="4">
        <v>0</v>
      </c>
      <c r="M569" s="4">
        <v>0.35831343999999998</v>
      </c>
      <c r="N569" s="4">
        <v>0</v>
      </c>
      <c r="O569" s="4">
        <v>0</v>
      </c>
      <c r="P569" s="4">
        <v>4</v>
      </c>
      <c r="Q569" s="4">
        <v>0</v>
      </c>
      <c r="R569" s="4">
        <v>0</v>
      </c>
      <c r="S569" s="6">
        <v>0.13300000000000001</v>
      </c>
      <c r="T569" s="4">
        <v>0</v>
      </c>
    </row>
    <row r="570" spans="1:20" ht="18" x14ac:dyDescent="0.2">
      <c r="A570" s="4" t="s">
        <v>1749</v>
      </c>
      <c r="B570" s="4" t="s">
        <v>2413</v>
      </c>
      <c r="C570" s="4" t="s">
        <v>2028</v>
      </c>
      <c r="D570" s="4">
        <v>1</v>
      </c>
      <c r="E570" s="4" t="s">
        <v>97</v>
      </c>
      <c r="F570" s="4">
        <v>0</v>
      </c>
      <c r="G570" s="4">
        <v>2</v>
      </c>
      <c r="H570" s="4">
        <v>0</v>
      </c>
      <c r="I570" s="4">
        <v>0</v>
      </c>
      <c r="J570" s="5">
        <v>2.3203412E-4</v>
      </c>
      <c r="K570" s="4">
        <v>0</v>
      </c>
      <c r="L570" s="4">
        <v>0</v>
      </c>
      <c r="M570" s="4">
        <v>0.21338879999999999</v>
      </c>
      <c r="N570" s="4">
        <v>0</v>
      </c>
      <c r="O570" s="4">
        <v>0</v>
      </c>
      <c r="P570" s="4">
        <v>2</v>
      </c>
      <c r="Q570" s="4">
        <v>0</v>
      </c>
      <c r="R570" s="4">
        <v>0</v>
      </c>
      <c r="S570" s="6">
        <v>8.4000000000000005E-2</v>
      </c>
      <c r="T570" s="4">
        <v>0</v>
      </c>
    </row>
    <row r="571" spans="1:20" ht="18" x14ac:dyDescent="0.2">
      <c r="A571" s="4" t="s">
        <v>1750</v>
      </c>
      <c r="B571" s="4" t="s">
        <v>2414</v>
      </c>
      <c r="C571" s="4" t="s">
        <v>2028</v>
      </c>
      <c r="D571" s="4">
        <v>1</v>
      </c>
      <c r="E571" s="4" t="s">
        <v>97</v>
      </c>
      <c r="F571" s="4">
        <v>0</v>
      </c>
      <c r="G571" s="4">
        <v>2</v>
      </c>
      <c r="H571" s="4">
        <v>0</v>
      </c>
      <c r="I571" s="4">
        <v>0</v>
      </c>
      <c r="J571" s="5">
        <v>2.3054674000000001E-4</v>
      </c>
      <c r="K571" s="4">
        <v>0</v>
      </c>
      <c r="L571" s="4">
        <v>0</v>
      </c>
      <c r="M571" s="4">
        <v>0.21059811000000001</v>
      </c>
      <c r="N571" s="4">
        <v>0</v>
      </c>
      <c r="O571" s="4">
        <v>0</v>
      </c>
      <c r="P571" s="4">
        <v>2</v>
      </c>
      <c r="Q571" s="4">
        <v>0</v>
      </c>
      <c r="R571" s="4">
        <v>0</v>
      </c>
      <c r="S571" s="6">
        <v>8.3000000000000004E-2</v>
      </c>
      <c r="T571" s="4">
        <v>0</v>
      </c>
    </row>
    <row r="572" spans="1:20" ht="18" x14ac:dyDescent="0.2">
      <c r="A572" s="4" t="s">
        <v>1751</v>
      </c>
      <c r="B572" s="4" t="s">
        <v>2026</v>
      </c>
      <c r="C572" s="7" t="s">
        <v>2028</v>
      </c>
      <c r="D572" s="4">
        <v>1</v>
      </c>
      <c r="E572" s="4" t="s">
        <v>97</v>
      </c>
      <c r="F572" s="4">
        <v>0</v>
      </c>
      <c r="G572" s="4">
        <v>2</v>
      </c>
      <c r="H572" s="4">
        <v>0</v>
      </c>
      <c r="I572" s="4">
        <v>0</v>
      </c>
      <c r="J572" s="5">
        <v>3.5492059999999998E-4</v>
      </c>
      <c r="K572" s="4">
        <v>0</v>
      </c>
      <c r="L572" s="4">
        <v>0</v>
      </c>
      <c r="M572" s="4">
        <v>0.25602996</v>
      </c>
      <c r="N572" s="4">
        <v>0</v>
      </c>
      <c r="O572" s="4">
        <v>0</v>
      </c>
      <c r="P572" s="4">
        <v>3</v>
      </c>
      <c r="Q572" s="4">
        <v>0</v>
      </c>
      <c r="R572" s="4">
        <v>0</v>
      </c>
      <c r="S572" s="6">
        <v>9.9000000000000005E-2</v>
      </c>
      <c r="T572" s="4">
        <v>0</v>
      </c>
    </row>
    <row r="573" spans="1:20" ht="18" x14ac:dyDescent="0.2">
      <c r="A573" s="4" t="s">
        <v>1752</v>
      </c>
      <c r="B573" s="4" t="s">
        <v>2112</v>
      </c>
      <c r="C573" s="7" t="s">
        <v>2028</v>
      </c>
      <c r="D573" s="4">
        <v>1</v>
      </c>
      <c r="E573" s="4" t="s">
        <v>97</v>
      </c>
      <c r="F573" s="4">
        <v>0</v>
      </c>
      <c r="G573" s="4">
        <v>2</v>
      </c>
      <c r="H573" s="4">
        <v>0</v>
      </c>
      <c r="I573" s="4">
        <v>0</v>
      </c>
      <c r="J573" s="5">
        <v>2.3203412E-4</v>
      </c>
      <c r="K573" s="4">
        <v>0</v>
      </c>
      <c r="L573" s="4">
        <v>0</v>
      </c>
      <c r="M573" s="4">
        <v>0.21338879999999999</v>
      </c>
      <c r="N573" s="4">
        <v>0</v>
      </c>
      <c r="O573" s="4">
        <v>0</v>
      </c>
      <c r="P573" s="4">
        <v>2</v>
      </c>
      <c r="Q573" s="4">
        <v>0</v>
      </c>
      <c r="R573" s="4">
        <v>0</v>
      </c>
      <c r="S573" s="6">
        <v>8.4000000000000005E-2</v>
      </c>
      <c r="T573" s="4">
        <v>0</v>
      </c>
    </row>
    <row r="574" spans="1:20" ht="18" x14ac:dyDescent="0.2">
      <c r="A574" s="4" t="s">
        <v>1753</v>
      </c>
      <c r="B574" s="4" t="s">
        <v>2026</v>
      </c>
      <c r="C574" s="7" t="s">
        <v>2028</v>
      </c>
      <c r="D574" s="4">
        <v>1</v>
      </c>
      <c r="E574" s="4" t="s">
        <v>97</v>
      </c>
      <c r="F574" s="4">
        <v>0</v>
      </c>
      <c r="G574" s="4">
        <v>3</v>
      </c>
      <c r="H574" s="4">
        <v>0</v>
      </c>
      <c r="I574" s="4">
        <v>0</v>
      </c>
      <c r="J574" s="5">
        <v>5.3150669999999997E-4</v>
      </c>
      <c r="K574" s="4">
        <v>0</v>
      </c>
      <c r="L574" s="4">
        <v>0</v>
      </c>
      <c r="M574" s="4">
        <v>0.19949937000000001</v>
      </c>
      <c r="N574" s="4">
        <v>0</v>
      </c>
      <c r="O574" s="4">
        <v>0</v>
      </c>
      <c r="P574" s="4">
        <v>6</v>
      </c>
      <c r="Q574" s="4">
        <v>0</v>
      </c>
      <c r="R574" s="4">
        <v>0</v>
      </c>
      <c r="S574" s="6">
        <v>7.9000000000000001E-2</v>
      </c>
      <c r="T574" s="4">
        <v>0</v>
      </c>
    </row>
    <row r="575" spans="1:20" ht="18" x14ac:dyDescent="0.2">
      <c r="A575" s="4" t="s">
        <v>1754</v>
      </c>
      <c r="B575" s="4" t="s">
        <v>2415</v>
      </c>
      <c r="C575" s="7" t="s">
        <v>2028</v>
      </c>
      <c r="D575" s="4">
        <v>1</v>
      </c>
      <c r="E575" s="4" t="s">
        <v>97</v>
      </c>
      <c r="F575" s="4">
        <v>0</v>
      </c>
      <c r="G575" s="4">
        <v>2</v>
      </c>
      <c r="H575" s="4">
        <v>0</v>
      </c>
      <c r="I575" s="4">
        <v>0</v>
      </c>
      <c r="J575" s="5">
        <v>2.3054674000000001E-4</v>
      </c>
      <c r="K575" s="4">
        <v>0</v>
      </c>
      <c r="L575" s="4">
        <v>0</v>
      </c>
      <c r="M575" s="4">
        <v>0.21059811000000001</v>
      </c>
      <c r="N575" s="4">
        <v>0</v>
      </c>
      <c r="O575" s="4">
        <v>0</v>
      </c>
      <c r="P575" s="4">
        <v>2</v>
      </c>
      <c r="Q575" s="4">
        <v>0</v>
      </c>
      <c r="R575" s="4">
        <v>0</v>
      </c>
      <c r="S575" s="6">
        <v>8.3000000000000004E-2</v>
      </c>
      <c r="T575" s="4">
        <v>0</v>
      </c>
    </row>
    <row r="576" spans="1:20" ht="18" x14ac:dyDescent="0.2">
      <c r="A576" s="4" t="s">
        <v>1755</v>
      </c>
      <c r="B576" s="4" t="s">
        <v>2112</v>
      </c>
      <c r="C576" s="7" t="s">
        <v>2028</v>
      </c>
      <c r="D576" s="4">
        <v>1</v>
      </c>
      <c r="E576" s="4" t="s">
        <v>97</v>
      </c>
      <c r="F576" s="4">
        <v>0</v>
      </c>
      <c r="G576" s="4">
        <v>2</v>
      </c>
      <c r="H576" s="4">
        <v>0</v>
      </c>
      <c r="I576" s="4">
        <v>0</v>
      </c>
      <c r="J576" s="5">
        <v>2.3354083999999999E-4</v>
      </c>
      <c r="K576" s="4">
        <v>0</v>
      </c>
      <c r="L576" s="4">
        <v>0</v>
      </c>
      <c r="M576" s="4">
        <v>0.21338879999999999</v>
      </c>
      <c r="N576" s="4">
        <v>0</v>
      </c>
      <c r="O576" s="4">
        <v>0</v>
      </c>
      <c r="P576" s="4">
        <v>2</v>
      </c>
      <c r="Q576" s="4">
        <v>0</v>
      </c>
      <c r="R576" s="4">
        <v>0</v>
      </c>
      <c r="S576" s="6">
        <v>8.4000000000000005E-2</v>
      </c>
      <c r="T576" s="4">
        <v>0</v>
      </c>
    </row>
    <row r="577" spans="1:20" ht="18" x14ac:dyDescent="0.2">
      <c r="A577" s="4" t="s">
        <v>1756</v>
      </c>
      <c r="B577" s="4" t="s">
        <v>2026</v>
      </c>
      <c r="C577" s="7" t="s">
        <v>2028</v>
      </c>
      <c r="D577" s="4">
        <v>1</v>
      </c>
      <c r="E577" s="4" t="s">
        <v>97</v>
      </c>
      <c r="F577" s="4">
        <v>0</v>
      </c>
      <c r="G577" s="4">
        <v>9</v>
      </c>
      <c r="H577" s="4">
        <v>0</v>
      </c>
      <c r="I577" s="4">
        <v>0</v>
      </c>
      <c r="J577" s="5">
        <v>6.3468159999999999E-4</v>
      </c>
      <c r="K577" s="4">
        <v>0</v>
      </c>
      <c r="L577" s="4">
        <v>0</v>
      </c>
      <c r="M577" s="4">
        <v>0.38356637999999998</v>
      </c>
      <c r="N577" s="4">
        <v>0</v>
      </c>
      <c r="O577" s="4">
        <v>0</v>
      </c>
      <c r="P577" s="4">
        <v>9</v>
      </c>
      <c r="Q577" s="4">
        <v>0</v>
      </c>
      <c r="R577" s="4">
        <v>0</v>
      </c>
      <c r="S577" s="6">
        <v>0.14099999999999999</v>
      </c>
      <c r="T577" s="4">
        <v>0</v>
      </c>
    </row>
    <row r="578" spans="1:20" ht="18" x14ac:dyDescent="0.2">
      <c r="A578" s="4" t="s">
        <v>1757</v>
      </c>
      <c r="B578" s="4" t="s">
        <v>2112</v>
      </c>
      <c r="C578" s="7" t="s">
        <v>2028</v>
      </c>
      <c r="D578" s="4">
        <v>1</v>
      </c>
      <c r="E578" s="4" t="s">
        <v>97</v>
      </c>
      <c r="F578" s="4">
        <v>0</v>
      </c>
      <c r="G578" s="4">
        <v>2</v>
      </c>
      <c r="H578" s="4">
        <v>0</v>
      </c>
      <c r="I578" s="4">
        <v>0</v>
      </c>
      <c r="J578" s="5">
        <v>2.3354083999999999E-4</v>
      </c>
      <c r="K578" s="4">
        <v>0</v>
      </c>
      <c r="L578" s="4">
        <v>0</v>
      </c>
      <c r="M578" s="4">
        <v>0.21338879999999999</v>
      </c>
      <c r="N578" s="4">
        <v>0</v>
      </c>
      <c r="O578" s="4">
        <v>0</v>
      </c>
      <c r="P578" s="4">
        <v>2</v>
      </c>
      <c r="Q578" s="4">
        <v>0</v>
      </c>
      <c r="R578" s="4">
        <v>0</v>
      </c>
      <c r="S578" s="6">
        <v>8.4000000000000005E-2</v>
      </c>
      <c r="T578" s="4">
        <v>0</v>
      </c>
    </row>
    <row r="579" spans="1:20" ht="18" x14ac:dyDescent="0.2">
      <c r="A579" s="4" t="s">
        <v>1758</v>
      </c>
      <c r="B579" s="4" t="s">
        <v>2416</v>
      </c>
      <c r="C579" s="7" t="s">
        <v>2028</v>
      </c>
      <c r="D579" s="4">
        <v>1</v>
      </c>
      <c r="E579" s="4" t="s">
        <v>97</v>
      </c>
      <c r="F579" s="4">
        <v>0</v>
      </c>
      <c r="G579" s="4">
        <v>2</v>
      </c>
      <c r="H579" s="4">
        <v>0</v>
      </c>
      <c r="I579" s="4">
        <v>0</v>
      </c>
      <c r="J579" s="5">
        <v>1.4800530000000001E-4</v>
      </c>
      <c r="K579" s="4">
        <v>0</v>
      </c>
      <c r="L579" s="4">
        <v>0</v>
      </c>
      <c r="M579" s="4">
        <v>0.14287830000000001</v>
      </c>
      <c r="N579" s="4">
        <v>0</v>
      </c>
      <c r="O579" s="4">
        <v>0</v>
      </c>
      <c r="P579" s="4">
        <v>2</v>
      </c>
      <c r="Q579" s="4">
        <v>0</v>
      </c>
      <c r="R579" s="4">
        <v>0</v>
      </c>
      <c r="S579" s="6">
        <v>5.8000000000000003E-2</v>
      </c>
      <c r="T579" s="4">
        <v>0</v>
      </c>
    </row>
    <row r="580" spans="1:20" ht="18" x14ac:dyDescent="0.2">
      <c r="A580" s="4" t="s">
        <v>1759</v>
      </c>
      <c r="B580" s="4" t="s">
        <v>2112</v>
      </c>
      <c r="C580" s="4" t="s">
        <v>2028</v>
      </c>
      <c r="D580" s="4">
        <v>1</v>
      </c>
      <c r="E580" s="4" t="s">
        <v>97</v>
      </c>
      <c r="F580" s="4">
        <v>0</v>
      </c>
      <c r="G580" s="4">
        <v>2</v>
      </c>
      <c r="H580" s="4">
        <v>0</v>
      </c>
      <c r="I580" s="4">
        <v>0</v>
      </c>
      <c r="J580" s="5">
        <v>2.3203412E-4</v>
      </c>
      <c r="K580" s="4">
        <v>0</v>
      </c>
      <c r="L580" s="4">
        <v>0</v>
      </c>
      <c r="M580" s="4">
        <v>0.21338879999999999</v>
      </c>
      <c r="N580" s="4">
        <v>0</v>
      </c>
      <c r="O580" s="4">
        <v>0</v>
      </c>
      <c r="P580" s="4">
        <v>2</v>
      </c>
      <c r="Q580" s="4">
        <v>0</v>
      </c>
      <c r="R580" s="4">
        <v>0</v>
      </c>
      <c r="S580" s="6">
        <v>8.4000000000000005E-2</v>
      </c>
      <c r="T580" s="4">
        <v>0</v>
      </c>
    </row>
    <row r="581" spans="1:20" ht="18" x14ac:dyDescent="0.2">
      <c r="A581" s="4" t="s">
        <v>1760</v>
      </c>
      <c r="B581" s="4" t="s">
        <v>2024</v>
      </c>
      <c r="C581" s="7" t="s">
        <v>2028</v>
      </c>
      <c r="D581" s="4">
        <v>1</v>
      </c>
      <c r="E581" s="4" t="s">
        <v>97</v>
      </c>
      <c r="F581" s="4">
        <v>0</v>
      </c>
      <c r="G581" s="4">
        <v>3</v>
      </c>
      <c r="H581" s="4">
        <v>0</v>
      </c>
      <c r="I581" s="4">
        <v>0</v>
      </c>
      <c r="J581" s="5">
        <v>1.7291005000000001E-4</v>
      </c>
      <c r="K581" s="4">
        <v>0</v>
      </c>
      <c r="L581" s="4">
        <v>0</v>
      </c>
      <c r="M581" s="4">
        <v>7.3989390000000002E-2</v>
      </c>
      <c r="N581" s="4">
        <v>0</v>
      </c>
      <c r="O581" s="4">
        <v>0</v>
      </c>
      <c r="P581" s="4">
        <v>5</v>
      </c>
      <c r="Q581" s="4">
        <v>0</v>
      </c>
      <c r="R581" s="4">
        <v>0</v>
      </c>
      <c r="S581" s="6">
        <v>3.1E-2</v>
      </c>
      <c r="T581" s="4">
        <v>0</v>
      </c>
    </row>
    <row r="582" spans="1:20" ht="18" x14ac:dyDescent="0.2">
      <c r="A582" s="4" t="s">
        <v>1761</v>
      </c>
      <c r="B582" s="4" t="s">
        <v>2112</v>
      </c>
      <c r="C582" s="7" t="s">
        <v>2028</v>
      </c>
      <c r="D582" s="4">
        <v>1</v>
      </c>
      <c r="E582" s="4" t="s">
        <v>97</v>
      </c>
      <c r="F582" s="4">
        <v>0</v>
      </c>
      <c r="G582" s="4">
        <v>2</v>
      </c>
      <c r="H582" s="4">
        <v>0</v>
      </c>
      <c r="I582" s="4">
        <v>0</v>
      </c>
      <c r="J582" s="5">
        <v>2.3054674000000001E-4</v>
      </c>
      <c r="K582" s="4">
        <v>0</v>
      </c>
      <c r="L582" s="4">
        <v>0</v>
      </c>
      <c r="M582" s="4">
        <v>0.21059811000000001</v>
      </c>
      <c r="N582" s="4">
        <v>0</v>
      </c>
      <c r="O582" s="4">
        <v>0</v>
      </c>
      <c r="P582" s="4">
        <v>2</v>
      </c>
      <c r="Q582" s="4">
        <v>0</v>
      </c>
      <c r="R582" s="4">
        <v>0</v>
      </c>
      <c r="S582" s="6">
        <v>8.3000000000000004E-2</v>
      </c>
      <c r="T582" s="4">
        <v>0</v>
      </c>
    </row>
    <row r="583" spans="1:20" ht="18" x14ac:dyDescent="0.2">
      <c r="A583" s="4" t="s">
        <v>1762</v>
      </c>
      <c r="B583" s="4" t="s">
        <v>2417</v>
      </c>
      <c r="C583" s="7" t="s">
        <v>2028</v>
      </c>
      <c r="D583" s="4">
        <v>1</v>
      </c>
      <c r="E583" s="4" t="s">
        <v>97</v>
      </c>
      <c r="F583" s="4">
        <v>0</v>
      </c>
      <c r="G583" s="4">
        <v>2</v>
      </c>
      <c r="H583" s="4">
        <v>0</v>
      </c>
      <c r="I583" s="4">
        <v>0</v>
      </c>
      <c r="J583" s="5">
        <v>2.3054674000000001E-4</v>
      </c>
      <c r="K583" s="4">
        <v>0</v>
      </c>
      <c r="L583" s="4">
        <v>0</v>
      </c>
      <c r="M583" s="4">
        <v>0.21059811000000001</v>
      </c>
      <c r="N583" s="4">
        <v>0</v>
      </c>
      <c r="O583" s="4">
        <v>0</v>
      </c>
      <c r="P583" s="4">
        <v>2</v>
      </c>
      <c r="Q583" s="4">
        <v>0</v>
      </c>
      <c r="R583" s="4">
        <v>0</v>
      </c>
      <c r="S583" s="6">
        <v>8.3000000000000004E-2</v>
      </c>
      <c r="T583" s="4">
        <v>0</v>
      </c>
    </row>
    <row r="584" spans="1:20" ht="18" x14ac:dyDescent="0.2">
      <c r="A584" s="4" t="s">
        <v>1763</v>
      </c>
      <c r="B584" s="4" t="s">
        <v>2418</v>
      </c>
      <c r="C584" s="7" t="s">
        <v>2028</v>
      </c>
      <c r="D584" s="4">
        <v>1</v>
      </c>
      <c r="E584" s="4" t="s">
        <v>97</v>
      </c>
      <c r="F584" s="4">
        <v>0</v>
      </c>
      <c r="G584" s="4">
        <v>2</v>
      </c>
      <c r="H584" s="4">
        <v>0</v>
      </c>
      <c r="I584" s="4">
        <v>0</v>
      </c>
      <c r="J584" s="5">
        <v>2.3054674000000001E-4</v>
      </c>
      <c r="K584" s="4">
        <v>0</v>
      </c>
      <c r="L584" s="4">
        <v>0</v>
      </c>
      <c r="M584" s="4">
        <v>0.21059811000000001</v>
      </c>
      <c r="N584" s="4">
        <v>0</v>
      </c>
      <c r="O584" s="4">
        <v>0</v>
      </c>
      <c r="P584" s="4">
        <v>2</v>
      </c>
      <c r="Q584" s="4">
        <v>0</v>
      </c>
      <c r="R584" s="4">
        <v>0</v>
      </c>
      <c r="S584" s="6">
        <v>8.3000000000000004E-2</v>
      </c>
      <c r="T584" s="4">
        <v>0</v>
      </c>
    </row>
    <row r="585" spans="1:20" ht="18" x14ac:dyDescent="0.2">
      <c r="A585" s="4" t="s">
        <v>1764</v>
      </c>
      <c r="B585" s="4" t="s">
        <v>2419</v>
      </c>
      <c r="C585" s="7" t="s">
        <v>2028</v>
      </c>
      <c r="D585" s="4">
        <v>1</v>
      </c>
      <c r="E585" s="4" t="s">
        <v>97</v>
      </c>
      <c r="F585" s="4">
        <v>0</v>
      </c>
      <c r="G585" s="4">
        <v>5</v>
      </c>
      <c r="H585" s="4">
        <v>0</v>
      </c>
      <c r="I585" s="4">
        <v>0</v>
      </c>
      <c r="J585" s="5">
        <v>4.795372E-4</v>
      </c>
      <c r="K585" s="4">
        <v>0</v>
      </c>
      <c r="L585" s="4">
        <v>0</v>
      </c>
      <c r="M585" s="4">
        <v>0.45881425999999997</v>
      </c>
      <c r="N585" s="4">
        <v>0</v>
      </c>
      <c r="O585" s="4">
        <v>0</v>
      </c>
      <c r="P585" s="4">
        <v>6</v>
      </c>
      <c r="Q585" s="4">
        <v>0</v>
      </c>
      <c r="R585" s="4">
        <v>0</v>
      </c>
      <c r="S585" s="6">
        <v>0.16400000000000001</v>
      </c>
      <c r="T585" s="4">
        <v>0</v>
      </c>
    </row>
    <row r="586" spans="1:20" ht="18" x14ac:dyDescent="0.2">
      <c r="A586" s="4" t="s">
        <v>1765</v>
      </c>
      <c r="B586" s="4" t="s">
        <v>2420</v>
      </c>
      <c r="C586" s="7" t="s">
        <v>2028</v>
      </c>
      <c r="D586" s="4">
        <v>1</v>
      </c>
      <c r="E586" s="4" t="s">
        <v>97</v>
      </c>
      <c r="F586" s="4">
        <v>0</v>
      </c>
      <c r="G586" s="4">
        <v>2</v>
      </c>
      <c r="H586" s="4">
        <v>0</v>
      </c>
      <c r="I586" s="4">
        <v>0</v>
      </c>
      <c r="J586" s="5">
        <v>2.3054674000000001E-4</v>
      </c>
      <c r="K586" s="4">
        <v>0</v>
      </c>
      <c r="L586" s="4">
        <v>0</v>
      </c>
      <c r="M586" s="4">
        <v>0.21059811000000001</v>
      </c>
      <c r="N586" s="4">
        <v>0</v>
      </c>
      <c r="O586" s="4">
        <v>0</v>
      </c>
      <c r="P586" s="4">
        <v>2</v>
      </c>
      <c r="Q586" s="4">
        <v>0</v>
      </c>
      <c r="R586" s="4">
        <v>0</v>
      </c>
      <c r="S586" s="6">
        <v>8.3000000000000004E-2</v>
      </c>
      <c r="T586" s="4">
        <v>0</v>
      </c>
    </row>
    <row r="587" spans="1:20" ht="18" x14ac:dyDescent="0.2">
      <c r="A587" s="4" t="s">
        <v>1766</v>
      </c>
      <c r="B587" s="4" t="s">
        <v>2160</v>
      </c>
      <c r="C587" s="7" t="s">
        <v>2028</v>
      </c>
      <c r="D587" s="4">
        <v>1</v>
      </c>
      <c r="E587" s="4" t="s">
        <v>97</v>
      </c>
      <c r="F587" s="4">
        <v>0</v>
      </c>
      <c r="G587" s="4">
        <v>3</v>
      </c>
      <c r="H587" s="4">
        <v>0</v>
      </c>
      <c r="I587" s="4">
        <v>0</v>
      </c>
      <c r="J587" s="5">
        <v>5.065534E-4</v>
      </c>
      <c r="K587" s="4">
        <v>0</v>
      </c>
      <c r="L587" s="4">
        <v>0</v>
      </c>
      <c r="M587" s="4">
        <v>0.29717934000000001</v>
      </c>
      <c r="N587" s="4">
        <v>0</v>
      </c>
      <c r="O587" s="4">
        <v>0</v>
      </c>
      <c r="P587" s="4">
        <v>4</v>
      </c>
      <c r="Q587" s="4">
        <v>0</v>
      </c>
      <c r="R587" s="4">
        <v>0</v>
      </c>
      <c r="S587" s="6">
        <v>0.113</v>
      </c>
      <c r="T587" s="4">
        <v>0</v>
      </c>
    </row>
    <row r="588" spans="1:20" ht="18" x14ac:dyDescent="0.2">
      <c r="A588" s="4" t="s">
        <v>1767</v>
      </c>
      <c r="B588" s="4" t="s">
        <v>2026</v>
      </c>
      <c r="C588" s="4" t="s">
        <v>2028</v>
      </c>
      <c r="D588" s="4">
        <v>1</v>
      </c>
      <c r="E588" s="4" t="s">
        <v>97</v>
      </c>
      <c r="F588" s="4">
        <v>0</v>
      </c>
      <c r="G588" s="4">
        <v>3</v>
      </c>
      <c r="H588" s="4">
        <v>0</v>
      </c>
      <c r="I588" s="4">
        <v>0</v>
      </c>
      <c r="J588" s="5">
        <v>4.4219617999999999E-4</v>
      </c>
      <c r="K588" s="4">
        <v>0</v>
      </c>
      <c r="L588" s="4">
        <v>0</v>
      </c>
      <c r="M588" s="4">
        <v>0.35207260000000001</v>
      </c>
      <c r="N588" s="4">
        <v>0</v>
      </c>
      <c r="O588" s="4">
        <v>0</v>
      </c>
      <c r="P588" s="4">
        <v>3</v>
      </c>
      <c r="Q588" s="4">
        <v>0</v>
      </c>
      <c r="R588" s="4">
        <v>0</v>
      </c>
      <c r="S588" s="6">
        <v>0.13100000000000001</v>
      </c>
      <c r="T588" s="4">
        <v>0</v>
      </c>
    </row>
    <row r="589" spans="1:20" ht="18" x14ac:dyDescent="0.2">
      <c r="A589" s="4" t="s">
        <v>1768</v>
      </c>
      <c r="B589" s="4" t="s">
        <v>2024</v>
      </c>
      <c r="C589" s="4" t="s">
        <v>2028</v>
      </c>
      <c r="D589" s="4">
        <v>1</v>
      </c>
      <c r="E589" s="4" t="s">
        <v>97</v>
      </c>
      <c r="F589" s="4">
        <v>0</v>
      </c>
      <c r="G589" s="4">
        <v>3</v>
      </c>
      <c r="H589" s="4">
        <v>0</v>
      </c>
      <c r="I589" s="4">
        <v>0</v>
      </c>
      <c r="J589" s="4">
        <v>1.2844747000000001E-3</v>
      </c>
      <c r="K589" s="4">
        <v>0</v>
      </c>
      <c r="L589" s="4">
        <v>0</v>
      </c>
      <c r="M589" s="4">
        <v>0.93196833000000001</v>
      </c>
      <c r="N589" s="4">
        <v>0</v>
      </c>
      <c r="O589" s="4">
        <v>0</v>
      </c>
      <c r="P589" s="4">
        <v>4</v>
      </c>
      <c r="Q589" s="4">
        <v>0</v>
      </c>
      <c r="R589" s="4">
        <v>0</v>
      </c>
      <c r="S589" s="6">
        <v>0.28599999999999998</v>
      </c>
      <c r="T589" s="4">
        <v>0</v>
      </c>
    </row>
    <row r="590" spans="1:20" ht="18" x14ac:dyDescent="0.2">
      <c r="A590" s="4" t="s">
        <v>1769</v>
      </c>
      <c r="B590" s="4" t="s">
        <v>2421</v>
      </c>
      <c r="C590" s="7" t="s">
        <v>2028</v>
      </c>
      <c r="D590" s="4">
        <v>1</v>
      </c>
      <c r="E590" s="4" t="s">
        <v>97</v>
      </c>
      <c r="F590" s="4">
        <v>0</v>
      </c>
      <c r="G590" s="4">
        <v>2</v>
      </c>
      <c r="H590" s="4">
        <v>0</v>
      </c>
      <c r="I590" s="4">
        <v>0</v>
      </c>
      <c r="J590" s="5">
        <v>2.3054674000000001E-4</v>
      </c>
      <c r="K590" s="4">
        <v>0</v>
      </c>
      <c r="L590" s="4">
        <v>0</v>
      </c>
      <c r="M590" s="4">
        <v>0.21059811000000001</v>
      </c>
      <c r="N590" s="4">
        <v>0</v>
      </c>
      <c r="O590" s="4">
        <v>0</v>
      </c>
      <c r="P590" s="4">
        <v>2</v>
      </c>
      <c r="Q590" s="4">
        <v>0</v>
      </c>
      <c r="R590" s="4">
        <v>0</v>
      </c>
      <c r="S590" s="6">
        <v>8.3000000000000004E-2</v>
      </c>
      <c r="T590" s="4">
        <v>0</v>
      </c>
    </row>
    <row r="591" spans="1:20" ht="18" x14ac:dyDescent="0.2">
      <c r="A591" s="4" t="s">
        <v>1770</v>
      </c>
      <c r="B591" s="4" t="s">
        <v>2422</v>
      </c>
      <c r="C591" s="7" t="s">
        <v>2028</v>
      </c>
      <c r="D591" s="4">
        <v>1</v>
      </c>
      <c r="E591" s="4" t="s">
        <v>97</v>
      </c>
      <c r="F591" s="4">
        <v>0</v>
      </c>
      <c r="G591" s="4">
        <v>2</v>
      </c>
      <c r="H591" s="4">
        <v>0</v>
      </c>
      <c r="I591" s="4">
        <v>0</v>
      </c>
      <c r="J591" s="5">
        <v>2.3054674000000001E-4</v>
      </c>
      <c r="K591" s="4">
        <v>0</v>
      </c>
      <c r="L591" s="4">
        <v>0</v>
      </c>
      <c r="M591" s="4">
        <v>0.21059811000000001</v>
      </c>
      <c r="N591" s="4">
        <v>0</v>
      </c>
      <c r="O591" s="4">
        <v>0</v>
      </c>
      <c r="P591" s="4">
        <v>2</v>
      </c>
      <c r="Q591" s="4">
        <v>0</v>
      </c>
      <c r="R591" s="4">
        <v>0</v>
      </c>
      <c r="S591" s="6">
        <v>8.3000000000000004E-2</v>
      </c>
      <c r="T591" s="4">
        <v>0</v>
      </c>
    </row>
    <row r="592" spans="1:20" ht="18" x14ac:dyDescent="0.2">
      <c r="A592" s="4" t="s">
        <v>1771</v>
      </c>
      <c r="B592" s="4" t="s">
        <v>2160</v>
      </c>
      <c r="C592" s="7" t="s">
        <v>2028</v>
      </c>
      <c r="D592" s="4">
        <v>1</v>
      </c>
      <c r="E592" s="4" t="s">
        <v>97</v>
      </c>
      <c r="F592" s="4">
        <v>0</v>
      </c>
      <c r="G592" s="4">
        <v>3</v>
      </c>
      <c r="H592" s="4">
        <v>0</v>
      </c>
      <c r="I592" s="4">
        <v>0</v>
      </c>
      <c r="J592" s="5">
        <v>5.3281909999999995E-4</v>
      </c>
      <c r="K592" s="4">
        <v>0</v>
      </c>
      <c r="L592" s="4">
        <v>0</v>
      </c>
      <c r="M592" s="4">
        <v>0.31522476999999999</v>
      </c>
      <c r="N592" s="4">
        <v>0</v>
      </c>
      <c r="O592" s="4">
        <v>0</v>
      </c>
      <c r="P592" s="4">
        <v>4</v>
      </c>
      <c r="Q592" s="4">
        <v>0</v>
      </c>
      <c r="R592" s="4">
        <v>0</v>
      </c>
      <c r="S592" s="6">
        <v>0.11899999999999999</v>
      </c>
      <c r="T592" s="4">
        <v>0</v>
      </c>
    </row>
    <row r="593" spans="1:20" ht="18" x14ac:dyDescent="0.2">
      <c r="A593" s="4" t="s">
        <v>1772</v>
      </c>
      <c r="B593" s="4" t="s">
        <v>2423</v>
      </c>
      <c r="C593" s="7" t="s">
        <v>2028</v>
      </c>
      <c r="D593" s="4">
        <v>1</v>
      </c>
      <c r="E593" s="4" t="s">
        <v>97</v>
      </c>
      <c r="F593" s="4">
        <v>0</v>
      </c>
      <c r="G593" s="4">
        <v>2</v>
      </c>
      <c r="H593" s="4">
        <v>0</v>
      </c>
      <c r="I593" s="4">
        <v>0</v>
      </c>
      <c r="J593" s="5">
        <v>1.8538808000000001E-4</v>
      </c>
      <c r="K593" s="4">
        <v>0</v>
      </c>
      <c r="L593" s="4">
        <v>0</v>
      </c>
      <c r="M593" s="4">
        <v>0.29717934000000001</v>
      </c>
      <c r="N593" s="4">
        <v>0</v>
      </c>
      <c r="O593" s="4">
        <v>0</v>
      </c>
      <c r="P593" s="4">
        <v>2</v>
      </c>
      <c r="Q593" s="4">
        <v>0</v>
      </c>
      <c r="R593" s="4">
        <v>0</v>
      </c>
      <c r="S593" s="6">
        <v>0.113</v>
      </c>
      <c r="T593" s="4">
        <v>0</v>
      </c>
    </row>
    <row r="594" spans="1:20" ht="18" x14ac:dyDescent="0.2">
      <c r="A594" s="4" t="s">
        <v>1773</v>
      </c>
      <c r="B594" s="4" t="s">
        <v>2026</v>
      </c>
      <c r="C594" s="7" t="s">
        <v>2028</v>
      </c>
      <c r="D594" s="4">
        <v>1</v>
      </c>
      <c r="E594" s="4" t="s">
        <v>97</v>
      </c>
      <c r="F594" s="4">
        <v>0</v>
      </c>
      <c r="G594" s="4">
        <v>3</v>
      </c>
      <c r="H594" s="4">
        <v>0</v>
      </c>
      <c r="I594" s="4">
        <v>0</v>
      </c>
      <c r="J594" s="5">
        <v>5.6489979999999995E-4</v>
      </c>
      <c r="K594" s="4">
        <v>0</v>
      </c>
      <c r="L594" s="4">
        <v>0</v>
      </c>
      <c r="M594" s="4">
        <v>0.21338879999999999</v>
      </c>
      <c r="N594" s="4">
        <v>0</v>
      </c>
      <c r="O594" s="4">
        <v>0</v>
      </c>
      <c r="P594" s="4">
        <v>6</v>
      </c>
      <c r="Q594" s="4">
        <v>0</v>
      </c>
      <c r="R594" s="4">
        <v>0</v>
      </c>
      <c r="S594" s="6">
        <v>8.4000000000000005E-2</v>
      </c>
      <c r="T594" s="4">
        <v>0</v>
      </c>
    </row>
    <row r="595" spans="1:20" ht="18" x14ac:dyDescent="0.2">
      <c r="A595" s="4" t="s">
        <v>1774</v>
      </c>
      <c r="B595" s="4" t="s">
        <v>2160</v>
      </c>
      <c r="C595" s="7" t="s">
        <v>2028</v>
      </c>
      <c r="D595" s="4">
        <v>1</v>
      </c>
      <c r="E595" s="4" t="s">
        <v>97</v>
      </c>
      <c r="F595" s="4">
        <v>0</v>
      </c>
      <c r="G595" s="4">
        <v>2</v>
      </c>
      <c r="H595" s="4">
        <v>0</v>
      </c>
      <c r="I595" s="4">
        <v>0</v>
      </c>
      <c r="J595" s="5">
        <v>2.2907829E-4</v>
      </c>
      <c r="K595" s="4">
        <v>0</v>
      </c>
      <c r="L595" s="4">
        <v>0</v>
      </c>
      <c r="M595" s="4">
        <v>0.26473629999999998</v>
      </c>
      <c r="N595" s="4">
        <v>0</v>
      </c>
      <c r="O595" s="4">
        <v>0</v>
      </c>
      <c r="P595" s="4">
        <v>2</v>
      </c>
      <c r="Q595" s="4">
        <v>0</v>
      </c>
      <c r="R595" s="4">
        <v>0</v>
      </c>
      <c r="S595" s="6">
        <v>0.10199999999999999</v>
      </c>
      <c r="T595" s="4">
        <v>0</v>
      </c>
    </row>
    <row r="596" spans="1:20" ht="18" x14ac:dyDescent="0.2">
      <c r="A596" s="4" t="s">
        <v>1775</v>
      </c>
      <c r="B596" s="4" t="s">
        <v>2424</v>
      </c>
      <c r="C596" s="7" t="s">
        <v>2028</v>
      </c>
      <c r="D596" s="4">
        <v>1</v>
      </c>
      <c r="E596" s="4" t="s">
        <v>97</v>
      </c>
      <c r="F596" s="4">
        <v>0</v>
      </c>
      <c r="G596" s="4">
        <v>2</v>
      </c>
      <c r="H596" s="4">
        <v>0</v>
      </c>
      <c r="I596" s="4">
        <v>0</v>
      </c>
      <c r="J596" s="5">
        <v>1.7544043999999999E-4</v>
      </c>
      <c r="K596" s="4">
        <v>0</v>
      </c>
      <c r="L596" s="4">
        <v>0</v>
      </c>
      <c r="M596" s="4">
        <v>0.27938128000000001</v>
      </c>
      <c r="N596" s="4">
        <v>0</v>
      </c>
      <c r="O596" s="4">
        <v>0</v>
      </c>
      <c r="P596" s="4">
        <v>2</v>
      </c>
      <c r="Q596" s="4">
        <v>0</v>
      </c>
      <c r="R596" s="4">
        <v>0</v>
      </c>
      <c r="S596" s="6">
        <v>0.107</v>
      </c>
      <c r="T596" s="4">
        <v>0</v>
      </c>
    </row>
    <row r="597" spans="1:20" ht="18" x14ac:dyDescent="0.2">
      <c r="A597" s="4" t="s">
        <v>1776</v>
      </c>
      <c r="B597" s="4" t="s">
        <v>2425</v>
      </c>
      <c r="C597" s="7" t="s">
        <v>2028</v>
      </c>
      <c r="D597" s="4">
        <v>1</v>
      </c>
      <c r="E597" s="4" t="s">
        <v>97</v>
      </c>
      <c r="F597" s="4">
        <v>0</v>
      </c>
      <c r="G597" s="4">
        <v>2</v>
      </c>
      <c r="H597" s="4">
        <v>0</v>
      </c>
      <c r="I597" s="4">
        <v>0</v>
      </c>
      <c r="J597" s="5">
        <v>2.3054674000000001E-4</v>
      </c>
      <c r="K597" s="4">
        <v>0</v>
      </c>
      <c r="L597" s="4">
        <v>0</v>
      </c>
      <c r="M597" s="4">
        <v>0.21059811000000001</v>
      </c>
      <c r="N597" s="4">
        <v>0</v>
      </c>
      <c r="O597" s="4">
        <v>0</v>
      </c>
      <c r="P597" s="4">
        <v>2</v>
      </c>
      <c r="Q597" s="4">
        <v>0</v>
      </c>
      <c r="R597" s="4">
        <v>0</v>
      </c>
      <c r="S597" s="6">
        <v>8.3000000000000004E-2</v>
      </c>
      <c r="T597" s="4">
        <v>0</v>
      </c>
    </row>
    <row r="598" spans="1:20" ht="18" x14ac:dyDescent="0.2">
      <c r="A598" s="4" t="s">
        <v>1777</v>
      </c>
      <c r="B598" s="4" t="s">
        <v>2426</v>
      </c>
      <c r="C598" s="7" t="s">
        <v>2028</v>
      </c>
      <c r="D598" s="4">
        <v>1</v>
      </c>
      <c r="E598" s="4" t="s">
        <v>97</v>
      </c>
      <c r="F598" s="4">
        <v>0</v>
      </c>
      <c r="G598" s="4">
        <v>3</v>
      </c>
      <c r="H598" s="4">
        <v>0</v>
      </c>
      <c r="I598" s="4">
        <v>0</v>
      </c>
      <c r="J598" s="5">
        <v>5.2890130000000002E-4</v>
      </c>
      <c r="K598" s="4">
        <v>0</v>
      </c>
      <c r="L598" s="4">
        <v>0</v>
      </c>
      <c r="M598" s="4">
        <v>0.31219995</v>
      </c>
      <c r="N598" s="4">
        <v>0</v>
      </c>
      <c r="O598" s="4">
        <v>0</v>
      </c>
      <c r="P598" s="4">
        <v>3</v>
      </c>
      <c r="Q598" s="4">
        <v>0</v>
      </c>
      <c r="R598" s="4">
        <v>0</v>
      </c>
      <c r="S598" s="6">
        <v>0.11799999999999999</v>
      </c>
      <c r="T598" s="4">
        <v>0</v>
      </c>
    </row>
    <row r="599" spans="1:20" ht="18" x14ac:dyDescent="0.2">
      <c r="A599" s="4" t="s">
        <v>1778</v>
      </c>
      <c r="B599" s="4" t="s">
        <v>2427</v>
      </c>
      <c r="C599" s="7" t="s">
        <v>2028</v>
      </c>
      <c r="D599" s="4">
        <v>1</v>
      </c>
      <c r="E599" s="4" t="s">
        <v>97</v>
      </c>
      <c r="F599" s="4">
        <v>0</v>
      </c>
      <c r="G599" s="4">
        <v>3</v>
      </c>
      <c r="H599" s="4">
        <v>0</v>
      </c>
      <c r="I599" s="4">
        <v>0</v>
      </c>
      <c r="J599" s="5">
        <v>1.6020174E-4</v>
      </c>
      <c r="K599" s="4">
        <v>0</v>
      </c>
      <c r="L599" s="4">
        <v>0</v>
      </c>
      <c r="M599" s="4">
        <v>9.1440320000000005E-2</v>
      </c>
      <c r="N599" s="4">
        <v>0</v>
      </c>
      <c r="O599" s="4">
        <v>0</v>
      </c>
      <c r="P599" s="4">
        <v>4</v>
      </c>
      <c r="Q599" s="4">
        <v>0</v>
      </c>
      <c r="R599" s="4">
        <v>0</v>
      </c>
      <c r="S599" s="6">
        <v>3.7999999999999999E-2</v>
      </c>
      <c r="T599" s="4">
        <v>0</v>
      </c>
    </row>
    <row r="600" spans="1:20" ht="18" x14ac:dyDescent="0.2">
      <c r="A600" s="4" t="s">
        <v>1779</v>
      </c>
      <c r="B600" s="4" t="s">
        <v>2428</v>
      </c>
      <c r="C600" s="7" t="s">
        <v>2028</v>
      </c>
      <c r="D600" s="4">
        <v>1</v>
      </c>
      <c r="E600" s="4" t="s">
        <v>97</v>
      </c>
      <c r="F600" s="4">
        <v>0</v>
      </c>
      <c r="G600" s="4">
        <v>2</v>
      </c>
      <c r="H600" s="4">
        <v>0</v>
      </c>
      <c r="I600" s="4">
        <v>0</v>
      </c>
      <c r="J600" s="5">
        <v>2.3054674000000001E-4</v>
      </c>
      <c r="K600" s="4">
        <v>0</v>
      </c>
      <c r="L600" s="4">
        <v>0</v>
      </c>
      <c r="M600" s="4">
        <v>0.21059811000000001</v>
      </c>
      <c r="N600" s="4">
        <v>0</v>
      </c>
      <c r="O600" s="4">
        <v>0</v>
      </c>
      <c r="P600" s="4">
        <v>2</v>
      </c>
      <c r="Q600" s="4">
        <v>0</v>
      </c>
      <c r="R600" s="4">
        <v>0</v>
      </c>
      <c r="S600" s="6">
        <v>8.3000000000000004E-2</v>
      </c>
      <c r="T600" s="4">
        <v>0</v>
      </c>
    </row>
    <row r="601" spans="1:20" ht="18" x14ac:dyDescent="0.2">
      <c r="A601" s="4" t="s">
        <v>1780</v>
      </c>
      <c r="B601" s="4" t="s">
        <v>2429</v>
      </c>
      <c r="C601" s="7" t="s">
        <v>2028</v>
      </c>
      <c r="D601" s="4">
        <v>1</v>
      </c>
      <c r="E601" s="4" t="s">
        <v>97</v>
      </c>
      <c r="F601" s="4">
        <v>0</v>
      </c>
      <c r="G601" s="4">
        <v>2</v>
      </c>
      <c r="H601" s="4">
        <v>0</v>
      </c>
      <c r="I601" s="4">
        <v>0</v>
      </c>
      <c r="J601" s="5">
        <v>2.3054674000000001E-4</v>
      </c>
      <c r="K601" s="4">
        <v>0</v>
      </c>
      <c r="L601" s="4">
        <v>0</v>
      </c>
      <c r="M601" s="4">
        <v>0.21059811000000001</v>
      </c>
      <c r="N601" s="4">
        <v>0</v>
      </c>
      <c r="O601" s="4">
        <v>0</v>
      </c>
      <c r="P601" s="4">
        <v>2</v>
      </c>
      <c r="Q601" s="4">
        <v>0</v>
      </c>
      <c r="R601" s="4">
        <v>0</v>
      </c>
      <c r="S601" s="6">
        <v>8.3000000000000004E-2</v>
      </c>
      <c r="T601" s="4">
        <v>0</v>
      </c>
    </row>
    <row r="602" spans="1:20" ht="18" x14ac:dyDescent="0.2">
      <c r="A602" s="4" t="s">
        <v>1781</v>
      </c>
      <c r="B602" s="4" t="s">
        <v>2430</v>
      </c>
      <c r="C602" s="7" t="s">
        <v>2028</v>
      </c>
      <c r="D602" s="4">
        <v>1</v>
      </c>
      <c r="E602" s="4" t="s">
        <v>97</v>
      </c>
      <c r="F602" s="4">
        <v>0</v>
      </c>
      <c r="G602" s="4">
        <v>2</v>
      </c>
      <c r="H602" s="4">
        <v>0</v>
      </c>
      <c r="I602" s="4">
        <v>0</v>
      </c>
      <c r="J602" s="5">
        <v>2.3105774000000001E-6</v>
      </c>
      <c r="K602" s="4">
        <v>0</v>
      </c>
      <c r="L602" s="4">
        <v>0</v>
      </c>
      <c r="M602" s="4">
        <v>2.3052692E-3</v>
      </c>
      <c r="N602" s="4">
        <v>0</v>
      </c>
      <c r="O602" s="4">
        <v>0</v>
      </c>
      <c r="P602" s="4">
        <v>4</v>
      </c>
      <c r="Q602" s="4">
        <v>0</v>
      </c>
      <c r="R602" s="4">
        <v>0</v>
      </c>
      <c r="S602" s="6">
        <v>1E-3</v>
      </c>
      <c r="T602" s="4">
        <v>0</v>
      </c>
    </row>
    <row r="603" spans="1:20" ht="18" x14ac:dyDescent="0.2">
      <c r="A603" s="4" t="s">
        <v>1782</v>
      </c>
      <c r="B603" s="4" t="s">
        <v>2026</v>
      </c>
      <c r="C603" s="4" t="s">
        <v>2028</v>
      </c>
      <c r="D603" s="4">
        <v>1</v>
      </c>
      <c r="E603" s="4" t="s">
        <v>97</v>
      </c>
      <c r="F603" s="4">
        <v>0</v>
      </c>
      <c r="G603" s="4">
        <v>2</v>
      </c>
      <c r="H603" s="4">
        <v>0</v>
      </c>
      <c r="I603" s="4">
        <v>0</v>
      </c>
      <c r="J603" s="5">
        <v>2.2762842000000001E-4</v>
      </c>
      <c r="K603" s="4">
        <v>0</v>
      </c>
      <c r="L603" s="4">
        <v>0</v>
      </c>
      <c r="M603" s="4">
        <v>0.26182759999999999</v>
      </c>
      <c r="N603" s="4">
        <v>0</v>
      </c>
      <c r="O603" s="4">
        <v>0</v>
      </c>
      <c r="P603" s="4">
        <v>2</v>
      </c>
      <c r="Q603" s="4">
        <v>0</v>
      </c>
      <c r="R603" s="4">
        <v>0</v>
      </c>
      <c r="S603" s="6">
        <v>0.10100000000000001</v>
      </c>
      <c r="T603" s="4">
        <v>0</v>
      </c>
    </row>
    <row r="604" spans="1:20" ht="18" x14ac:dyDescent="0.2">
      <c r="A604" s="4" t="s">
        <v>1783</v>
      </c>
      <c r="B604" s="4" t="s">
        <v>2431</v>
      </c>
      <c r="C604" s="4" t="s">
        <v>241</v>
      </c>
      <c r="D604" s="4">
        <v>1</v>
      </c>
      <c r="E604" s="4" t="s">
        <v>61</v>
      </c>
      <c r="F604" s="4">
        <v>0</v>
      </c>
      <c r="G604" s="4">
        <v>0</v>
      </c>
      <c r="H604" s="4">
        <v>3</v>
      </c>
      <c r="I604" s="4">
        <v>0</v>
      </c>
      <c r="J604" s="4">
        <v>0</v>
      </c>
      <c r="K604" s="5">
        <v>3.2242890000000002E-4</v>
      </c>
      <c r="L604" s="4">
        <v>0</v>
      </c>
      <c r="M604" s="4">
        <v>0</v>
      </c>
      <c r="N604" s="4">
        <v>0.32434153999999998</v>
      </c>
      <c r="O604" s="4">
        <v>0</v>
      </c>
      <c r="P604" s="4">
        <v>0</v>
      </c>
      <c r="Q604" s="4">
        <v>3</v>
      </c>
      <c r="R604" s="4">
        <v>0</v>
      </c>
      <c r="S604" s="4">
        <v>0</v>
      </c>
      <c r="T604" s="6">
        <v>0.122</v>
      </c>
    </row>
    <row r="605" spans="1:20" ht="18" x14ac:dyDescent="0.2">
      <c r="A605" s="4" t="s">
        <v>1784</v>
      </c>
      <c r="B605" s="4" t="s">
        <v>2432</v>
      </c>
      <c r="C605" s="4" t="s">
        <v>241</v>
      </c>
      <c r="D605" s="4">
        <v>1</v>
      </c>
      <c r="E605" s="4" t="s">
        <v>61</v>
      </c>
      <c r="F605" s="4">
        <v>0</v>
      </c>
      <c r="G605" s="4">
        <v>0</v>
      </c>
      <c r="H605" s="4">
        <v>2</v>
      </c>
      <c r="I605" s="4">
        <v>0</v>
      </c>
      <c r="J605" s="4">
        <v>0</v>
      </c>
      <c r="K605" s="5">
        <v>4.7337879999999998E-5</v>
      </c>
      <c r="L605" s="4">
        <v>0</v>
      </c>
      <c r="M605" s="4">
        <v>0</v>
      </c>
      <c r="N605" s="4">
        <v>0.11943793</v>
      </c>
      <c r="O605" s="4">
        <v>0</v>
      </c>
      <c r="P605" s="4">
        <v>0</v>
      </c>
      <c r="Q605" s="4">
        <v>2</v>
      </c>
      <c r="R605" s="4">
        <v>0</v>
      </c>
      <c r="S605" s="4">
        <v>0</v>
      </c>
      <c r="T605" s="6">
        <v>4.9000000000000002E-2</v>
      </c>
    </row>
    <row r="606" spans="1:20" ht="18" x14ac:dyDescent="0.2">
      <c r="A606" s="4" t="s">
        <v>1785</v>
      </c>
      <c r="B606" s="4" t="s">
        <v>2433</v>
      </c>
      <c r="C606" s="4" t="s">
        <v>48</v>
      </c>
      <c r="D606" s="4">
        <v>1</v>
      </c>
      <c r="E606" s="4" t="s">
        <v>61</v>
      </c>
      <c r="F606" s="4">
        <v>0</v>
      </c>
      <c r="G606" s="4">
        <v>0</v>
      </c>
      <c r="H606" s="4">
        <v>2</v>
      </c>
      <c r="I606" s="4">
        <v>0</v>
      </c>
      <c r="J606" s="4">
        <v>0</v>
      </c>
      <c r="K606" s="5">
        <v>3.7683996000000003E-5</v>
      </c>
      <c r="L606" s="4">
        <v>0</v>
      </c>
      <c r="M606" s="4">
        <v>0</v>
      </c>
      <c r="N606" s="4">
        <v>6.9054840000000006E-2</v>
      </c>
      <c r="O606" s="4">
        <v>0</v>
      </c>
      <c r="P606" s="4">
        <v>0</v>
      </c>
      <c r="Q606" s="4">
        <v>2</v>
      </c>
      <c r="R606" s="4">
        <v>0</v>
      </c>
      <c r="S606" s="4">
        <v>0</v>
      </c>
      <c r="T606" s="6">
        <v>2.9000000000000001E-2</v>
      </c>
    </row>
    <row r="607" spans="1:20" ht="18" x14ac:dyDescent="0.2">
      <c r="A607" s="4" t="s">
        <v>1786</v>
      </c>
      <c r="B607" s="4" t="s">
        <v>2434</v>
      </c>
      <c r="C607" s="4" t="s">
        <v>48</v>
      </c>
      <c r="D607" s="4">
        <v>1</v>
      </c>
      <c r="E607" s="4" t="s">
        <v>61</v>
      </c>
      <c r="F607" s="4">
        <v>0</v>
      </c>
      <c r="G607" s="4">
        <v>0</v>
      </c>
      <c r="H607" s="4">
        <v>4</v>
      </c>
      <c r="I607" s="4">
        <v>0</v>
      </c>
      <c r="J607" s="4">
        <v>0</v>
      </c>
      <c r="K607" s="5">
        <v>1.6329733E-4</v>
      </c>
      <c r="L607" s="4">
        <v>0</v>
      </c>
      <c r="M607" s="4">
        <v>0</v>
      </c>
      <c r="N607" s="4">
        <v>0.17489755000000001</v>
      </c>
      <c r="O607" s="4">
        <v>0</v>
      </c>
      <c r="P607" s="4">
        <v>0</v>
      </c>
      <c r="Q607" s="4">
        <v>4</v>
      </c>
      <c r="R607" s="4">
        <v>0</v>
      </c>
      <c r="S607" s="4">
        <v>0</v>
      </c>
      <c r="T607" s="6">
        <v>7.0000000000000007E-2</v>
      </c>
    </row>
    <row r="608" spans="1:20" ht="18" x14ac:dyDescent="0.2">
      <c r="A608" s="4" t="s">
        <v>1787</v>
      </c>
      <c r="B608" s="4" t="s">
        <v>2435</v>
      </c>
      <c r="C608" s="4" t="s">
        <v>48</v>
      </c>
      <c r="D608" s="4">
        <v>1</v>
      </c>
      <c r="E608" s="4" t="s">
        <v>61</v>
      </c>
      <c r="F608" s="4">
        <v>0</v>
      </c>
      <c r="G608" s="4">
        <v>0</v>
      </c>
      <c r="H608" s="4">
        <v>2</v>
      </c>
      <c r="I608" s="4">
        <v>0</v>
      </c>
      <c r="J608" s="4">
        <v>0</v>
      </c>
      <c r="K608" s="5">
        <v>3.9009919999999999E-4</v>
      </c>
      <c r="L608" s="4">
        <v>0</v>
      </c>
      <c r="M608" s="4">
        <v>0</v>
      </c>
      <c r="N608" s="4">
        <v>0.97696959999999999</v>
      </c>
      <c r="O608" s="4">
        <v>0</v>
      </c>
      <c r="P608" s="4">
        <v>0</v>
      </c>
      <c r="Q608" s="4">
        <v>2</v>
      </c>
      <c r="R608" s="4">
        <v>0</v>
      </c>
      <c r="S608" s="4">
        <v>0</v>
      </c>
      <c r="T608" s="6">
        <v>0.29599999999999999</v>
      </c>
    </row>
    <row r="609" spans="1:20" ht="18" x14ac:dyDescent="0.2">
      <c r="A609" s="4" t="s">
        <v>1788</v>
      </c>
      <c r="B609" s="4" t="s">
        <v>2436</v>
      </c>
      <c r="C609" s="4" t="s">
        <v>1924</v>
      </c>
      <c r="D609" s="4">
        <v>1</v>
      </c>
      <c r="E609" s="4" t="s">
        <v>61</v>
      </c>
      <c r="F609" s="4">
        <v>0</v>
      </c>
      <c r="G609" s="4">
        <v>0</v>
      </c>
      <c r="H609" s="4">
        <v>2</v>
      </c>
      <c r="I609" s="4">
        <v>0</v>
      </c>
      <c r="J609" s="4">
        <v>0</v>
      </c>
      <c r="K609" s="5">
        <v>9.6188829999999998E-5</v>
      </c>
      <c r="L609" s="4">
        <v>0</v>
      </c>
      <c r="M609" s="4">
        <v>0</v>
      </c>
      <c r="N609" s="4">
        <v>0.22179961000000001</v>
      </c>
      <c r="O609" s="4">
        <v>0</v>
      </c>
      <c r="P609" s="4">
        <v>0</v>
      </c>
      <c r="Q609" s="4">
        <v>2</v>
      </c>
      <c r="R609" s="4">
        <v>0</v>
      </c>
      <c r="S609" s="4">
        <v>0</v>
      </c>
      <c r="T609" s="6">
        <v>8.6999999999999994E-2</v>
      </c>
    </row>
    <row r="610" spans="1:20" ht="18" x14ac:dyDescent="0.2">
      <c r="A610" s="4" t="s">
        <v>1789</v>
      </c>
      <c r="B610" s="4" t="s">
        <v>2437</v>
      </c>
      <c r="C610" s="4" t="s">
        <v>1924</v>
      </c>
      <c r="D610" s="4">
        <v>1</v>
      </c>
      <c r="E610" s="4" t="s">
        <v>61</v>
      </c>
      <c r="F610" s="4">
        <v>0</v>
      </c>
      <c r="G610" s="4">
        <v>0</v>
      </c>
      <c r="H610" s="4">
        <v>2</v>
      </c>
      <c r="I610" s="4">
        <v>0</v>
      </c>
      <c r="J610" s="4">
        <v>0</v>
      </c>
      <c r="K610" s="5">
        <v>9.6630064999999999E-5</v>
      </c>
      <c r="L610" s="4">
        <v>0</v>
      </c>
      <c r="M610" s="4">
        <v>0</v>
      </c>
      <c r="N610" s="4">
        <v>0.22179961000000001</v>
      </c>
      <c r="O610" s="4">
        <v>0</v>
      </c>
      <c r="P610" s="4">
        <v>0</v>
      </c>
      <c r="Q610" s="4">
        <v>2</v>
      </c>
      <c r="R610" s="4">
        <v>0</v>
      </c>
      <c r="S610" s="4">
        <v>0</v>
      </c>
      <c r="T610" s="6">
        <v>8.6999999999999994E-2</v>
      </c>
    </row>
    <row r="611" spans="1:20" ht="18" x14ac:dyDescent="0.2">
      <c r="A611" s="4" t="s">
        <v>1790</v>
      </c>
      <c r="B611" s="4" t="s">
        <v>2438</v>
      </c>
      <c r="C611" s="4" t="s">
        <v>1924</v>
      </c>
      <c r="D611" s="4">
        <v>1</v>
      </c>
      <c r="E611" s="4" t="s">
        <v>61</v>
      </c>
      <c r="F611" s="4">
        <v>0</v>
      </c>
      <c r="G611" s="4">
        <v>0</v>
      </c>
      <c r="H611" s="4">
        <v>6</v>
      </c>
      <c r="I611" s="4">
        <v>0</v>
      </c>
      <c r="J611" s="4">
        <v>0</v>
      </c>
      <c r="K611" s="5">
        <v>4.639946E-4</v>
      </c>
      <c r="L611" s="4">
        <v>0</v>
      </c>
      <c r="M611" s="4">
        <v>0</v>
      </c>
      <c r="N611" s="4">
        <v>0.41253757000000002</v>
      </c>
      <c r="O611" s="4">
        <v>0</v>
      </c>
      <c r="P611" s="4">
        <v>0</v>
      </c>
      <c r="Q611" s="4">
        <v>10</v>
      </c>
      <c r="R611" s="4">
        <v>0</v>
      </c>
      <c r="S611" s="4">
        <v>0</v>
      </c>
      <c r="T611" s="6">
        <v>0.15</v>
      </c>
    </row>
    <row r="612" spans="1:20" ht="18" x14ac:dyDescent="0.2">
      <c r="A612" s="4" t="s">
        <v>1791</v>
      </c>
      <c r="B612" s="4" t="s">
        <v>2439</v>
      </c>
      <c r="C612" s="4" t="s">
        <v>1924</v>
      </c>
      <c r="D612" s="4">
        <v>1</v>
      </c>
      <c r="E612" s="4" t="s">
        <v>61</v>
      </c>
      <c r="F612" s="4">
        <v>0</v>
      </c>
      <c r="G612" s="4">
        <v>0</v>
      </c>
      <c r="H612" s="4">
        <v>5</v>
      </c>
      <c r="I612" s="4">
        <v>0</v>
      </c>
      <c r="J612" s="4">
        <v>0</v>
      </c>
      <c r="K612" s="5">
        <v>1.1157498E-4</v>
      </c>
      <c r="L612" s="4">
        <v>0</v>
      </c>
      <c r="M612" s="4">
        <v>0</v>
      </c>
      <c r="N612" s="4">
        <v>0.455459</v>
      </c>
      <c r="O612" s="4">
        <v>0</v>
      </c>
      <c r="P612" s="4">
        <v>0</v>
      </c>
      <c r="Q612" s="4">
        <v>5</v>
      </c>
      <c r="R612" s="4">
        <v>0</v>
      </c>
      <c r="S612" s="4">
        <v>0</v>
      </c>
      <c r="T612" s="6">
        <v>0.16300000000000001</v>
      </c>
    </row>
    <row r="613" spans="1:20" ht="18" x14ac:dyDescent="0.2">
      <c r="A613" s="4" t="s">
        <v>1792</v>
      </c>
      <c r="B613" s="4" t="s">
        <v>2440</v>
      </c>
      <c r="C613" s="4" t="s">
        <v>1924</v>
      </c>
      <c r="D613" s="4">
        <v>1</v>
      </c>
      <c r="E613" s="4" t="s">
        <v>61</v>
      </c>
      <c r="F613" s="4">
        <v>0</v>
      </c>
      <c r="G613" s="4">
        <v>0</v>
      </c>
      <c r="H613" s="4">
        <v>2</v>
      </c>
      <c r="I613" s="4">
        <v>0</v>
      </c>
      <c r="J613" s="4">
        <v>0</v>
      </c>
      <c r="K613" s="5">
        <v>9.6630064999999999E-5</v>
      </c>
      <c r="L613" s="4">
        <v>0</v>
      </c>
      <c r="M613" s="4">
        <v>0</v>
      </c>
      <c r="N613" s="4">
        <v>0.22179961000000001</v>
      </c>
      <c r="O613" s="4">
        <v>0</v>
      </c>
      <c r="P613" s="4">
        <v>0</v>
      </c>
      <c r="Q613" s="4">
        <v>2</v>
      </c>
      <c r="R613" s="4">
        <v>0</v>
      </c>
      <c r="S613" s="4">
        <v>0</v>
      </c>
      <c r="T613" s="6">
        <v>8.6999999999999994E-2</v>
      </c>
    </row>
    <row r="614" spans="1:20" ht="18" x14ac:dyDescent="0.2">
      <c r="A614" s="4" t="s">
        <v>1793</v>
      </c>
      <c r="B614" s="4" t="s">
        <v>2441</v>
      </c>
      <c r="C614" s="4" t="s">
        <v>1924</v>
      </c>
      <c r="D614" s="4">
        <v>1</v>
      </c>
      <c r="E614" s="4" t="s">
        <v>61</v>
      </c>
      <c r="F614" s="4">
        <v>0</v>
      </c>
      <c r="G614" s="4">
        <v>0</v>
      </c>
      <c r="H614" s="4">
        <v>3</v>
      </c>
      <c r="I614" s="4">
        <v>0</v>
      </c>
      <c r="J614" s="4">
        <v>0</v>
      </c>
      <c r="K614" s="5">
        <v>2.3668939999999999E-5</v>
      </c>
      <c r="L614" s="4">
        <v>0</v>
      </c>
      <c r="M614" s="4">
        <v>0</v>
      </c>
      <c r="N614" s="4">
        <v>6.4143060000000002E-2</v>
      </c>
      <c r="O614" s="4">
        <v>0</v>
      </c>
      <c r="P614" s="4">
        <v>0</v>
      </c>
      <c r="Q614" s="4">
        <v>3</v>
      </c>
      <c r="R614" s="4">
        <v>0</v>
      </c>
      <c r="S614" s="4">
        <v>0</v>
      </c>
      <c r="T614" s="6">
        <v>2.7E-2</v>
      </c>
    </row>
    <row r="615" spans="1:20" ht="18" x14ac:dyDescent="0.2">
      <c r="A615" s="4" t="s">
        <v>1794</v>
      </c>
      <c r="B615" s="4" t="s">
        <v>2442</v>
      </c>
      <c r="C615" s="4" t="s">
        <v>1924</v>
      </c>
      <c r="D615" s="4">
        <v>1</v>
      </c>
      <c r="E615" s="4" t="s">
        <v>61</v>
      </c>
      <c r="F615" s="4">
        <v>0</v>
      </c>
      <c r="G615" s="4">
        <v>0</v>
      </c>
      <c r="H615" s="4">
        <v>12</v>
      </c>
      <c r="I615" s="4">
        <v>0</v>
      </c>
      <c r="J615" s="4">
        <v>0</v>
      </c>
      <c r="K615" s="4">
        <v>1.1342883999999999E-3</v>
      </c>
      <c r="L615" s="4">
        <v>0</v>
      </c>
      <c r="M615" s="4">
        <v>0</v>
      </c>
      <c r="N615" s="4">
        <v>0.36458312999999998</v>
      </c>
      <c r="O615" s="4">
        <v>0</v>
      </c>
      <c r="P615" s="4">
        <v>0</v>
      </c>
      <c r="Q615" s="4">
        <v>28</v>
      </c>
      <c r="R615" s="4">
        <v>0</v>
      </c>
      <c r="S615" s="4">
        <v>0</v>
      </c>
      <c r="T615" s="6">
        <v>0.13500000000000001</v>
      </c>
    </row>
    <row r="616" spans="1:20" ht="18" x14ac:dyDescent="0.2">
      <c r="A616" s="4" t="s">
        <v>1795</v>
      </c>
      <c r="B616" s="4" t="s">
        <v>2443</v>
      </c>
      <c r="C616" s="4" t="s">
        <v>1924</v>
      </c>
      <c r="D616" s="4">
        <v>1</v>
      </c>
      <c r="E616" s="4" t="s">
        <v>61</v>
      </c>
      <c r="F616" s="4">
        <v>0</v>
      </c>
      <c r="G616" s="4">
        <v>0</v>
      </c>
      <c r="H616" s="4">
        <v>2</v>
      </c>
      <c r="I616" s="4">
        <v>0</v>
      </c>
      <c r="J616" s="4">
        <v>0</v>
      </c>
      <c r="K616" s="5">
        <v>1.2340572E-5</v>
      </c>
      <c r="L616" s="4">
        <v>0</v>
      </c>
      <c r="M616" s="4">
        <v>0</v>
      </c>
      <c r="N616" s="4">
        <v>2.5651931999999999E-2</v>
      </c>
      <c r="O616" s="4">
        <v>0</v>
      </c>
      <c r="P616" s="4">
        <v>0</v>
      </c>
      <c r="Q616" s="4">
        <v>2</v>
      </c>
      <c r="R616" s="4">
        <v>0</v>
      </c>
      <c r="S616" s="4">
        <v>0</v>
      </c>
      <c r="T616" s="6">
        <v>1.0999999999999999E-2</v>
      </c>
    </row>
    <row r="617" spans="1:20" ht="18" x14ac:dyDescent="0.2">
      <c r="A617" s="4" t="s">
        <v>1796</v>
      </c>
      <c r="B617" s="4" t="s">
        <v>2444</v>
      </c>
      <c r="C617" s="4" t="s">
        <v>1924</v>
      </c>
      <c r="D617" s="4">
        <v>1</v>
      </c>
      <c r="E617" s="4" t="s">
        <v>61</v>
      </c>
      <c r="F617" s="4">
        <v>0</v>
      </c>
      <c r="G617" s="4">
        <v>0</v>
      </c>
      <c r="H617" s="4">
        <v>5</v>
      </c>
      <c r="I617" s="4">
        <v>0</v>
      </c>
      <c r="J617" s="4">
        <v>0</v>
      </c>
      <c r="K617" s="5">
        <v>3.1508010000000001E-4</v>
      </c>
      <c r="L617" s="4">
        <v>0</v>
      </c>
      <c r="M617" s="4">
        <v>0</v>
      </c>
      <c r="N617" s="4">
        <v>0.38356637999999998</v>
      </c>
      <c r="O617" s="4">
        <v>0</v>
      </c>
      <c r="P617" s="4">
        <v>0</v>
      </c>
      <c r="Q617" s="4">
        <v>7</v>
      </c>
      <c r="R617" s="4">
        <v>0</v>
      </c>
      <c r="S617" s="4">
        <v>0</v>
      </c>
      <c r="T617" s="6">
        <v>0.14099999999999999</v>
      </c>
    </row>
    <row r="618" spans="1:20" ht="18" x14ac:dyDescent="0.2">
      <c r="A618" s="4" t="s">
        <v>1797</v>
      </c>
      <c r="B618" s="4" t="s">
        <v>2445</v>
      </c>
      <c r="C618" s="4" t="s">
        <v>1924</v>
      </c>
      <c r="D618" s="4">
        <v>1</v>
      </c>
      <c r="E618" s="4" t="s">
        <v>61</v>
      </c>
      <c r="F618" s="4">
        <v>0</v>
      </c>
      <c r="G618" s="4">
        <v>0</v>
      </c>
      <c r="H618" s="4">
        <v>2</v>
      </c>
      <c r="I618" s="4">
        <v>0</v>
      </c>
      <c r="J618" s="4">
        <v>0</v>
      </c>
      <c r="K618" s="5">
        <v>2.7181104000000001E-5</v>
      </c>
      <c r="L618" s="4">
        <v>0</v>
      </c>
      <c r="M618" s="4">
        <v>0</v>
      </c>
      <c r="N618" s="4">
        <v>4.4720173000000002E-2</v>
      </c>
      <c r="O618" s="4">
        <v>0</v>
      </c>
      <c r="P618" s="4">
        <v>0</v>
      </c>
      <c r="Q618" s="4">
        <v>2</v>
      </c>
      <c r="R618" s="4">
        <v>0</v>
      </c>
      <c r="S618" s="4">
        <v>0</v>
      </c>
      <c r="T618" s="6">
        <v>1.9E-2</v>
      </c>
    </row>
    <row r="619" spans="1:20" ht="18" x14ac:dyDescent="0.2">
      <c r="A619" s="4" t="s">
        <v>1798</v>
      </c>
      <c r="B619" s="4" t="s">
        <v>2446</v>
      </c>
      <c r="C619" s="4" t="s">
        <v>50</v>
      </c>
      <c r="D619" s="4">
        <v>1</v>
      </c>
      <c r="E619" s="4" t="s">
        <v>61</v>
      </c>
      <c r="F619" s="4">
        <v>0</v>
      </c>
      <c r="G619" s="4">
        <v>0</v>
      </c>
      <c r="H619" s="4">
        <v>2</v>
      </c>
      <c r="I619" s="4">
        <v>0</v>
      </c>
      <c r="J619" s="4">
        <v>0</v>
      </c>
      <c r="K619" s="5">
        <v>4.6399459999999999E-5</v>
      </c>
      <c r="L619" s="4">
        <v>0</v>
      </c>
      <c r="M619" s="4">
        <v>0</v>
      </c>
      <c r="N619" s="4">
        <v>7.3989390000000002E-2</v>
      </c>
      <c r="O619" s="4">
        <v>0</v>
      </c>
      <c r="P619" s="4">
        <v>0</v>
      </c>
      <c r="Q619" s="4">
        <v>2</v>
      </c>
      <c r="R619" s="4">
        <v>0</v>
      </c>
      <c r="S619" s="4">
        <v>0</v>
      </c>
      <c r="T619" s="6">
        <v>3.1E-2</v>
      </c>
    </row>
    <row r="620" spans="1:20" ht="18" x14ac:dyDescent="0.2">
      <c r="A620" s="4" t="s">
        <v>1799</v>
      </c>
      <c r="B620" s="4" t="s">
        <v>2447</v>
      </c>
      <c r="C620" s="4" t="s">
        <v>50</v>
      </c>
      <c r="D620" s="4">
        <v>1</v>
      </c>
      <c r="E620" s="4" t="s">
        <v>61</v>
      </c>
      <c r="F620" s="4">
        <v>0</v>
      </c>
      <c r="G620" s="4">
        <v>0</v>
      </c>
      <c r="H620" s="4">
        <v>3</v>
      </c>
      <c r="I620" s="4">
        <v>0</v>
      </c>
      <c r="J620" s="4">
        <v>0</v>
      </c>
      <c r="K620" s="5">
        <v>4.8094414999999999E-5</v>
      </c>
      <c r="L620" s="4">
        <v>0</v>
      </c>
      <c r="M620" s="4">
        <v>0</v>
      </c>
      <c r="N620" s="4">
        <v>4.712856E-2</v>
      </c>
      <c r="O620" s="4">
        <v>0</v>
      </c>
      <c r="P620" s="4">
        <v>0</v>
      </c>
      <c r="Q620" s="4">
        <v>3</v>
      </c>
      <c r="R620" s="4">
        <v>0</v>
      </c>
      <c r="S620" s="4">
        <v>0</v>
      </c>
      <c r="T620" s="6">
        <v>0.02</v>
      </c>
    </row>
    <row r="621" spans="1:20" ht="18" x14ac:dyDescent="0.2">
      <c r="A621" s="4" t="s">
        <v>1800</v>
      </c>
      <c r="B621" s="4" t="s">
        <v>2448</v>
      </c>
      <c r="C621" s="4" t="s">
        <v>50</v>
      </c>
      <c r="D621" s="4">
        <v>1</v>
      </c>
      <c r="E621" s="4" t="s">
        <v>61</v>
      </c>
      <c r="F621" s="4">
        <v>0</v>
      </c>
      <c r="G621" s="4">
        <v>0</v>
      </c>
      <c r="H621" s="4">
        <v>2</v>
      </c>
      <c r="I621" s="4">
        <v>0</v>
      </c>
      <c r="J621" s="4">
        <v>0</v>
      </c>
      <c r="K621" s="5">
        <v>4.7875805E-5</v>
      </c>
      <c r="L621" s="4">
        <v>0</v>
      </c>
      <c r="M621" s="4">
        <v>0</v>
      </c>
      <c r="N621" s="4">
        <v>7.6465249999999998E-2</v>
      </c>
      <c r="O621" s="4">
        <v>0</v>
      </c>
      <c r="P621" s="4">
        <v>0</v>
      </c>
      <c r="Q621" s="4">
        <v>2</v>
      </c>
      <c r="R621" s="4">
        <v>0</v>
      </c>
      <c r="S621" s="4">
        <v>0</v>
      </c>
      <c r="T621" s="6">
        <v>3.2000000000000001E-2</v>
      </c>
    </row>
    <row r="622" spans="1:20" ht="18" x14ac:dyDescent="0.2">
      <c r="A622" s="4" t="s">
        <v>1801</v>
      </c>
      <c r="B622" s="4" t="s">
        <v>2449</v>
      </c>
      <c r="C622" s="4" t="s">
        <v>50</v>
      </c>
      <c r="D622" s="4">
        <v>1</v>
      </c>
      <c r="E622" s="4" t="s">
        <v>61</v>
      </c>
      <c r="F622" s="4">
        <v>0</v>
      </c>
      <c r="G622" s="4">
        <v>0</v>
      </c>
      <c r="H622" s="4">
        <v>2</v>
      </c>
      <c r="I622" s="4">
        <v>0</v>
      </c>
      <c r="J622" s="4">
        <v>0</v>
      </c>
      <c r="K622" s="5">
        <v>8.5631524000000001E-5</v>
      </c>
      <c r="L622" s="4">
        <v>0</v>
      </c>
      <c r="M622" s="4">
        <v>0</v>
      </c>
      <c r="N622" s="4">
        <v>0.11943793</v>
      </c>
      <c r="O622" s="4">
        <v>0</v>
      </c>
      <c r="P622" s="4">
        <v>0</v>
      </c>
      <c r="Q622" s="4">
        <v>2</v>
      </c>
      <c r="R622" s="4">
        <v>0</v>
      </c>
      <c r="S622" s="4">
        <v>0</v>
      </c>
      <c r="T622" s="6">
        <v>4.9000000000000002E-2</v>
      </c>
    </row>
    <row r="623" spans="1:20" ht="18" x14ac:dyDescent="0.2">
      <c r="A623" s="4" t="s">
        <v>1802</v>
      </c>
      <c r="B623" s="4" t="s">
        <v>2450</v>
      </c>
      <c r="C623" s="4" t="s">
        <v>50</v>
      </c>
      <c r="D623" s="4">
        <v>1</v>
      </c>
      <c r="E623" s="4" t="s">
        <v>61</v>
      </c>
      <c r="F623" s="4">
        <v>0</v>
      </c>
      <c r="G623" s="4">
        <v>0</v>
      </c>
      <c r="H623" s="4">
        <v>5</v>
      </c>
      <c r="I623" s="4">
        <v>0</v>
      </c>
      <c r="J623" s="4">
        <v>0</v>
      </c>
      <c r="K623" s="5">
        <v>1.1996216E-4</v>
      </c>
      <c r="L623" s="4">
        <v>0</v>
      </c>
      <c r="M623" s="4">
        <v>0</v>
      </c>
      <c r="N623" s="4">
        <v>0.14551294000000001</v>
      </c>
      <c r="O623" s="4">
        <v>0</v>
      </c>
      <c r="P623" s="4">
        <v>0</v>
      </c>
      <c r="Q623" s="4">
        <v>5</v>
      </c>
      <c r="R623" s="4">
        <v>0</v>
      </c>
      <c r="S623" s="4">
        <v>0</v>
      </c>
      <c r="T623" s="6">
        <v>5.8999999999999997E-2</v>
      </c>
    </row>
    <row r="624" spans="1:20" ht="18" x14ac:dyDescent="0.2">
      <c r="A624" s="4" t="s">
        <v>1803</v>
      </c>
      <c r="B624" s="4" t="s">
        <v>2451</v>
      </c>
      <c r="C624" s="4" t="s">
        <v>50</v>
      </c>
      <c r="D624" s="4">
        <v>1</v>
      </c>
      <c r="E624" s="4" t="s">
        <v>61</v>
      </c>
      <c r="F624" s="4">
        <v>0</v>
      </c>
      <c r="G624" s="4">
        <v>0</v>
      </c>
      <c r="H624" s="4">
        <v>2</v>
      </c>
      <c r="I624" s="4">
        <v>0</v>
      </c>
      <c r="J624" s="4">
        <v>0</v>
      </c>
      <c r="K624" s="5">
        <v>3.5583373000000002E-5</v>
      </c>
      <c r="L624" s="4">
        <v>0</v>
      </c>
      <c r="M624" s="4">
        <v>0</v>
      </c>
      <c r="N624" s="4">
        <v>4.712856E-2</v>
      </c>
      <c r="O624" s="4">
        <v>0</v>
      </c>
      <c r="P624" s="4">
        <v>0</v>
      </c>
      <c r="Q624" s="4">
        <v>2</v>
      </c>
      <c r="R624" s="4">
        <v>0</v>
      </c>
      <c r="S624" s="4">
        <v>0</v>
      </c>
      <c r="T624" s="6">
        <v>0.02</v>
      </c>
    </row>
    <row r="625" spans="1:20" ht="18" x14ac:dyDescent="0.2">
      <c r="A625" s="4" t="s">
        <v>1804</v>
      </c>
      <c r="B625" s="4" t="s">
        <v>2452</v>
      </c>
      <c r="C625" s="4" t="s">
        <v>1929</v>
      </c>
      <c r="D625" s="4">
        <v>1</v>
      </c>
      <c r="E625" s="4" t="s">
        <v>61</v>
      </c>
      <c r="F625" s="4">
        <v>0</v>
      </c>
      <c r="G625" s="4">
        <v>0</v>
      </c>
      <c r="H625" s="4">
        <v>3</v>
      </c>
      <c r="I625" s="4">
        <v>0</v>
      </c>
      <c r="J625" s="4">
        <v>0</v>
      </c>
      <c r="K625" s="5">
        <v>4.3886157999999998E-4</v>
      </c>
      <c r="L625" s="4">
        <v>0</v>
      </c>
      <c r="M625" s="4">
        <v>0</v>
      </c>
      <c r="N625" s="4">
        <v>0.56314766000000005</v>
      </c>
      <c r="O625" s="4">
        <v>0</v>
      </c>
      <c r="P625" s="4">
        <v>0</v>
      </c>
      <c r="Q625" s="4">
        <v>3</v>
      </c>
      <c r="R625" s="4">
        <v>0</v>
      </c>
      <c r="S625" s="4">
        <v>0</v>
      </c>
      <c r="T625" s="6">
        <v>0.19400000000000001</v>
      </c>
    </row>
    <row r="626" spans="1:20" ht="18" x14ac:dyDescent="0.2">
      <c r="A626" s="4" t="s">
        <v>1805</v>
      </c>
      <c r="B626" s="4" t="s">
        <v>2453</v>
      </c>
      <c r="C626" s="4" t="s">
        <v>1929</v>
      </c>
      <c r="D626" s="4">
        <v>1</v>
      </c>
      <c r="E626" s="4" t="s">
        <v>61</v>
      </c>
      <c r="F626" s="4">
        <v>0</v>
      </c>
      <c r="G626" s="4">
        <v>0</v>
      </c>
      <c r="H626" s="4">
        <v>3</v>
      </c>
      <c r="I626" s="4">
        <v>0</v>
      </c>
      <c r="J626" s="4">
        <v>0</v>
      </c>
      <c r="K626" s="5">
        <v>4.0510299999999997E-4</v>
      </c>
      <c r="L626" s="4">
        <v>0</v>
      </c>
      <c r="M626" s="4">
        <v>0</v>
      </c>
      <c r="N626" s="4">
        <v>0.51008010000000004</v>
      </c>
      <c r="O626" s="4">
        <v>0</v>
      </c>
      <c r="P626" s="4">
        <v>0</v>
      </c>
      <c r="Q626" s="4">
        <v>3</v>
      </c>
      <c r="R626" s="4">
        <v>0</v>
      </c>
      <c r="S626" s="4">
        <v>0</v>
      </c>
      <c r="T626" s="6">
        <v>0.17899999999999999</v>
      </c>
    </row>
    <row r="627" spans="1:20" ht="18" x14ac:dyDescent="0.2">
      <c r="A627" s="4" t="s">
        <v>1806</v>
      </c>
      <c r="B627" s="4" t="s">
        <v>2454</v>
      </c>
      <c r="C627" s="4" t="s">
        <v>1929</v>
      </c>
      <c r="D627" s="4">
        <v>1</v>
      </c>
      <c r="E627" s="4" t="s">
        <v>61</v>
      </c>
      <c r="F627" s="4">
        <v>0</v>
      </c>
      <c r="G627" s="4">
        <v>0</v>
      </c>
      <c r="H627" s="4">
        <v>3</v>
      </c>
      <c r="I627" s="4">
        <v>0</v>
      </c>
      <c r="J627" s="4">
        <v>0</v>
      </c>
      <c r="K627" s="5">
        <v>6.4485780000000004E-4</v>
      </c>
      <c r="L627" s="4">
        <v>0</v>
      </c>
      <c r="M627" s="4">
        <v>0</v>
      </c>
      <c r="N627" s="4">
        <v>0.84077190000000002</v>
      </c>
      <c r="O627" s="4">
        <v>0</v>
      </c>
      <c r="P627" s="4">
        <v>0</v>
      </c>
      <c r="Q627" s="4">
        <v>6</v>
      </c>
      <c r="R627" s="4">
        <v>0</v>
      </c>
      <c r="S627" s="4">
        <v>0</v>
      </c>
      <c r="T627" s="6">
        <v>0.26500000000000001</v>
      </c>
    </row>
    <row r="628" spans="1:20" ht="18" x14ac:dyDescent="0.2">
      <c r="A628" s="4" t="s">
        <v>1807</v>
      </c>
      <c r="B628" s="4" t="s">
        <v>2455</v>
      </c>
      <c r="C628" s="4" t="s">
        <v>1929</v>
      </c>
      <c r="D628" s="4">
        <v>1</v>
      </c>
      <c r="E628" s="4" t="s">
        <v>61</v>
      </c>
      <c r="F628" s="4">
        <v>0</v>
      </c>
      <c r="G628" s="4">
        <v>0</v>
      </c>
      <c r="H628" s="4">
        <v>2</v>
      </c>
      <c r="I628" s="4">
        <v>0</v>
      </c>
      <c r="J628" s="4">
        <v>0</v>
      </c>
      <c r="K628" s="5">
        <v>8.0958320000000005E-6</v>
      </c>
      <c r="L628" s="4">
        <v>0</v>
      </c>
      <c r="M628" s="4">
        <v>0</v>
      </c>
      <c r="N628" s="4">
        <v>9.252906E-3</v>
      </c>
      <c r="O628" s="4">
        <v>0</v>
      </c>
      <c r="P628" s="4">
        <v>0</v>
      </c>
      <c r="Q628" s="4">
        <v>2</v>
      </c>
      <c r="R628" s="4">
        <v>0</v>
      </c>
      <c r="S628" s="4">
        <v>0</v>
      </c>
      <c r="T628" s="6">
        <v>4.0000000000000001E-3</v>
      </c>
    </row>
    <row r="629" spans="1:20" ht="18" x14ac:dyDescent="0.2">
      <c r="A629" s="4" t="s">
        <v>1808</v>
      </c>
      <c r="B629" s="4" t="s">
        <v>2456</v>
      </c>
      <c r="C629" s="4" t="s">
        <v>1929</v>
      </c>
      <c r="D629" s="4">
        <v>1</v>
      </c>
      <c r="E629" s="4" t="s">
        <v>61</v>
      </c>
      <c r="F629" s="4">
        <v>0</v>
      </c>
      <c r="G629" s="4">
        <v>0</v>
      </c>
      <c r="H629" s="4">
        <v>3</v>
      </c>
      <c r="I629" s="4">
        <v>0</v>
      </c>
      <c r="J629" s="4">
        <v>0</v>
      </c>
      <c r="K629" s="5">
        <v>8.6333419999999996E-4</v>
      </c>
      <c r="L629" s="4">
        <v>0</v>
      </c>
      <c r="M629" s="4">
        <v>0</v>
      </c>
      <c r="N629" s="4">
        <v>0.35207260000000001</v>
      </c>
      <c r="O629" s="4">
        <v>0</v>
      </c>
      <c r="P629" s="4">
        <v>0</v>
      </c>
      <c r="Q629" s="4">
        <v>5</v>
      </c>
      <c r="R629" s="4">
        <v>0</v>
      </c>
      <c r="S629" s="4">
        <v>0</v>
      </c>
      <c r="T629" s="6">
        <v>0.13100000000000001</v>
      </c>
    </row>
    <row r="630" spans="1:20" ht="18" x14ac:dyDescent="0.2">
      <c r="A630" s="4" t="s">
        <v>1809</v>
      </c>
      <c r="B630" s="4" t="s">
        <v>2457</v>
      </c>
      <c r="C630" s="4" t="s">
        <v>1929</v>
      </c>
      <c r="D630" s="4">
        <v>1</v>
      </c>
      <c r="E630" s="4" t="s">
        <v>61</v>
      </c>
      <c r="F630" s="4">
        <v>0</v>
      </c>
      <c r="G630" s="4">
        <v>0</v>
      </c>
      <c r="H630" s="4">
        <v>2</v>
      </c>
      <c r="I630" s="4">
        <v>0</v>
      </c>
      <c r="J630" s="4">
        <v>0</v>
      </c>
      <c r="K630" s="5">
        <v>1.1689986E-5</v>
      </c>
      <c r="L630" s="4">
        <v>0</v>
      </c>
      <c r="M630" s="4">
        <v>0</v>
      </c>
      <c r="N630" s="4">
        <v>4.712856E-2</v>
      </c>
      <c r="O630" s="4">
        <v>0</v>
      </c>
      <c r="P630" s="4">
        <v>0</v>
      </c>
      <c r="Q630" s="4">
        <v>2</v>
      </c>
      <c r="R630" s="4">
        <v>0</v>
      </c>
      <c r="S630" s="4">
        <v>0</v>
      </c>
      <c r="T630" s="6">
        <v>0.02</v>
      </c>
    </row>
    <row r="631" spans="1:20" ht="18" x14ac:dyDescent="0.2">
      <c r="A631" s="4" t="s">
        <v>1810</v>
      </c>
      <c r="B631" s="4" t="s">
        <v>2458</v>
      </c>
      <c r="C631" s="4" t="s">
        <v>1929</v>
      </c>
      <c r="D631" s="4">
        <v>1</v>
      </c>
      <c r="E631" s="4" t="s">
        <v>61</v>
      </c>
      <c r="F631" s="4">
        <v>0</v>
      </c>
      <c r="G631" s="4">
        <v>0</v>
      </c>
      <c r="H631" s="4">
        <v>7</v>
      </c>
      <c r="I631" s="4">
        <v>0</v>
      </c>
      <c r="J631" s="4">
        <v>0</v>
      </c>
      <c r="K631" s="5">
        <v>1.4834755999999999E-4</v>
      </c>
      <c r="L631" s="4">
        <v>0</v>
      </c>
      <c r="M631" s="4">
        <v>0</v>
      </c>
      <c r="N631" s="4">
        <v>0.20226443</v>
      </c>
      <c r="O631" s="4">
        <v>0</v>
      </c>
      <c r="P631" s="4">
        <v>0</v>
      </c>
      <c r="Q631" s="4">
        <v>7</v>
      </c>
      <c r="R631" s="4">
        <v>0</v>
      </c>
      <c r="S631" s="4">
        <v>0</v>
      </c>
      <c r="T631" s="6">
        <v>0.08</v>
      </c>
    </row>
    <row r="632" spans="1:20" ht="18" x14ac:dyDescent="0.2">
      <c r="A632" s="4" t="s">
        <v>1811</v>
      </c>
      <c r="B632" s="4" t="s">
        <v>2459</v>
      </c>
      <c r="C632" s="4" t="s">
        <v>1929</v>
      </c>
      <c r="D632" s="4">
        <v>1</v>
      </c>
      <c r="E632" s="4" t="s">
        <v>61</v>
      </c>
      <c r="F632" s="4">
        <v>0</v>
      </c>
      <c r="G632" s="4">
        <v>0</v>
      </c>
      <c r="H632" s="4">
        <v>2</v>
      </c>
      <c r="I632" s="4">
        <v>0</v>
      </c>
      <c r="J632" s="4">
        <v>0</v>
      </c>
      <c r="K632" s="5">
        <v>8.2576849999999995E-6</v>
      </c>
      <c r="L632" s="4">
        <v>0</v>
      </c>
      <c r="M632" s="4">
        <v>0</v>
      </c>
      <c r="N632" s="4">
        <v>1.1579514000000001E-2</v>
      </c>
      <c r="O632" s="4">
        <v>0</v>
      </c>
      <c r="P632" s="4">
        <v>0</v>
      </c>
      <c r="Q632" s="4">
        <v>2</v>
      </c>
      <c r="R632" s="4">
        <v>0</v>
      </c>
      <c r="S632" s="4">
        <v>0</v>
      </c>
      <c r="T632" s="6">
        <v>5.0000000000000001E-3</v>
      </c>
    </row>
    <row r="633" spans="1:20" ht="18" x14ac:dyDescent="0.2">
      <c r="A633" s="4" t="s">
        <v>1812</v>
      </c>
      <c r="B633" s="4" t="s">
        <v>2460</v>
      </c>
      <c r="C633" s="4" t="s">
        <v>1929</v>
      </c>
      <c r="D633" s="4">
        <v>1</v>
      </c>
      <c r="E633" s="4" t="s">
        <v>61</v>
      </c>
      <c r="F633" s="4">
        <v>0</v>
      </c>
      <c r="G633" s="4">
        <v>0</v>
      </c>
      <c r="H633" s="4">
        <v>17</v>
      </c>
      <c r="I633" s="4">
        <v>0</v>
      </c>
      <c r="J633" s="4">
        <v>0</v>
      </c>
      <c r="K633" s="5">
        <v>5.7356164000000004E-4</v>
      </c>
      <c r="L633" s="4">
        <v>0</v>
      </c>
      <c r="M633" s="4">
        <v>0</v>
      </c>
      <c r="N633" s="4">
        <v>0.55238699999999996</v>
      </c>
      <c r="O633" s="4">
        <v>0</v>
      </c>
      <c r="P633" s="4">
        <v>0</v>
      </c>
      <c r="Q633" s="4">
        <v>22</v>
      </c>
      <c r="R633" s="4">
        <v>0</v>
      </c>
      <c r="S633" s="4">
        <v>0</v>
      </c>
      <c r="T633" s="6">
        <v>0.191</v>
      </c>
    </row>
    <row r="634" spans="1:20" ht="18" x14ac:dyDescent="0.2">
      <c r="A634" s="4" t="s">
        <v>1813</v>
      </c>
      <c r="B634" s="4" t="s">
        <v>2461</v>
      </c>
      <c r="C634" s="4" t="s">
        <v>1929</v>
      </c>
      <c r="D634" s="4">
        <v>1</v>
      </c>
      <c r="E634" s="4" t="s">
        <v>61</v>
      </c>
      <c r="F634" s="4">
        <v>0</v>
      </c>
      <c r="G634" s="4">
        <v>0</v>
      </c>
      <c r="H634" s="4">
        <v>14</v>
      </c>
      <c r="I634" s="4">
        <v>0</v>
      </c>
      <c r="J634" s="4">
        <v>0</v>
      </c>
      <c r="K634" s="5">
        <v>4.8364334999999997E-4</v>
      </c>
      <c r="L634" s="4">
        <v>0</v>
      </c>
      <c r="M634" s="4">
        <v>0</v>
      </c>
      <c r="N634" s="4">
        <v>0.43879855000000001</v>
      </c>
      <c r="O634" s="4">
        <v>0</v>
      </c>
      <c r="P634" s="4">
        <v>0</v>
      </c>
      <c r="Q634" s="4">
        <v>18</v>
      </c>
      <c r="R634" s="4">
        <v>0</v>
      </c>
      <c r="S634" s="4">
        <v>0</v>
      </c>
      <c r="T634" s="6">
        <v>0.158</v>
      </c>
    </row>
    <row r="635" spans="1:20" ht="18" x14ac:dyDescent="0.2">
      <c r="A635" s="4" t="s">
        <v>1814</v>
      </c>
      <c r="B635" s="4" t="s">
        <v>2462</v>
      </c>
      <c r="C635" s="4" t="s">
        <v>1929</v>
      </c>
      <c r="D635" s="4">
        <v>1</v>
      </c>
      <c r="E635" s="4" t="s">
        <v>61</v>
      </c>
      <c r="F635" s="4">
        <v>0</v>
      </c>
      <c r="G635" s="4">
        <v>0</v>
      </c>
      <c r="H635" s="4">
        <v>6</v>
      </c>
      <c r="I635" s="4">
        <v>0</v>
      </c>
      <c r="J635" s="4">
        <v>0</v>
      </c>
      <c r="K635" s="5">
        <v>1.3003306E-4</v>
      </c>
      <c r="L635" s="4">
        <v>0</v>
      </c>
      <c r="M635" s="4">
        <v>0</v>
      </c>
      <c r="N635" s="4">
        <v>0.14287830000000001</v>
      </c>
      <c r="O635" s="4">
        <v>0</v>
      </c>
      <c r="P635" s="4">
        <v>0</v>
      </c>
      <c r="Q635" s="4">
        <v>6</v>
      </c>
      <c r="R635" s="4">
        <v>0</v>
      </c>
      <c r="S635" s="4">
        <v>0</v>
      </c>
      <c r="T635" s="6">
        <v>5.8000000000000003E-2</v>
      </c>
    </row>
    <row r="636" spans="1:20" ht="18" x14ac:dyDescent="0.2">
      <c r="A636" s="4" t="s">
        <v>1815</v>
      </c>
      <c r="B636" s="4" t="s">
        <v>2463</v>
      </c>
      <c r="C636" s="7" t="s">
        <v>1929</v>
      </c>
      <c r="D636" s="4">
        <v>1</v>
      </c>
      <c r="E636" s="4" t="s">
        <v>61</v>
      </c>
      <c r="F636" s="4">
        <v>0</v>
      </c>
      <c r="G636" s="4">
        <v>0</v>
      </c>
      <c r="H636" s="4">
        <v>3</v>
      </c>
      <c r="I636" s="4">
        <v>0</v>
      </c>
      <c r="J636" s="4">
        <v>0</v>
      </c>
      <c r="K636" s="5">
        <v>6.4485780000000004E-4</v>
      </c>
      <c r="L636" s="4">
        <v>0</v>
      </c>
      <c r="M636" s="4">
        <v>0</v>
      </c>
      <c r="N636" s="4">
        <v>0.84077190000000002</v>
      </c>
      <c r="O636" s="4">
        <v>0</v>
      </c>
      <c r="P636" s="4">
        <v>0</v>
      </c>
      <c r="Q636" s="4">
        <v>6</v>
      </c>
      <c r="R636" s="4">
        <v>0</v>
      </c>
      <c r="S636" s="4">
        <v>0</v>
      </c>
      <c r="T636" s="6">
        <v>0.26500000000000001</v>
      </c>
    </row>
    <row r="637" spans="1:20" ht="18" x14ac:dyDescent="0.2">
      <c r="A637" s="4" t="s">
        <v>1816</v>
      </c>
      <c r="B637" s="4" t="s">
        <v>2464</v>
      </c>
      <c r="C637" s="7" t="s">
        <v>1929</v>
      </c>
      <c r="D637" s="4">
        <v>1</v>
      </c>
      <c r="E637" s="4" t="s">
        <v>61</v>
      </c>
      <c r="F637" s="4">
        <v>0</v>
      </c>
      <c r="G637" s="4">
        <v>0</v>
      </c>
      <c r="H637" s="4">
        <v>3</v>
      </c>
      <c r="I637" s="4">
        <v>0</v>
      </c>
      <c r="J637" s="4">
        <v>0</v>
      </c>
      <c r="K637" s="5">
        <v>7.2639155999999999E-4</v>
      </c>
      <c r="L637" s="4">
        <v>0</v>
      </c>
      <c r="M637" s="4">
        <v>0</v>
      </c>
      <c r="N637" s="4">
        <v>0.566751</v>
      </c>
      <c r="O637" s="4">
        <v>0</v>
      </c>
      <c r="P637" s="4">
        <v>0</v>
      </c>
      <c r="Q637" s="4">
        <v>6</v>
      </c>
      <c r="R637" s="4">
        <v>0</v>
      </c>
      <c r="S637" s="4">
        <v>0</v>
      </c>
      <c r="T637" s="6">
        <v>0.19500000000000001</v>
      </c>
    </row>
    <row r="638" spans="1:20" ht="18" x14ac:dyDescent="0.2">
      <c r="A638" s="4" t="s">
        <v>1817</v>
      </c>
      <c r="B638" s="4" t="s">
        <v>2465</v>
      </c>
      <c r="C638" s="7" t="s">
        <v>1929</v>
      </c>
      <c r="D638" s="4">
        <v>1</v>
      </c>
      <c r="E638" s="4" t="s">
        <v>61</v>
      </c>
      <c r="F638" s="4">
        <v>0</v>
      </c>
      <c r="G638" s="4">
        <v>0</v>
      </c>
      <c r="H638" s="4">
        <v>3</v>
      </c>
      <c r="I638" s="4">
        <v>0</v>
      </c>
      <c r="J638" s="4">
        <v>0</v>
      </c>
      <c r="K638" s="5">
        <v>6.3705709999999996E-5</v>
      </c>
      <c r="L638" s="4">
        <v>0</v>
      </c>
      <c r="M638" s="4">
        <v>0</v>
      </c>
      <c r="N638" s="4">
        <v>4.712856E-2</v>
      </c>
      <c r="O638" s="4">
        <v>0</v>
      </c>
      <c r="P638" s="4">
        <v>0</v>
      </c>
      <c r="Q638" s="4">
        <v>3</v>
      </c>
      <c r="R638" s="4">
        <v>0</v>
      </c>
      <c r="S638" s="4">
        <v>0</v>
      </c>
      <c r="T638" s="6">
        <v>0.02</v>
      </c>
    </row>
    <row r="639" spans="1:20" ht="18" x14ac:dyDescent="0.2">
      <c r="A639" s="4" t="s">
        <v>1818</v>
      </c>
      <c r="B639" s="4" t="s">
        <v>2466</v>
      </c>
      <c r="C639" s="7" t="s">
        <v>1929</v>
      </c>
      <c r="D639" s="4">
        <v>1</v>
      </c>
      <c r="E639" s="4" t="s">
        <v>61</v>
      </c>
      <c r="F639" s="4">
        <v>0</v>
      </c>
      <c r="G639" s="4">
        <v>0</v>
      </c>
      <c r="H639" s="4">
        <v>4</v>
      </c>
      <c r="I639" s="4">
        <v>0</v>
      </c>
      <c r="J639" s="4">
        <v>0</v>
      </c>
      <c r="K639" s="5">
        <v>8.5981040000000005E-5</v>
      </c>
      <c r="L639" s="4">
        <v>0</v>
      </c>
      <c r="M639" s="4">
        <v>0</v>
      </c>
      <c r="N639" s="4">
        <v>0.10917485</v>
      </c>
      <c r="O639" s="4">
        <v>0</v>
      </c>
      <c r="P639" s="4">
        <v>0</v>
      </c>
      <c r="Q639" s="4">
        <v>4</v>
      </c>
      <c r="R639" s="4">
        <v>0</v>
      </c>
      <c r="S639" s="4">
        <v>0</v>
      </c>
      <c r="T639" s="6">
        <v>4.4999999999999998E-2</v>
      </c>
    </row>
    <row r="640" spans="1:20" ht="18" x14ac:dyDescent="0.2">
      <c r="A640" s="4" t="s">
        <v>1819</v>
      </c>
      <c r="B640" s="4" t="s">
        <v>2467</v>
      </c>
      <c r="C640" s="7" t="s">
        <v>1929</v>
      </c>
      <c r="D640" s="4">
        <v>1</v>
      </c>
      <c r="E640" s="4" t="s">
        <v>61</v>
      </c>
      <c r="F640" s="4">
        <v>0</v>
      </c>
      <c r="G640" s="4">
        <v>0</v>
      </c>
      <c r="H640" s="4">
        <v>2</v>
      </c>
      <c r="I640" s="4">
        <v>0</v>
      </c>
      <c r="J640" s="4">
        <v>0</v>
      </c>
      <c r="K640" s="5">
        <v>1.2613986E-4</v>
      </c>
      <c r="L640" s="4">
        <v>0</v>
      </c>
      <c r="M640" s="4">
        <v>0</v>
      </c>
      <c r="N640" s="4">
        <v>0.57761119999999999</v>
      </c>
      <c r="O640" s="4">
        <v>0</v>
      </c>
      <c r="P640" s="4">
        <v>0</v>
      </c>
      <c r="Q640" s="4">
        <v>2</v>
      </c>
      <c r="R640" s="4">
        <v>0</v>
      </c>
      <c r="S640" s="4">
        <v>0</v>
      </c>
      <c r="T640" s="6">
        <v>0.19800000000000001</v>
      </c>
    </row>
    <row r="641" spans="1:20" ht="18" x14ac:dyDescent="0.2">
      <c r="A641" s="4" t="s">
        <v>1820</v>
      </c>
      <c r="B641" s="4" t="s">
        <v>2468</v>
      </c>
      <c r="C641" s="7" t="s">
        <v>1929</v>
      </c>
      <c r="D641" s="4">
        <v>1</v>
      </c>
      <c r="E641" s="4" t="s">
        <v>61</v>
      </c>
      <c r="F641" s="4">
        <v>0</v>
      </c>
      <c r="G641" s="4">
        <v>0</v>
      </c>
      <c r="H641" s="4">
        <v>6</v>
      </c>
      <c r="I641" s="4">
        <v>0</v>
      </c>
      <c r="J641" s="4">
        <v>0</v>
      </c>
      <c r="K641" s="5">
        <v>1.2923531000000001E-4</v>
      </c>
      <c r="L641" s="4">
        <v>0</v>
      </c>
      <c r="M641" s="4">
        <v>0</v>
      </c>
      <c r="N641" s="4">
        <v>0.14024972999999999</v>
      </c>
      <c r="O641" s="4">
        <v>0</v>
      </c>
      <c r="P641" s="4">
        <v>0</v>
      </c>
      <c r="Q641" s="4">
        <v>6</v>
      </c>
      <c r="R641" s="4">
        <v>0</v>
      </c>
      <c r="S641" s="4">
        <v>0</v>
      </c>
      <c r="T641" s="6">
        <v>5.7000000000000002E-2</v>
      </c>
    </row>
    <row r="642" spans="1:20" ht="18" x14ac:dyDescent="0.2">
      <c r="A642" s="4" t="s">
        <v>1821</v>
      </c>
      <c r="B642" s="4" t="s">
        <v>2469</v>
      </c>
      <c r="C642" s="7" t="s">
        <v>1929</v>
      </c>
      <c r="D642" s="4">
        <v>1</v>
      </c>
      <c r="E642" s="4" t="s">
        <v>61</v>
      </c>
      <c r="F642" s="4">
        <v>0</v>
      </c>
      <c r="G642" s="4">
        <v>0</v>
      </c>
      <c r="H642" s="4">
        <v>2</v>
      </c>
      <c r="I642" s="4">
        <v>0</v>
      </c>
      <c r="J642" s="4">
        <v>0</v>
      </c>
      <c r="K642" s="5">
        <v>4.5994227999999997E-5</v>
      </c>
      <c r="L642" s="4">
        <v>0</v>
      </c>
      <c r="M642" s="4">
        <v>0</v>
      </c>
      <c r="N642" s="4">
        <v>9.3956349999999994E-2</v>
      </c>
      <c r="O642" s="4">
        <v>0</v>
      </c>
      <c r="P642" s="4">
        <v>0</v>
      </c>
      <c r="Q642" s="4">
        <v>2</v>
      </c>
      <c r="R642" s="4">
        <v>0</v>
      </c>
      <c r="S642" s="4">
        <v>0</v>
      </c>
      <c r="T642" s="6">
        <v>3.9E-2</v>
      </c>
    </row>
    <row r="643" spans="1:20" ht="18" x14ac:dyDescent="0.2">
      <c r="A643" s="4" t="s">
        <v>1822</v>
      </c>
      <c r="B643" s="4" t="s">
        <v>2470</v>
      </c>
      <c r="C643" s="4" t="s">
        <v>1929</v>
      </c>
      <c r="D643" s="4">
        <v>1</v>
      </c>
      <c r="E643" s="4" t="s">
        <v>61</v>
      </c>
      <c r="F643" s="4">
        <v>0</v>
      </c>
      <c r="G643" s="4">
        <v>0</v>
      </c>
      <c r="H643" s="4">
        <v>11</v>
      </c>
      <c r="I643" s="4">
        <v>0</v>
      </c>
      <c r="J643" s="4">
        <v>0</v>
      </c>
      <c r="K643" s="5">
        <v>1.5418376000000001E-4</v>
      </c>
      <c r="L643" s="4">
        <v>0</v>
      </c>
      <c r="M643" s="4">
        <v>0</v>
      </c>
      <c r="N643" s="4">
        <v>0.20503592000000001</v>
      </c>
      <c r="O643" s="4">
        <v>0</v>
      </c>
      <c r="P643" s="4">
        <v>0</v>
      </c>
      <c r="Q643" s="4">
        <v>16</v>
      </c>
      <c r="R643" s="4">
        <v>0</v>
      </c>
      <c r="S643" s="4">
        <v>0</v>
      </c>
      <c r="T643" s="6">
        <v>8.1000000000000003E-2</v>
      </c>
    </row>
    <row r="644" spans="1:20" ht="18" x14ac:dyDescent="0.2">
      <c r="A644" s="4" t="s">
        <v>1823</v>
      </c>
      <c r="B644" s="4" t="s">
        <v>2471</v>
      </c>
      <c r="C644" s="4" t="s">
        <v>1929</v>
      </c>
      <c r="D644" s="4">
        <v>1</v>
      </c>
      <c r="E644" s="4" t="s">
        <v>61</v>
      </c>
      <c r="F644" s="4">
        <v>0</v>
      </c>
      <c r="G644" s="4">
        <v>0</v>
      </c>
      <c r="H644" s="4">
        <v>3</v>
      </c>
      <c r="I644" s="4">
        <v>0</v>
      </c>
      <c r="J644" s="4">
        <v>0</v>
      </c>
      <c r="K644" s="5">
        <v>1.0758607999999999E-5</v>
      </c>
      <c r="L644" s="4">
        <v>0</v>
      </c>
      <c r="M644" s="4">
        <v>0</v>
      </c>
      <c r="N644" s="4">
        <v>1.6248703E-2</v>
      </c>
      <c r="O644" s="4">
        <v>0</v>
      </c>
      <c r="P644" s="4">
        <v>0</v>
      </c>
      <c r="Q644" s="4">
        <v>3</v>
      </c>
      <c r="R644" s="4">
        <v>0</v>
      </c>
      <c r="S644" s="4">
        <v>0</v>
      </c>
      <c r="T644" s="6">
        <v>7.0000000000000001E-3</v>
      </c>
    </row>
    <row r="645" spans="1:20" ht="18" x14ac:dyDescent="0.2">
      <c r="A645" s="4" t="s">
        <v>1824</v>
      </c>
      <c r="B645" s="4" t="s">
        <v>2472</v>
      </c>
      <c r="C645" s="4" t="s">
        <v>1929</v>
      </c>
      <c r="D645" s="4">
        <v>1</v>
      </c>
      <c r="E645" s="4" t="s">
        <v>61</v>
      </c>
      <c r="F645" s="4">
        <v>0</v>
      </c>
      <c r="G645" s="4">
        <v>0</v>
      </c>
      <c r="H645" s="4">
        <v>5</v>
      </c>
      <c r="I645" s="4">
        <v>0</v>
      </c>
      <c r="J645" s="4">
        <v>0</v>
      </c>
      <c r="K645" s="5">
        <v>4.2413466999999999E-5</v>
      </c>
      <c r="L645" s="4">
        <v>0</v>
      </c>
      <c r="M645" s="4">
        <v>0</v>
      </c>
      <c r="N645" s="4">
        <v>7.6465249999999998E-2</v>
      </c>
      <c r="O645" s="4">
        <v>0</v>
      </c>
      <c r="P645" s="4">
        <v>0</v>
      </c>
      <c r="Q645" s="4">
        <v>6</v>
      </c>
      <c r="R645" s="4">
        <v>0</v>
      </c>
      <c r="S645" s="4">
        <v>0</v>
      </c>
      <c r="T645" s="6">
        <v>3.2000000000000001E-2</v>
      </c>
    </row>
    <row r="646" spans="1:20" ht="18" x14ac:dyDescent="0.2">
      <c r="A646" s="4" t="s">
        <v>1825</v>
      </c>
      <c r="B646" s="4" t="s">
        <v>2473</v>
      </c>
      <c r="C646" s="4" t="s">
        <v>1929</v>
      </c>
      <c r="D646" s="4">
        <v>1</v>
      </c>
      <c r="E646" s="4" t="s">
        <v>61</v>
      </c>
      <c r="F646" s="4">
        <v>0</v>
      </c>
      <c r="G646" s="4">
        <v>0</v>
      </c>
      <c r="H646" s="4">
        <v>3</v>
      </c>
      <c r="I646" s="4">
        <v>0</v>
      </c>
      <c r="J646" s="4">
        <v>0</v>
      </c>
      <c r="K646" s="5">
        <v>2.6743995E-5</v>
      </c>
      <c r="L646" s="4">
        <v>0</v>
      </c>
      <c r="M646" s="4">
        <v>0</v>
      </c>
      <c r="N646" s="4">
        <v>1.1579514000000001E-2</v>
      </c>
      <c r="O646" s="4">
        <v>0</v>
      </c>
      <c r="P646" s="4">
        <v>0</v>
      </c>
      <c r="Q646" s="4">
        <v>6</v>
      </c>
      <c r="R646" s="4">
        <v>0</v>
      </c>
      <c r="S646" s="4">
        <v>0</v>
      </c>
      <c r="T646" s="6">
        <v>5.0000000000000001E-3</v>
      </c>
    </row>
    <row r="647" spans="1:20" ht="18" x14ac:dyDescent="0.2">
      <c r="A647" s="4" t="s">
        <v>1826</v>
      </c>
      <c r="B647" s="4" t="s">
        <v>2474</v>
      </c>
      <c r="C647" s="4" t="s">
        <v>1967</v>
      </c>
      <c r="D647" s="4">
        <v>1</v>
      </c>
      <c r="E647" s="4" t="s">
        <v>61</v>
      </c>
      <c r="F647" s="4">
        <v>0</v>
      </c>
      <c r="G647" s="4">
        <v>0</v>
      </c>
      <c r="H647" s="4">
        <v>3</v>
      </c>
      <c r="I647" s="4">
        <v>0</v>
      </c>
      <c r="J647" s="4">
        <v>0</v>
      </c>
      <c r="K647" s="5">
        <v>2.7572453999999999E-4</v>
      </c>
      <c r="L647" s="4">
        <v>0</v>
      </c>
      <c r="M647" s="4">
        <v>0</v>
      </c>
      <c r="N647" s="4">
        <v>0.19949937000000001</v>
      </c>
      <c r="O647" s="4">
        <v>0</v>
      </c>
      <c r="P647" s="4">
        <v>0</v>
      </c>
      <c r="Q647" s="4">
        <v>5</v>
      </c>
      <c r="R647" s="4">
        <v>0</v>
      </c>
      <c r="S647" s="4">
        <v>0</v>
      </c>
      <c r="T647" s="6">
        <v>7.9000000000000001E-2</v>
      </c>
    </row>
    <row r="648" spans="1:20" ht="18" x14ac:dyDescent="0.2">
      <c r="A648" s="4" t="s">
        <v>1827</v>
      </c>
      <c r="B648" s="4" t="s">
        <v>2475</v>
      </c>
      <c r="C648" s="4" t="s">
        <v>2088</v>
      </c>
      <c r="D648" s="4">
        <v>1</v>
      </c>
      <c r="E648" s="4" t="s">
        <v>61</v>
      </c>
      <c r="F648" s="4">
        <v>0</v>
      </c>
      <c r="G648" s="4">
        <v>0</v>
      </c>
      <c r="H648" s="4">
        <v>2</v>
      </c>
      <c r="I648" s="4">
        <v>0</v>
      </c>
      <c r="J648" s="4">
        <v>0</v>
      </c>
      <c r="K648" s="5">
        <v>2.3328190000000001E-5</v>
      </c>
      <c r="L648" s="4">
        <v>0</v>
      </c>
      <c r="M648" s="4">
        <v>0</v>
      </c>
      <c r="N648" s="4">
        <v>3.9920209999999998E-2</v>
      </c>
      <c r="O648" s="4">
        <v>0</v>
      </c>
      <c r="P648" s="4">
        <v>0</v>
      </c>
      <c r="Q648" s="4">
        <v>2</v>
      </c>
      <c r="R648" s="4">
        <v>0</v>
      </c>
      <c r="S648" s="4">
        <v>0</v>
      </c>
      <c r="T648" s="6">
        <v>1.7000000000000001E-2</v>
      </c>
    </row>
    <row r="649" spans="1:20" ht="18" x14ac:dyDescent="0.2">
      <c r="A649" s="4" t="s">
        <v>1828</v>
      </c>
      <c r="B649" s="4" t="s">
        <v>2476</v>
      </c>
      <c r="C649" s="4" t="s">
        <v>2088</v>
      </c>
      <c r="D649" s="4">
        <v>1</v>
      </c>
      <c r="E649" s="4" t="s">
        <v>61</v>
      </c>
      <c r="F649" s="4">
        <v>0</v>
      </c>
      <c r="G649" s="4">
        <v>0</v>
      </c>
      <c r="H649" s="4">
        <v>4</v>
      </c>
      <c r="I649" s="4">
        <v>0</v>
      </c>
      <c r="J649" s="4">
        <v>0</v>
      </c>
      <c r="K649" s="5">
        <v>1.3950565999999999E-4</v>
      </c>
      <c r="L649" s="4">
        <v>0</v>
      </c>
      <c r="M649" s="4">
        <v>0</v>
      </c>
      <c r="N649" s="4">
        <v>0.25602996</v>
      </c>
      <c r="O649" s="4">
        <v>0</v>
      </c>
      <c r="P649" s="4">
        <v>0</v>
      </c>
      <c r="Q649" s="4">
        <v>4</v>
      </c>
      <c r="R649" s="4">
        <v>0</v>
      </c>
      <c r="S649" s="4">
        <v>0</v>
      </c>
      <c r="T649" s="6">
        <v>9.9000000000000005E-2</v>
      </c>
    </row>
    <row r="650" spans="1:20" ht="18" x14ac:dyDescent="0.2">
      <c r="A650" s="4" t="s">
        <v>1829</v>
      </c>
      <c r="B650" s="4" t="s">
        <v>2477</v>
      </c>
      <c r="C650" s="4" t="s">
        <v>2088</v>
      </c>
      <c r="D650" s="4">
        <v>1</v>
      </c>
      <c r="E650" s="4" t="s">
        <v>61</v>
      </c>
      <c r="F650" s="4">
        <v>0</v>
      </c>
      <c r="G650" s="4">
        <v>0</v>
      </c>
      <c r="H650" s="4">
        <v>2</v>
      </c>
      <c r="I650" s="4">
        <v>0</v>
      </c>
      <c r="J650" s="4">
        <v>0</v>
      </c>
      <c r="K650" s="5">
        <v>5.2141968000000002E-5</v>
      </c>
      <c r="L650" s="4">
        <v>0</v>
      </c>
      <c r="M650" s="4">
        <v>0</v>
      </c>
      <c r="N650" s="4">
        <v>0.15080035</v>
      </c>
      <c r="O650" s="4">
        <v>0</v>
      </c>
      <c r="P650" s="4">
        <v>0</v>
      </c>
      <c r="Q650" s="4">
        <v>3</v>
      </c>
      <c r="R650" s="4">
        <v>0</v>
      </c>
      <c r="S650" s="4">
        <v>0</v>
      </c>
      <c r="T650" s="6">
        <v>6.0999999999999999E-2</v>
      </c>
    </row>
    <row r="651" spans="1:20" ht="18" x14ac:dyDescent="0.2">
      <c r="A651" s="4" t="s">
        <v>1830</v>
      </c>
      <c r="B651" s="4" t="s">
        <v>2478</v>
      </c>
      <c r="C651" s="4" t="s">
        <v>2088</v>
      </c>
      <c r="D651" s="4">
        <v>1</v>
      </c>
      <c r="E651" s="4" t="s">
        <v>61</v>
      </c>
      <c r="F651" s="4">
        <v>0</v>
      </c>
      <c r="G651" s="4">
        <v>0</v>
      </c>
      <c r="H651" s="4">
        <v>3</v>
      </c>
      <c r="I651" s="4">
        <v>0</v>
      </c>
      <c r="J651" s="4">
        <v>0</v>
      </c>
      <c r="K651" s="5">
        <v>2.9950739999999999E-4</v>
      </c>
      <c r="L651" s="4">
        <v>0</v>
      </c>
      <c r="M651" s="4">
        <v>0</v>
      </c>
      <c r="N651" s="4">
        <v>0.17760598999999999</v>
      </c>
      <c r="O651" s="4">
        <v>0</v>
      </c>
      <c r="P651" s="4">
        <v>0</v>
      </c>
      <c r="Q651" s="4">
        <v>6</v>
      </c>
      <c r="R651" s="4">
        <v>0</v>
      </c>
      <c r="S651" s="4">
        <v>0</v>
      </c>
      <c r="T651" s="6">
        <v>7.0999999999999994E-2</v>
      </c>
    </row>
    <row r="652" spans="1:20" ht="18" x14ac:dyDescent="0.2">
      <c r="A652" s="4" t="s">
        <v>1831</v>
      </c>
      <c r="B652" s="4" t="s">
        <v>2479</v>
      </c>
      <c r="C652" s="4" t="s">
        <v>2088</v>
      </c>
      <c r="D652" s="4">
        <v>1</v>
      </c>
      <c r="E652" s="4" t="s">
        <v>61</v>
      </c>
      <c r="F652" s="4">
        <v>0</v>
      </c>
      <c r="G652" s="4">
        <v>0</v>
      </c>
      <c r="H652" s="4">
        <v>2</v>
      </c>
      <c r="I652" s="4">
        <v>0</v>
      </c>
      <c r="J652" s="4">
        <v>0</v>
      </c>
      <c r="K652" s="5">
        <v>5.4857697E-5</v>
      </c>
      <c r="L652" s="4">
        <v>0</v>
      </c>
      <c r="M652" s="4">
        <v>0</v>
      </c>
      <c r="N652" s="4">
        <v>0.14815365999999999</v>
      </c>
      <c r="O652" s="4">
        <v>0</v>
      </c>
      <c r="P652" s="4">
        <v>0</v>
      </c>
      <c r="Q652" s="4">
        <v>2</v>
      </c>
      <c r="R652" s="4">
        <v>0</v>
      </c>
      <c r="S652" s="4">
        <v>0</v>
      </c>
      <c r="T652" s="6">
        <v>0.06</v>
      </c>
    </row>
    <row r="653" spans="1:20" ht="18" x14ac:dyDescent="0.2">
      <c r="A653" s="4" t="s">
        <v>1832</v>
      </c>
      <c r="B653" s="4" t="s">
        <v>2480</v>
      </c>
      <c r="C653" s="4" t="s">
        <v>2088</v>
      </c>
      <c r="D653" s="4">
        <v>1</v>
      </c>
      <c r="E653" s="4" t="s">
        <v>61</v>
      </c>
      <c r="F653" s="4">
        <v>0</v>
      </c>
      <c r="G653" s="4">
        <v>0</v>
      </c>
      <c r="H653" s="4">
        <v>3</v>
      </c>
      <c r="I653" s="4">
        <v>0</v>
      </c>
      <c r="J653" s="4">
        <v>0</v>
      </c>
      <c r="K653" s="5">
        <v>3.3614927E-4</v>
      </c>
      <c r="L653" s="4">
        <v>0</v>
      </c>
      <c r="M653" s="4">
        <v>0</v>
      </c>
      <c r="N653" s="4">
        <v>0.30918192999999999</v>
      </c>
      <c r="O653" s="4">
        <v>0</v>
      </c>
      <c r="P653" s="4">
        <v>0</v>
      </c>
      <c r="Q653" s="4">
        <v>6</v>
      </c>
      <c r="R653" s="4">
        <v>0</v>
      </c>
      <c r="S653" s="4">
        <v>0</v>
      </c>
      <c r="T653" s="6">
        <v>0.11700000000000001</v>
      </c>
    </row>
    <row r="654" spans="1:20" ht="18" x14ac:dyDescent="0.2">
      <c r="A654" s="4" t="s">
        <v>1833</v>
      </c>
      <c r="B654" s="4" t="s">
        <v>2481</v>
      </c>
      <c r="C654" s="4" t="s">
        <v>2088</v>
      </c>
      <c r="D654" s="4">
        <v>1</v>
      </c>
      <c r="E654" s="4" t="s">
        <v>61</v>
      </c>
      <c r="F654" s="4">
        <v>0</v>
      </c>
      <c r="G654" s="4">
        <v>0</v>
      </c>
      <c r="H654" s="4">
        <v>6</v>
      </c>
      <c r="I654" s="4">
        <v>0</v>
      </c>
      <c r="J654" s="4">
        <v>0</v>
      </c>
      <c r="K654" s="5">
        <v>9.6188829999999998E-5</v>
      </c>
      <c r="L654" s="4">
        <v>0</v>
      </c>
      <c r="M654" s="4">
        <v>0</v>
      </c>
      <c r="N654" s="4">
        <v>0.22461617</v>
      </c>
      <c r="O654" s="4">
        <v>0</v>
      </c>
      <c r="P654" s="4">
        <v>0</v>
      </c>
      <c r="Q654" s="4">
        <v>6</v>
      </c>
      <c r="R654" s="4">
        <v>0</v>
      </c>
      <c r="S654" s="4">
        <v>0</v>
      </c>
      <c r="T654" s="6">
        <v>8.7999999999999995E-2</v>
      </c>
    </row>
    <row r="655" spans="1:20" ht="18" x14ac:dyDescent="0.2">
      <c r="A655" s="4" t="s">
        <v>1834</v>
      </c>
      <c r="B655" s="4" t="s">
        <v>2482</v>
      </c>
      <c r="C655" s="4" t="s">
        <v>2088</v>
      </c>
      <c r="D655" s="4">
        <v>1</v>
      </c>
      <c r="E655" s="4" t="s">
        <v>61</v>
      </c>
      <c r="F655" s="4">
        <v>0</v>
      </c>
      <c r="G655" s="4">
        <v>0</v>
      </c>
      <c r="H655" s="4">
        <v>7</v>
      </c>
      <c r="I655" s="4">
        <v>0</v>
      </c>
      <c r="J655" s="4">
        <v>0</v>
      </c>
      <c r="K655" s="5">
        <v>6.5016529999999996E-4</v>
      </c>
      <c r="L655" s="4">
        <v>0</v>
      </c>
      <c r="M655" s="4">
        <v>0</v>
      </c>
      <c r="N655" s="4">
        <v>0.79060580000000003</v>
      </c>
      <c r="O655" s="4">
        <v>0</v>
      </c>
      <c r="P655" s="4">
        <v>0</v>
      </c>
      <c r="Q655" s="4">
        <v>10</v>
      </c>
      <c r="R655" s="4">
        <v>0</v>
      </c>
      <c r="S655" s="4">
        <v>0</v>
      </c>
      <c r="T655" s="6">
        <v>0.253</v>
      </c>
    </row>
    <row r="656" spans="1:20" ht="18" x14ac:dyDescent="0.2">
      <c r="A656" s="4" t="s">
        <v>1835</v>
      </c>
      <c r="B656" s="4" t="s">
        <v>2483</v>
      </c>
      <c r="C656" s="4" t="s">
        <v>2088</v>
      </c>
      <c r="D656" s="4">
        <v>1</v>
      </c>
      <c r="E656" s="4" t="s">
        <v>61</v>
      </c>
      <c r="F656" s="4">
        <v>0</v>
      </c>
      <c r="G656" s="4">
        <v>0</v>
      </c>
      <c r="H656" s="4">
        <v>7</v>
      </c>
      <c r="I656" s="4">
        <v>0</v>
      </c>
      <c r="J656" s="4">
        <v>0</v>
      </c>
      <c r="K656" s="5">
        <v>2.0754045E-4</v>
      </c>
      <c r="L656" s="4">
        <v>0</v>
      </c>
      <c r="M656" s="4">
        <v>0</v>
      </c>
      <c r="N656" s="4">
        <v>0.26765191999999999</v>
      </c>
      <c r="O656" s="4">
        <v>0</v>
      </c>
      <c r="P656" s="4">
        <v>0</v>
      </c>
      <c r="Q656" s="4">
        <v>8</v>
      </c>
      <c r="R656" s="4">
        <v>0</v>
      </c>
      <c r="S656" s="4">
        <v>0</v>
      </c>
      <c r="T656" s="6">
        <v>0.10299999999999999</v>
      </c>
    </row>
    <row r="657" spans="1:20" ht="18" x14ac:dyDescent="0.2">
      <c r="A657" s="4" t="s">
        <v>1836</v>
      </c>
      <c r="B657" s="4" t="s">
        <v>2484</v>
      </c>
      <c r="C657" s="4" t="s">
        <v>2088</v>
      </c>
      <c r="D657" s="4">
        <v>1</v>
      </c>
      <c r="E657" s="4" t="s">
        <v>61</v>
      </c>
      <c r="F657" s="4">
        <v>0</v>
      </c>
      <c r="G657" s="4">
        <v>0</v>
      </c>
      <c r="H657" s="4">
        <v>2</v>
      </c>
      <c r="I657" s="4">
        <v>0</v>
      </c>
      <c r="J657" s="4">
        <v>0</v>
      </c>
      <c r="K657" s="5">
        <v>4.2299906999999997E-5</v>
      </c>
      <c r="L657" s="4">
        <v>0</v>
      </c>
      <c r="M657" s="4">
        <v>0</v>
      </c>
      <c r="N657" s="4">
        <v>5.1961899999999998E-2</v>
      </c>
      <c r="O657" s="4">
        <v>0</v>
      </c>
      <c r="P657" s="4">
        <v>0</v>
      </c>
      <c r="Q657" s="4">
        <v>4</v>
      </c>
      <c r="R657" s="4">
        <v>0</v>
      </c>
      <c r="S657" s="4">
        <v>0</v>
      </c>
      <c r="T657" s="6">
        <v>2.1999999999999999E-2</v>
      </c>
    </row>
    <row r="658" spans="1:20" ht="18" x14ac:dyDescent="0.2">
      <c r="A658" s="4" t="s">
        <v>1837</v>
      </c>
      <c r="B658" s="4" t="s">
        <v>2485</v>
      </c>
      <c r="C658" s="4" t="s">
        <v>2088</v>
      </c>
      <c r="D658" s="4">
        <v>1</v>
      </c>
      <c r="E658" s="4" t="s">
        <v>61</v>
      </c>
      <c r="F658" s="4">
        <v>0</v>
      </c>
      <c r="G658" s="4">
        <v>0</v>
      </c>
      <c r="H658" s="4">
        <v>2</v>
      </c>
      <c r="I658" s="4">
        <v>0</v>
      </c>
      <c r="J658" s="4">
        <v>0</v>
      </c>
      <c r="K658" s="5">
        <v>1.3270908000000001E-5</v>
      </c>
      <c r="L658" s="4">
        <v>0</v>
      </c>
      <c r="M658" s="4">
        <v>0</v>
      </c>
      <c r="N658" s="4">
        <v>2.3293017999999999E-2</v>
      </c>
      <c r="O658" s="4">
        <v>0</v>
      </c>
      <c r="P658" s="4">
        <v>0</v>
      </c>
      <c r="Q658" s="4">
        <v>3</v>
      </c>
      <c r="R658" s="4">
        <v>0</v>
      </c>
      <c r="S658" s="4">
        <v>0</v>
      </c>
      <c r="T658" s="6">
        <v>0.01</v>
      </c>
    </row>
    <row r="659" spans="1:20" ht="18" x14ac:dyDescent="0.2">
      <c r="A659" s="4" t="s">
        <v>1838</v>
      </c>
      <c r="B659" s="4" t="s">
        <v>2486</v>
      </c>
      <c r="C659" s="4" t="s">
        <v>2088</v>
      </c>
      <c r="D659" s="4">
        <v>1</v>
      </c>
      <c r="E659" s="4" t="s">
        <v>61</v>
      </c>
      <c r="F659" s="4">
        <v>0</v>
      </c>
      <c r="G659" s="4">
        <v>0</v>
      </c>
      <c r="H659" s="4">
        <v>3</v>
      </c>
      <c r="I659" s="4">
        <v>0</v>
      </c>
      <c r="J659" s="4">
        <v>0</v>
      </c>
      <c r="K659" s="5">
        <v>1.9595678999999999E-4</v>
      </c>
      <c r="L659" s="4">
        <v>0</v>
      </c>
      <c r="M659" s="4">
        <v>0</v>
      </c>
      <c r="N659" s="4">
        <v>0.30617094</v>
      </c>
      <c r="O659" s="4">
        <v>0</v>
      </c>
      <c r="P659" s="4">
        <v>0</v>
      </c>
      <c r="Q659" s="4">
        <v>4</v>
      </c>
      <c r="R659" s="4">
        <v>0</v>
      </c>
      <c r="S659" s="4">
        <v>0</v>
      </c>
      <c r="T659" s="6">
        <v>0.11600000000000001</v>
      </c>
    </row>
    <row r="660" spans="1:20" ht="18" x14ac:dyDescent="0.2">
      <c r="A660" s="4" t="s">
        <v>1839</v>
      </c>
      <c r="B660" s="4" t="s">
        <v>2487</v>
      </c>
      <c r="C660" s="4" t="s">
        <v>2088</v>
      </c>
      <c r="D660" s="4">
        <v>1</v>
      </c>
      <c r="E660" s="4" t="s">
        <v>61</v>
      </c>
      <c r="F660" s="4">
        <v>0</v>
      </c>
      <c r="G660" s="4">
        <v>0</v>
      </c>
      <c r="H660" s="4">
        <v>3</v>
      </c>
      <c r="I660" s="4">
        <v>0</v>
      </c>
      <c r="J660" s="4">
        <v>0</v>
      </c>
      <c r="K660" s="5">
        <v>7.1006814999999995E-4</v>
      </c>
      <c r="L660" s="4">
        <v>0</v>
      </c>
      <c r="M660" s="4">
        <v>0</v>
      </c>
      <c r="N660" s="4">
        <v>0.36458312999999998</v>
      </c>
      <c r="O660" s="4">
        <v>0</v>
      </c>
      <c r="P660" s="4">
        <v>0</v>
      </c>
      <c r="Q660" s="4">
        <v>6</v>
      </c>
      <c r="R660" s="4">
        <v>0</v>
      </c>
      <c r="S660" s="4">
        <v>0</v>
      </c>
      <c r="T660" s="6">
        <v>0.13500000000000001</v>
      </c>
    </row>
    <row r="661" spans="1:20" ht="18" x14ac:dyDescent="0.2">
      <c r="A661" s="4" t="s">
        <v>1840</v>
      </c>
      <c r="B661" s="4" t="s">
        <v>2488</v>
      </c>
      <c r="C661" s="4" t="s">
        <v>2088</v>
      </c>
      <c r="D661" s="4">
        <v>1</v>
      </c>
      <c r="E661" s="4" t="s">
        <v>61</v>
      </c>
      <c r="F661" s="4">
        <v>0</v>
      </c>
      <c r="G661" s="4">
        <v>0</v>
      </c>
      <c r="H661" s="4">
        <v>2</v>
      </c>
      <c r="I661" s="4">
        <v>0</v>
      </c>
      <c r="J661" s="4">
        <v>0</v>
      </c>
      <c r="K661" s="5">
        <v>1.1145689999999999E-4</v>
      </c>
      <c r="L661" s="4">
        <v>0</v>
      </c>
      <c r="M661" s="4">
        <v>0</v>
      </c>
      <c r="N661" s="4">
        <v>0.32434153999999998</v>
      </c>
      <c r="O661" s="4">
        <v>0</v>
      </c>
      <c r="P661" s="4">
        <v>0</v>
      </c>
      <c r="Q661" s="4">
        <v>2</v>
      </c>
      <c r="R661" s="4">
        <v>0</v>
      </c>
      <c r="S661" s="4">
        <v>0</v>
      </c>
      <c r="T661" s="6">
        <v>0.122</v>
      </c>
    </row>
    <row r="662" spans="1:20" ht="18" x14ac:dyDescent="0.2">
      <c r="A662" s="4" t="s">
        <v>1841</v>
      </c>
      <c r="B662" s="4" t="s">
        <v>2489</v>
      </c>
      <c r="C662" s="4" t="s">
        <v>2088</v>
      </c>
      <c r="D662" s="4">
        <v>1</v>
      </c>
      <c r="E662" s="4" t="s">
        <v>61</v>
      </c>
      <c r="F662" s="4">
        <v>0</v>
      </c>
      <c r="G662" s="4">
        <v>0</v>
      </c>
      <c r="H662" s="4">
        <v>2</v>
      </c>
      <c r="I662" s="4">
        <v>0</v>
      </c>
      <c r="J662" s="4">
        <v>0</v>
      </c>
      <c r="K662" s="5">
        <v>3.3976379999999998E-4</v>
      </c>
      <c r="L662" s="4">
        <v>0</v>
      </c>
      <c r="M662" s="4">
        <v>0</v>
      </c>
      <c r="N662" s="4">
        <v>0.34586035999999998</v>
      </c>
      <c r="O662" s="4">
        <v>0</v>
      </c>
      <c r="P662" s="4">
        <v>0</v>
      </c>
      <c r="Q662" s="4">
        <v>3</v>
      </c>
      <c r="R662" s="4">
        <v>0</v>
      </c>
      <c r="S662" s="4">
        <v>0</v>
      </c>
      <c r="T662" s="6">
        <v>0.129</v>
      </c>
    </row>
    <row r="663" spans="1:20" ht="18" x14ac:dyDescent="0.2">
      <c r="A663" s="4" t="s">
        <v>1842</v>
      </c>
      <c r="B663" s="4" t="s">
        <v>2486</v>
      </c>
      <c r="C663" s="4" t="s">
        <v>2088</v>
      </c>
      <c r="D663" s="4">
        <v>1</v>
      </c>
      <c r="E663" s="4" t="s">
        <v>61</v>
      </c>
      <c r="F663" s="4">
        <v>0</v>
      </c>
      <c r="G663" s="4">
        <v>0</v>
      </c>
      <c r="H663" s="4">
        <v>3</v>
      </c>
      <c r="I663" s="4">
        <v>0</v>
      </c>
      <c r="J663" s="4">
        <v>0</v>
      </c>
      <c r="K663" s="5">
        <v>2.0960552999999999E-4</v>
      </c>
      <c r="L663" s="4">
        <v>0</v>
      </c>
      <c r="M663" s="4">
        <v>0</v>
      </c>
      <c r="N663" s="4">
        <v>0.33045447</v>
      </c>
      <c r="O663" s="4">
        <v>0</v>
      </c>
      <c r="P663" s="4">
        <v>0</v>
      </c>
      <c r="Q663" s="4">
        <v>4</v>
      </c>
      <c r="R663" s="4">
        <v>0</v>
      </c>
      <c r="S663" s="4">
        <v>0</v>
      </c>
      <c r="T663" s="6">
        <v>0.124</v>
      </c>
    </row>
    <row r="664" spans="1:20" ht="18" x14ac:dyDescent="0.2">
      <c r="A664" s="4" t="s">
        <v>1843</v>
      </c>
      <c r="B664" s="4" t="s">
        <v>2490</v>
      </c>
      <c r="C664" s="4" t="s">
        <v>2088</v>
      </c>
      <c r="D664" s="4">
        <v>1</v>
      </c>
      <c r="E664" s="4" t="s">
        <v>61</v>
      </c>
      <c r="F664" s="4">
        <v>0</v>
      </c>
      <c r="G664" s="4">
        <v>0</v>
      </c>
      <c r="H664" s="4">
        <v>2</v>
      </c>
      <c r="I664" s="4">
        <v>0</v>
      </c>
      <c r="J664" s="4">
        <v>0</v>
      </c>
      <c r="K664" s="5">
        <v>1.3460290999999999E-5</v>
      </c>
      <c r="L664" s="4">
        <v>0</v>
      </c>
      <c r="M664" s="4">
        <v>0</v>
      </c>
      <c r="N664" s="4">
        <v>7.3989390000000002E-2</v>
      </c>
      <c r="O664" s="4">
        <v>0</v>
      </c>
      <c r="P664" s="4">
        <v>0</v>
      </c>
      <c r="Q664" s="4">
        <v>2</v>
      </c>
      <c r="R664" s="4">
        <v>0</v>
      </c>
      <c r="S664" s="4">
        <v>0</v>
      </c>
      <c r="T664" s="6">
        <v>3.1E-2</v>
      </c>
    </row>
    <row r="665" spans="1:20" ht="18" x14ac:dyDescent="0.2">
      <c r="A665" s="4" t="s">
        <v>1844</v>
      </c>
      <c r="B665" s="4" t="s">
        <v>2491</v>
      </c>
      <c r="C665" s="4" t="s">
        <v>2088</v>
      </c>
      <c r="D665" s="4">
        <v>1</v>
      </c>
      <c r="E665" s="4" t="s">
        <v>61</v>
      </c>
      <c r="F665" s="4">
        <v>0</v>
      </c>
      <c r="G665" s="4">
        <v>0</v>
      </c>
      <c r="H665" s="4">
        <v>2</v>
      </c>
      <c r="I665" s="4">
        <v>0</v>
      </c>
      <c r="J665" s="4">
        <v>0</v>
      </c>
      <c r="K665" s="5">
        <v>3.0842395000000001E-5</v>
      </c>
      <c r="L665" s="4">
        <v>0</v>
      </c>
      <c r="M665" s="4">
        <v>0</v>
      </c>
      <c r="N665" s="4">
        <v>8.1434010000000001E-2</v>
      </c>
      <c r="O665" s="4">
        <v>0</v>
      </c>
      <c r="P665" s="4">
        <v>0</v>
      </c>
      <c r="Q665" s="4">
        <v>2</v>
      </c>
      <c r="R665" s="4">
        <v>0</v>
      </c>
      <c r="S665" s="4">
        <v>0</v>
      </c>
      <c r="T665" s="6">
        <v>3.4000000000000002E-2</v>
      </c>
    </row>
    <row r="666" spans="1:20" ht="18" x14ac:dyDescent="0.2">
      <c r="A666" s="4" t="s">
        <v>1845</v>
      </c>
      <c r="B666" s="4" t="s">
        <v>2492</v>
      </c>
      <c r="C666" s="4" t="s">
        <v>2088</v>
      </c>
      <c r="D666" s="4">
        <v>1</v>
      </c>
      <c r="E666" s="4" t="s">
        <v>61</v>
      </c>
      <c r="F666" s="4">
        <v>0</v>
      </c>
      <c r="G666" s="4">
        <v>0</v>
      </c>
      <c r="H666" s="4">
        <v>2</v>
      </c>
      <c r="I666" s="4">
        <v>0</v>
      </c>
      <c r="J666" s="4">
        <v>0</v>
      </c>
      <c r="K666" s="5">
        <v>6.4816480000000004E-5</v>
      </c>
      <c r="L666" s="4">
        <v>0</v>
      </c>
      <c r="M666" s="4">
        <v>0</v>
      </c>
      <c r="N666" s="4">
        <v>0.15345323</v>
      </c>
      <c r="O666" s="4">
        <v>0</v>
      </c>
      <c r="P666" s="4">
        <v>0</v>
      </c>
      <c r="Q666" s="4">
        <v>2</v>
      </c>
      <c r="R666" s="4">
        <v>0</v>
      </c>
      <c r="S666" s="4">
        <v>0</v>
      </c>
      <c r="T666" s="6">
        <v>6.2E-2</v>
      </c>
    </row>
    <row r="667" spans="1:20" ht="18" x14ac:dyDescent="0.2">
      <c r="A667" s="4" t="s">
        <v>1846</v>
      </c>
      <c r="B667" s="4" t="s">
        <v>2493</v>
      </c>
      <c r="C667" s="4" t="s">
        <v>2088</v>
      </c>
      <c r="D667" s="4">
        <v>1</v>
      </c>
      <c r="E667" s="4" t="s">
        <v>61</v>
      </c>
      <c r="F667" s="4">
        <v>0</v>
      </c>
      <c r="G667" s="4">
        <v>0</v>
      </c>
      <c r="H667" s="4">
        <v>2</v>
      </c>
      <c r="I667" s="4">
        <v>0</v>
      </c>
      <c r="J667" s="4">
        <v>0</v>
      </c>
      <c r="K667" s="5">
        <v>1.2613986E-5</v>
      </c>
      <c r="L667" s="4">
        <v>0</v>
      </c>
      <c r="M667" s="4">
        <v>0</v>
      </c>
      <c r="N667" s="4">
        <v>2.3293017999999999E-2</v>
      </c>
      <c r="O667" s="4">
        <v>0</v>
      </c>
      <c r="P667" s="4">
        <v>0</v>
      </c>
      <c r="Q667" s="4">
        <v>2</v>
      </c>
      <c r="R667" s="4">
        <v>0</v>
      </c>
      <c r="S667" s="4">
        <v>0</v>
      </c>
      <c r="T667" s="6">
        <v>0.01</v>
      </c>
    </row>
    <row r="668" spans="1:20" ht="18" x14ac:dyDescent="0.2">
      <c r="A668" s="4" t="s">
        <v>1847</v>
      </c>
      <c r="B668" s="4" t="s">
        <v>2494</v>
      </c>
      <c r="C668" s="4" t="s">
        <v>2088</v>
      </c>
      <c r="D668" s="4">
        <v>1</v>
      </c>
      <c r="E668" s="4" t="s">
        <v>61</v>
      </c>
      <c r="F668" s="4">
        <v>0</v>
      </c>
      <c r="G668" s="4">
        <v>0</v>
      </c>
      <c r="H668" s="4">
        <v>2</v>
      </c>
      <c r="I668" s="4">
        <v>0</v>
      </c>
      <c r="J668" s="4">
        <v>0</v>
      </c>
      <c r="K668" s="5">
        <v>5.8352783999999998E-5</v>
      </c>
      <c r="L668" s="4">
        <v>0</v>
      </c>
      <c r="M668" s="4">
        <v>0</v>
      </c>
      <c r="N668" s="4">
        <v>0.10662377000000001</v>
      </c>
      <c r="O668" s="4">
        <v>0</v>
      </c>
      <c r="P668" s="4">
        <v>0</v>
      </c>
      <c r="Q668" s="4">
        <v>2</v>
      </c>
      <c r="R668" s="4">
        <v>0</v>
      </c>
      <c r="S668" s="4">
        <v>0</v>
      </c>
      <c r="T668" s="6">
        <v>4.3999999999999997E-2</v>
      </c>
    </row>
    <row r="669" spans="1:20" ht="18" x14ac:dyDescent="0.2">
      <c r="A669" s="4" t="s">
        <v>1848</v>
      </c>
      <c r="B669" s="4" t="s">
        <v>2495</v>
      </c>
      <c r="C669" s="4" t="s">
        <v>2088</v>
      </c>
      <c r="D669" s="4">
        <v>1</v>
      </c>
      <c r="E669" s="4" t="s">
        <v>61</v>
      </c>
      <c r="F669" s="4">
        <v>0</v>
      </c>
      <c r="G669" s="4">
        <v>0</v>
      </c>
      <c r="H669" s="4">
        <v>2</v>
      </c>
      <c r="I669" s="4">
        <v>0</v>
      </c>
      <c r="J669" s="4">
        <v>0</v>
      </c>
      <c r="K669" s="5">
        <v>1.8317699000000001E-4</v>
      </c>
      <c r="L669" s="4">
        <v>0</v>
      </c>
      <c r="M669" s="4">
        <v>0</v>
      </c>
      <c r="N669" s="4">
        <v>0.52405274000000002</v>
      </c>
      <c r="O669" s="4">
        <v>0</v>
      </c>
      <c r="P669" s="4">
        <v>0</v>
      </c>
      <c r="Q669" s="4">
        <v>2</v>
      </c>
      <c r="R669" s="4">
        <v>0</v>
      </c>
      <c r="S669" s="4">
        <v>0</v>
      </c>
      <c r="T669" s="6">
        <v>0.183</v>
      </c>
    </row>
    <row r="670" spans="1:20" ht="18" x14ac:dyDescent="0.2">
      <c r="A670" s="4" t="s">
        <v>1849</v>
      </c>
      <c r="B670" s="4" t="s">
        <v>2496</v>
      </c>
      <c r="C670" s="4" t="s">
        <v>2088</v>
      </c>
      <c r="D670" s="4">
        <v>1</v>
      </c>
      <c r="E670" s="4" t="s">
        <v>61</v>
      </c>
      <c r="F670" s="4">
        <v>0</v>
      </c>
      <c r="G670" s="4">
        <v>0</v>
      </c>
      <c r="H670" s="4">
        <v>3</v>
      </c>
      <c r="I670" s="4">
        <v>0</v>
      </c>
      <c r="J670" s="4">
        <v>0</v>
      </c>
      <c r="K670" s="5">
        <v>9.7826730000000005E-5</v>
      </c>
      <c r="L670" s="4">
        <v>0</v>
      </c>
      <c r="M670" s="4">
        <v>0</v>
      </c>
      <c r="N670" s="4">
        <v>0.36772883000000001</v>
      </c>
      <c r="O670" s="4">
        <v>0</v>
      </c>
      <c r="P670" s="4">
        <v>0</v>
      </c>
      <c r="Q670" s="4">
        <v>3</v>
      </c>
      <c r="R670" s="4">
        <v>0</v>
      </c>
      <c r="S670" s="4">
        <v>0</v>
      </c>
      <c r="T670" s="6">
        <v>0.13600000000000001</v>
      </c>
    </row>
    <row r="671" spans="1:20" ht="18" x14ac:dyDescent="0.2">
      <c r="A671" s="4" t="s">
        <v>1850</v>
      </c>
      <c r="B671" s="4" t="s">
        <v>2024</v>
      </c>
      <c r="C671" s="4" t="s">
        <v>2088</v>
      </c>
      <c r="D671" s="4">
        <v>1</v>
      </c>
      <c r="E671" s="4" t="s">
        <v>61</v>
      </c>
      <c r="F671" s="4">
        <v>0</v>
      </c>
      <c r="G671" s="4">
        <v>0</v>
      </c>
      <c r="H671" s="4">
        <v>3</v>
      </c>
      <c r="I671" s="4">
        <v>0</v>
      </c>
      <c r="J671" s="4">
        <v>0</v>
      </c>
      <c r="K671" s="5">
        <v>6.2570365999999999E-4</v>
      </c>
      <c r="L671" s="4">
        <v>0</v>
      </c>
      <c r="M671" s="4">
        <v>0</v>
      </c>
      <c r="N671" s="4">
        <v>0.31522476999999999</v>
      </c>
      <c r="O671" s="4">
        <v>0</v>
      </c>
      <c r="P671" s="4">
        <v>0</v>
      </c>
      <c r="Q671" s="4">
        <v>6</v>
      </c>
      <c r="R671" s="4">
        <v>0</v>
      </c>
      <c r="S671" s="4">
        <v>0</v>
      </c>
      <c r="T671" s="6">
        <v>0.11899999999999999</v>
      </c>
    </row>
    <row r="672" spans="1:20" ht="18" x14ac:dyDescent="0.2">
      <c r="A672" s="4" t="s">
        <v>1851</v>
      </c>
      <c r="B672" s="4" t="s">
        <v>2497</v>
      </c>
      <c r="C672" s="4" t="s">
        <v>2088</v>
      </c>
      <c r="D672" s="4">
        <v>1</v>
      </c>
      <c r="E672" s="4" t="s">
        <v>61</v>
      </c>
      <c r="F672" s="4">
        <v>0</v>
      </c>
      <c r="G672" s="4">
        <v>0</v>
      </c>
      <c r="H672" s="4">
        <v>2</v>
      </c>
      <c r="I672" s="4">
        <v>0</v>
      </c>
      <c r="J672" s="4">
        <v>0</v>
      </c>
      <c r="K672" s="5">
        <v>3.6319577999999999E-4</v>
      </c>
      <c r="L672" s="4">
        <v>0</v>
      </c>
      <c r="M672" s="4">
        <v>0</v>
      </c>
      <c r="N672" s="4">
        <v>1.0417380000000001</v>
      </c>
      <c r="O672" s="4">
        <v>0</v>
      </c>
      <c r="P672" s="4">
        <v>0</v>
      </c>
      <c r="Q672" s="4">
        <v>2</v>
      </c>
      <c r="R672" s="4">
        <v>0</v>
      </c>
      <c r="S672" s="4">
        <v>0</v>
      </c>
      <c r="T672" s="6">
        <v>0.31</v>
      </c>
    </row>
    <row r="673" spans="1:20" ht="18" x14ac:dyDescent="0.2">
      <c r="A673" s="4" t="s">
        <v>1852</v>
      </c>
      <c r="B673" s="4" t="s">
        <v>2498</v>
      </c>
      <c r="C673" s="4" t="s">
        <v>2088</v>
      </c>
      <c r="D673" s="4">
        <v>1</v>
      </c>
      <c r="E673" s="4" t="s">
        <v>61</v>
      </c>
      <c r="F673" s="4">
        <v>0</v>
      </c>
      <c r="G673" s="4">
        <v>0</v>
      </c>
      <c r="H673" s="4">
        <v>3</v>
      </c>
      <c r="I673" s="4">
        <v>0</v>
      </c>
      <c r="J673" s="4">
        <v>0</v>
      </c>
      <c r="K673" s="5">
        <v>1.8159789E-4</v>
      </c>
      <c r="L673" s="4">
        <v>0</v>
      </c>
      <c r="M673" s="4">
        <v>0</v>
      </c>
      <c r="N673" s="4">
        <v>9.6478224000000001E-2</v>
      </c>
      <c r="O673" s="4">
        <v>0</v>
      </c>
      <c r="P673" s="4">
        <v>0</v>
      </c>
      <c r="Q673" s="4">
        <v>6</v>
      </c>
      <c r="R673" s="4">
        <v>0</v>
      </c>
      <c r="S673" s="4">
        <v>0</v>
      </c>
      <c r="T673" s="6">
        <v>0.04</v>
      </c>
    </row>
    <row r="674" spans="1:20" ht="18" x14ac:dyDescent="0.2">
      <c r="A674" s="4" t="s">
        <v>1853</v>
      </c>
      <c r="B674" s="4" t="s">
        <v>2499</v>
      </c>
      <c r="C674" s="4" t="s">
        <v>2000</v>
      </c>
      <c r="D674" s="4">
        <v>1</v>
      </c>
      <c r="E674" s="4" t="s">
        <v>61</v>
      </c>
      <c r="F674" s="4">
        <v>0</v>
      </c>
      <c r="G674" s="4">
        <v>0</v>
      </c>
      <c r="H674" s="4">
        <v>3</v>
      </c>
      <c r="I674" s="4">
        <v>0</v>
      </c>
      <c r="J674" s="4">
        <v>0</v>
      </c>
      <c r="K674" s="5">
        <v>1.5767480000000001E-4</v>
      </c>
      <c r="L674" s="4">
        <v>0</v>
      </c>
      <c r="M674" s="4">
        <v>0</v>
      </c>
      <c r="N674" s="4">
        <v>8.6425660000000001E-2</v>
      </c>
      <c r="O674" s="4">
        <v>0</v>
      </c>
      <c r="P674" s="4">
        <v>0</v>
      </c>
      <c r="Q674" s="4">
        <v>5</v>
      </c>
      <c r="R674" s="4">
        <v>0</v>
      </c>
      <c r="S674" s="4">
        <v>0</v>
      </c>
      <c r="T674" s="6">
        <v>3.5999999999999997E-2</v>
      </c>
    </row>
    <row r="675" spans="1:20" ht="18" x14ac:dyDescent="0.2">
      <c r="A675" s="4" t="s">
        <v>1854</v>
      </c>
      <c r="B675" s="4" t="s">
        <v>2500</v>
      </c>
      <c r="C675" s="4" t="s">
        <v>2090</v>
      </c>
      <c r="D675" s="4">
        <v>1</v>
      </c>
      <c r="E675" s="4" t="s">
        <v>61</v>
      </c>
      <c r="F675" s="4">
        <v>0</v>
      </c>
      <c r="G675" s="4">
        <v>0</v>
      </c>
      <c r="H675" s="4">
        <v>2</v>
      </c>
      <c r="I675" s="4">
        <v>0</v>
      </c>
      <c r="J675" s="4">
        <v>0</v>
      </c>
      <c r="K675" s="5">
        <v>5.4013732999999998E-5</v>
      </c>
      <c r="L675" s="4">
        <v>0</v>
      </c>
      <c r="M675" s="4">
        <v>0</v>
      </c>
      <c r="N675" s="4">
        <v>0.19398808000000001</v>
      </c>
      <c r="O675" s="4">
        <v>0</v>
      </c>
      <c r="P675" s="4">
        <v>0</v>
      </c>
      <c r="Q675" s="4">
        <v>2</v>
      </c>
      <c r="R675" s="4">
        <v>0</v>
      </c>
      <c r="S675" s="4">
        <v>0</v>
      </c>
      <c r="T675" s="6">
        <v>7.6999999999999999E-2</v>
      </c>
    </row>
    <row r="676" spans="1:20" ht="18" x14ac:dyDescent="0.2">
      <c r="A676" s="4" t="s">
        <v>1855</v>
      </c>
      <c r="B676" s="4" t="s">
        <v>2501</v>
      </c>
      <c r="C676" s="4" t="s">
        <v>2090</v>
      </c>
      <c r="D676" s="4">
        <v>1</v>
      </c>
      <c r="E676" s="4" t="s">
        <v>61</v>
      </c>
      <c r="F676" s="4">
        <v>0</v>
      </c>
      <c r="G676" s="4">
        <v>0</v>
      </c>
      <c r="H676" s="4">
        <v>5</v>
      </c>
      <c r="I676" s="4">
        <v>0</v>
      </c>
      <c r="J676" s="4">
        <v>0</v>
      </c>
      <c r="K676" s="5">
        <v>2.7839675999999998E-4</v>
      </c>
      <c r="L676" s="4">
        <v>0</v>
      </c>
      <c r="M676" s="4">
        <v>0</v>
      </c>
      <c r="N676" s="4">
        <v>0.41253757000000002</v>
      </c>
      <c r="O676" s="4">
        <v>0</v>
      </c>
      <c r="P676" s="4">
        <v>0</v>
      </c>
      <c r="Q676" s="4">
        <v>6</v>
      </c>
      <c r="R676" s="4">
        <v>0</v>
      </c>
      <c r="S676" s="4">
        <v>0</v>
      </c>
      <c r="T676" s="6">
        <v>0.15</v>
      </c>
    </row>
    <row r="677" spans="1:20" ht="18" x14ac:dyDescent="0.2">
      <c r="A677" s="4" t="s">
        <v>1856</v>
      </c>
      <c r="B677" s="4" t="s">
        <v>2502</v>
      </c>
      <c r="C677" s="4" t="s">
        <v>2090</v>
      </c>
      <c r="D677" s="4">
        <v>1</v>
      </c>
      <c r="E677" s="4" t="s">
        <v>61</v>
      </c>
      <c r="F677" s="4">
        <v>0</v>
      </c>
      <c r="G677" s="4">
        <v>0</v>
      </c>
      <c r="H677" s="4">
        <v>2</v>
      </c>
      <c r="I677" s="4">
        <v>0</v>
      </c>
      <c r="J677" s="4">
        <v>0</v>
      </c>
      <c r="K677" s="5">
        <v>2.7608592E-5</v>
      </c>
      <c r="L677" s="4">
        <v>0</v>
      </c>
      <c r="M677" s="4">
        <v>0</v>
      </c>
      <c r="N677" s="4">
        <v>6.6596150000000007E-2</v>
      </c>
      <c r="O677" s="4">
        <v>0</v>
      </c>
      <c r="P677" s="4">
        <v>0</v>
      </c>
      <c r="Q677" s="4">
        <v>2</v>
      </c>
      <c r="R677" s="4">
        <v>0</v>
      </c>
      <c r="S677" s="4">
        <v>0</v>
      </c>
      <c r="T677" s="6">
        <v>2.8000000000000001E-2</v>
      </c>
    </row>
    <row r="678" spans="1:20" ht="18" x14ac:dyDescent="0.2">
      <c r="A678" s="4" t="s">
        <v>1857</v>
      </c>
      <c r="B678" s="4" t="s">
        <v>2503</v>
      </c>
      <c r="C678" s="4" t="s">
        <v>2090</v>
      </c>
      <c r="D678" s="4">
        <v>1</v>
      </c>
      <c r="E678" s="4" t="s">
        <v>61</v>
      </c>
      <c r="F678" s="4">
        <v>0</v>
      </c>
      <c r="G678" s="4">
        <v>0</v>
      </c>
      <c r="H678" s="4">
        <v>3</v>
      </c>
      <c r="I678" s="4">
        <v>0</v>
      </c>
      <c r="J678" s="4">
        <v>0</v>
      </c>
      <c r="K678" s="5">
        <v>3.0093364000000002E-4</v>
      </c>
      <c r="L678" s="4">
        <v>0</v>
      </c>
      <c r="M678" s="4">
        <v>0</v>
      </c>
      <c r="N678" s="4">
        <v>0.27350307000000001</v>
      </c>
      <c r="O678" s="4">
        <v>0</v>
      </c>
      <c r="P678" s="4">
        <v>0</v>
      </c>
      <c r="Q678" s="4">
        <v>3</v>
      </c>
      <c r="R678" s="4">
        <v>0</v>
      </c>
      <c r="S678" s="4">
        <v>0</v>
      </c>
      <c r="T678" s="6">
        <v>0.105</v>
      </c>
    </row>
    <row r="679" spans="1:20" ht="18" x14ac:dyDescent="0.2">
      <c r="A679" s="4" t="s">
        <v>1858</v>
      </c>
      <c r="B679" s="4" t="s">
        <v>2504</v>
      </c>
      <c r="C679" s="4" t="s">
        <v>2090</v>
      </c>
      <c r="D679" s="4">
        <v>1</v>
      </c>
      <c r="E679" s="4" t="s">
        <v>61</v>
      </c>
      <c r="F679" s="4">
        <v>0</v>
      </c>
      <c r="G679" s="4">
        <v>0</v>
      </c>
      <c r="H679" s="4">
        <v>2</v>
      </c>
      <c r="I679" s="4">
        <v>0</v>
      </c>
      <c r="J679" s="4">
        <v>0</v>
      </c>
      <c r="K679" s="5">
        <v>3.3976379999999998E-4</v>
      </c>
      <c r="L679" s="4">
        <v>0</v>
      </c>
      <c r="M679" s="4">
        <v>0</v>
      </c>
      <c r="N679" s="4">
        <v>0.34586035999999998</v>
      </c>
      <c r="O679" s="4">
        <v>0</v>
      </c>
      <c r="P679" s="4">
        <v>0</v>
      </c>
      <c r="Q679" s="4">
        <v>3</v>
      </c>
      <c r="R679" s="4">
        <v>0</v>
      </c>
      <c r="S679" s="4">
        <v>0</v>
      </c>
      <c r="T679" s="6">
        <v>0.129</v>
      </c>
    </row>
    <row r="680" spans="1:20" ht="18" x14ac:dyDescent="0.2">
      <c r="A680" s="4" t="s">
        <v>1859</v>
      </c>
      <c r="B680" s="4" t="s">
        <v>2505</v>
      </c>
      <c r="C680" s="4" t="s">
        <v>2090</v>
      </c>
      <c r="D680" s="4">
        <v>1</v>
      </c>
      <c r="E680" s="4" t="s">
        <v>61</v>
      </c>
      <c r="F680" s="4">
        <v>0</v>
      </c>
      <c r="G680" s="4">
        <v>0</v>
      </c>
      <c r="H680" s="4">
        <v>2</v>
      </c>
      <c r="I680" s="4">
        <v>0</v>
      </c>
      <c r="J680" s="4">
        <v>0</v>
      </c>
      <c r="K680" s="5">
        <v>2.3405951E-4</v>
      </c>
      <c r="L680" s="4">
        <v>0</v>
      </c>
      <c r="M680" s="4">
        <v>0</v>
      </c>
      <c r="N680" s="4">
        <v>0.25892544000000001</v>
      </c>
      <c r="O680" s="4">
        <v>0</v>
      </c>
      <c r="P680" s="4">
        <v>0</v>
      </c>
      <c r="Q680" s="4">
        <v>2</v>
      </c>
      <c r="R680" s="4">
        <v>0</v>
      </c>
      <c r="S680" s="4">
        <v>0</v>
      </c>
      <c r="T680" s="6">
        <v>0.1</v>
      </c>
    </row>
    <row r="681" spans="1:20" ht="18" x14ac:dyDescent="0.2">
      <c r="A681" s="4" t="s">
        <v>1860</v>
      </c>
      <c r="B681" s="4" t="s">
        <v>2506</v>
      </c>
      <c r="C681" s="4" t="s">
        <v>2090</v>
      </c>
      <c r="D681" s="4">
        <v>1</v>
      </c>
      <c r="E681" s="4" t="s">
        <v>61</v>
      </c>
      <c r="F681" s="4">
        <v>0</v>
      </c>
      <c r="G681" s="4">
        <v>0</v>
      </c>
      <c r="H681" s="4">
        <v>3</v>
      </c>
      <c r="I681" s="4">
        <v>0</v>
      </c>
      <c r="J681" s="4">
        <v>0</v>
      </c>
      <c r="K681" s="5">
        <v>3.4420515000000001E-5</v>
      </c>
      <c r="L681" s="4">
        <v>0</v>
      </c>
      <c r="M681" s="4">
        <v>0</v>
      </c>
      <c r="N681" s="4">
        <v>2.5651931999999999E-2</v>
      </c>
      <c r="O681" s="4">
        <v>0</v>
      </c>
      <c r="P681" s="4">
        <v>0</v>
      </c>
      <c r="Q681" s="4">
        <v>4</v>
      </c>
      <c r="R681" s="4">
        <v>0</v>
      </c>
      <c r="S681" s="4">
        <v>0</v>
      </c>
      <c r="T681" s="6">
        <v>1.0999999999999999E-2</v>
      </c>
    </row>
    <row r="682" spans="1:20" ht="18" x14ac:dyDescent="0.2">
      <c r="A682" s="4" t="s">
        <v>1861</v>
      </c>
      <c r="B682" s="4" t="s">
        <v>2507</v>
      </c>
      <c r="C682" s="4" t="s">
        <v>2045</v>
      </c>
      <c r="D682" s="4">
        <v>1</v>
      </c>
      <c r="E682" s="4" t="s">
        <v>61</v>
      </c>
      <c r="F682" s="4">
        <v>0</v>
      </c>
      <c r="G682" s="4">
        <v>0</v>
      </c>
      <c r="H682" s="4">
        <v>2</v>
      </c>
      <c r="I682" s="4">
        <v>0</v>
      </c>
      <c r="J682" s="4">
        <v>0</v>
      </c>
      <c r="K682" s="5">
        <v>4.9333382999999998E-5</v>
      </c>
      <c r="L682" s="4">
        <v>0</v>
      </c>
      <c r="M682" s="4">
        <v>0</v>
      </c>
      <c r="N682" s="4">
        <v>9.6478224000000001E-2</v>
      </c>
      <c r="O682" s="4">
        <v>0</v>
      </c>
      <c r="P682" s="4">
        <v>0</v>
      </c>
      <c r="Q682" s="4">
        <v>2</v>
      </c>
      <c r="R682" s="4">
        <v>0</v>
      </c>
      <c r="S682" s="4">
        <v>0</v>
      </c>
      <c r="T682" s="6">
        <v>0.04</v>
      </c>
    </row>
    <row r="683" spans="1:20" ht="18" x14ac:dyDescent="0.2">
      <c r="A683" s="4" t="s">
        <v>1862</v>
      </c>
      <c r="B683" s="4" t="s">
        <v>2508</v>
      </c>
      <c r="C683" s="4" t="s">
        <v>2045</v>
      </c>
      <c r="D683" s="4">
        <v>1</v>
      </c>
      <c r="E683" s="4" t="s">
        <v>61</v>
      </c>
      <c r="F683" s="4">
        <v>0</v>
      </c>
      <c r="G683" s="4">
        <v>0</v>
      </c>
      <c r="H683" s="4">
        <v>2</v>
      </c>
      <c r="I683" s="4">
        <v>0</v>
      </c>
      <c r="J683" s="4">
        <v>0</v>
      </c>
      <c r="K683" s="5">
        <v>1.7554463000000002E-5</v>
      </c>
      <c r="L683" s="4">
        <v>0</v>
      </c>
      <c r="M683" s="4">
        <v>0</v>
      </c>
      <c r="N683" s="4">
        <v>2.3293017999999999E-2</v>
      </c>
      <c r="O683" s="4">
        <v>0</v>
      </c>
      <c r="P683" s="4">
        <v>0</v>
      </c>
      <c r="Q683" s="4">
        <v>2</v>
      </c>
      <c r="R683" s="4">
        <v>0</v>
      </c>
      <c r="S683" s="4">
        <v>0</v>
      </c>
      <c r="T683" s="6">
        <v>0.01</v>
      </c>
    </row>
    <row r="684" spans="1:20" ht="18" x14ac:dyDescent="0.2">
      <c r="A684" s="4" t="s">
        <v>1863</v>
      </c>
      <c r="B684" s="4" t="s">
        <v>2509</v>
      </c>
      <c r="C684" s="4" t="s">
        <v>2045</v>
      </c>
      <c r="D684" s="4">
        <v>1</v>
      </c>
      <c r="E684" s="4" t="s">
        <v>61</v>
      </c>
      <c r="F684" s="4">
        <v>0</v>
      </c>
      <c r="G684" s="4">
        <v>0</v>
      </c>
      <c r="H684" s="4">
        <v>2</v>
      </c>
      <c r="I684" s="4">
        <v>0</v>
      </c>
      <c r="J684" s="4">
        <v>0</v>
      </c>
      <c r="K684" s="5">
        <v>4.0824332000000002E-5</v>
      </c>
      <c r="L684" s="4">
        <v>0</v>
      </c>
      <c r="M684" s="4">
        <v>0</v>
      </c>
      <c r="N684" s="4">
        <v>2.3293017999999999E-2</v>
      </c>
      <c r="O684" s="4">
        <v>0</v>
      </c>
      <c r="P684" s="4">
        <v>0</v>
      </c>
      <c r="Q684" s="4">
        <v>4</v>
      </c>
      <c r="R684" s="4">
        <v>0</v>
      </c>
      <c r="S684" s="4">
        <v>0</v>
      </c>
      <c r="T684" s="6">
        <v>0.01</v>
      </c>
    </row>
    <row r="685" spans="1:20" ht="18" x14ac:dyDescent="0.2">
      <c r="A685" s="4" t="s">
        <v>1864</v>
      </c>
      <c r="B685" s="4" t="s">
        <v>2510</v>
      </c>
      <c r="C685" s="4" t="s">
        <v>2045</v>
      </c>
      <c r="D685" s="4">
        <v>1</v>
      </c>
      <c r="E685" s="4" t="s">
        <v>61</v>
      </c>
      <c r="F685" s="4">
        <v>0</v>
      </c>
      <c r="G685" s="4">
        <v>0</v>
      </c>
      <c r="H685" s="4">
        <v>2</v>
      </c>
      <c r="I685" s="4">
        <v>0</v>
      </c>
      <c r="J685" s="4">
        <v>0</v>
      </c>
      <c r="K685" s="5">
        <v>9.1192014000000002E-5</v>
      </c>
      <c r="L685" s="4">
        <v>0</v>
      </c>
      <c r="M685" s="4">
        <v>0</v>
      </c>
      <c r="N685" s="4">
        <v>0.23310483000000001</v>
      </c>
      <c r="O685" s="4">
        <v>0</v>
      </c>
      <c r="P685" s="4">
        <v>0</v>
      </c>
      <c r="Q685" s="4">
        <v>2</v>
      </c>
      <c r="R685" s="4">
        <v>0</v>
      </c>
      <c r="S685" s="4">
        <v>0</v>
      </c>
      <c r="T685" s="6">
        <v>9.0999999999999998E-2</v>
      </c>
    </row>
    <row r="686" spans="1:20" ht="18" x14ac:dyDescent="0.2">
      <c r="A686" s="4" t="s">
        <v>1865</v>
      </c>
      <c r="B686" s="4" t="s">
        <v>2511</v>
      </c>
      <c r="C686" s="4" t="s">
        <v>2045</v>
      </c>
      <c r="D686" s="4">
        <v>1</v>
      </c>
      <c r="E686" s="4" t="s">
        <v>61</v>
      </c>
      <c r="F686" s="4">
        <v>0</v>
      </c>
      <c r="G686" s="4">
        <v>0</v>
      </c>
      <c r="H686" s="4">
        <v>2</v>
      </c>
      <c r="I686" s="4">
        <v>0</v>
      </c>
      <c r="J686" s="4">
        <v>0</v>
      </c>
      <c r="K686" s="5">
        <v>1.2120457500000001E-5</v>
      </c>
      <c r="L686" s="4">
        <v>0</v>
      </c>
      <c r="M686" s="4">
        <v>0</v>
      </c>
      <c r="N686" s="4">
        <v>2.3293017999999999E-2</v>
      </c>
      <c r="O686" s="4">
        <v>0</v>
      </c>
      <c r="P686" s="4">
        <v>0</v>
      </c>
      <c r="Q686" s="4">
        <v>2</v>
      </c>
      <c r="R686" s="4">
        <v>0</v>
      </c>
      <c r="S686" s="4">
        <v>0</v>
      </c>
      <c r="T686" s="6">
        <v>0.01</v>
      </c>
    </row>
    <row r="687" spans="1:20" ht="18" x14ac:dyDescent="0.2">
      <c r="A687" s="4" t="s">
        <v>1866</v>
      </c>
      <c r="B687" s="4" t="s">
        <v>2497</v>
      </c>
      <c r="C687" s="4" t="s">
        <v>2045</v>
      </c>
      <c r="D687" s="4">
        <v>1</v>
      </c>
      <c r="E687" s="4" t="s">
        <v>61</v>
      </c>
      <c r="F687" s="4">
        <v>0</v>
      </c>
      <c r="G687" s="4">
        <v>0</v>
      </c>
      <c r="H687" s="4">
        <v>2</v>
      </c>
      <c r="I687" s="4">
        <v>0</v>
      </c>
      <c r="J687" s="4">
        <v>0</v>
      </c>
      <c r="K687" s="5">
        <v>3.6319577999999999E-4</v>
      </c>
      <c r="L687" s="4">
        <v>0</v>
      </c>
      <c r="M687" s="4">
        <v>0</v>
      </c>
      <c r="N687" s="4">
        <v>1.0417380000000001</v>
      </c>
      <c r="O687" s="4">
        <v>0</v>
      </c>
      <c r="P687" s="4">
        <v>0</v>
      </c>
      <c r="Q687" s="4">
        <v>2</v>
      </c>
      <c r="R687" s="4">
        <v>0</v>
      </c>
      <c r="S687" s="4">
        <v>0</v>
      </c>
      <c r="T687" s="6">
        <v>0.31</v>
      </c>
    </row>
    <row r="688" spans="1:20" ht="18" x14ac:dyDescent="0.2">
      <c r="A688" s="4" t="s">
        <v>1867</v>
      </c>
      <c r="B688" s="4" t="s">
        <v>2512</v>
      </c>
      <c r="C688" s="4" t="s">
        <v>2045</v>
      </c>
      <c r="D688" s="4">
        <v>1</v>
      </c>
      <c r="E688" s="4" t="s">
        <v>61</v>
      </c>
      <c r="F688" s="4">
        <v>0</v>
      </c>
      <c r="G688" s="4">
        <v>0</v>
      </c>
      <c r="H688" s="4">
        <v>3</v>
      </c>
      <c r="I688" s="4">
        <v>0</v>
      </c>
      <c r="J688" s="4">
        <v>0</v>
      </c>
      <c r="K688" s="5">
        <v>4.0510299999999997E-4</v>
      </c>
      <c r="L688" s="4">
        <v>0</v>
      </c>
      <c r="M688" s="4">
        <v>0</v>
      </c>
      <c r="N688" s="4">
        <v>0.51008010000000004</v>
      </c>
      <c r="O688" s="4">
        <v>0</v>
      </c>
      <c r="P688" s="4">
        <v>0</v>
      </c>
      <c r="Q688" s="4">
        <v>3</v>
      </c>
      <c r="R688" s="4">
        <v>0</v>
      </c>
      <c r="S688" s="4">
        <v>0</v>
      </c>
      <c r="T688" s="6">
        <v>0.17899999999999999</v>
      </c>
    </row>
    <row r="689" spans="1:20" ht="18" x14ac:dyDescent="0.2">
      <c r="A689" s="4" t="s">
        <v>1868</v>
      </c>
      <c r="B689" s="4" t="s">
        <v>2472</v>
      </c>
      <c r="C689" s="4" t="s">
        <v>2045</v>
      </c>
      <c r="D689" s="4">
        <v>1</v>
      </c>
      <c r="E689" s="4" t="s">
        <v>61</v>
      </c>
      <c r="F689" s="4">
        <v>0</v>
      </c>
      <c r="G689" s="4">
        <v>0</v>
      </c>
      <c r="H689" s="4">
        <v>5</v>
      </c>
      <c r="I689" s="4">
        <v>0</v>
      </c>
      <c r="J689" s="4">
        <v>0</v>
      </c>
      <c r="K689" s="5">
        <v>4.2328243999999999E-5</v>
      </c>
      <c r="L689" s="4">
        <v>0</v>
      </c>
      <c r="M689" s="4">
        <v>0</v>
      </c>
      <c r="N689" s="4">
        <v>7.3989390000000002E-2</v>
      </c>
      <c r="O689" s="4">
        <v>0</v>
      </c>
      <c r="P689" s="4">
        <v>0</v>
      </c>
      <c r="Q689" s="4">
        <v>6</v>
      </c>
      <c r="R689" s="4">
        <v>0</v>
      </c>
      <c r="S689" s="4">
        <v>0</v>
      </c>
      <c r="T689" s="6">
        <v>3.1E-2</v>
      </c>
    </row>
    <row r="690" spans="1:20" ht="18" x14ac:dyDescent="0.2">
      <c r="A690" s="4" t="s">
        <v>1869</v>
      </c>
      <c r="B690" s="4" t="s">
        <v>2513</v>
      </c>
      <c r="C690" s="4" t="s">
        <v>282</v>
      </c>
      <c r="D690" s="4">
        <v>1</v>
      </c>
      <c r="E690" s="4" t="s">
        <v>61</v>
      </c>
      <c r="F690" s="4">
        <v>0</v>
      </c>
      <c r="G690" s="4">
        <v>0</v>
      </c>
      <c r="H690" s="4">
        <v>2</v>
      </c>
      <c r="I690" s="4">
        <v>0</v>
      </c>
      <c r="J690" s="4">
        <v>0</v>
      </c>
      <c r="K690" s="5">
        <v>9.6630064999999999E-5</v>
      </c>
      <c r="L690" s="4">
        <v>0</v>
      </c>
      <c r="M690" s="4">
        <v>0</v>
      </c>
      <c r="N690" s="4">
        <v>0.12201846</v>
      </c>
      <c r="O690" s="4">
        <v>0</v>
      </c>
      <c r="P690" s="4">
        <v>0</v>
      </c>
      <c r="Q690" s="4">
        <v>2</v>
      </c>
      <c r="R690" s="4">
        <v>0</v>
      </c>
      <c r="S690" s="4">
        <v>0</v>
      </c>
      <c r="T690" s="6">
        <v>0.05</v>
      </c>
    </row>
    <row r="691" spans="1:20" ht="18" x14ac:dyDescent="0.2">
      <c r="A691" s="4" t="s">
        <v>1870</v>
      </c>
      <c r="B691" s="4" t="s">
        <v>2514</v>
      </c>
      <c r="C691" s="4" t="s">
        <v>282</v>
      </c>
      <c r="D691" s="4">
        <v>1</v>
      </c>
      <c r="E691" s="4" t="s">
        <v>61</v>
      </c>
      <c r="F691" s="4">
        <v>0</v>
      </c>
      <c r="G691" s="4">
        <v>0</v>
      </c>
      <c r="H691" s="4">
        <v>2</v>
      </c>
      <c r="I691" s="4">
        <v>0</v>
      </c>
      <c r="J691" s="4">
        <v>0</v>
      </c>
      <c r="K691" s="5">
        <v>4.9917904000000003E-5</v>
      </c>
      <c r="L691" s="4">
        <v>0</v>
      </c>
      <c r="M691" s="4">
        <v>0</v>
      </c>
      <c r="N691" s="4">
        <v>0.15345323</v>
      </c>
      <c r="O691" s="4">
        <v>0</v>
      </c>
      <c r="P691" s="4">
        <v>0</v>
      </c>
      <c r="Q691" s="4">
        <v>2</v>
      </c>
      <c r="R691" s="4">
        <v>0</v>
      </c>
      <c r="S691" s="4">
        <v>0</v>
      </c>
      <c r="T691" s="6">
        <v>6.2E-2</v>
      </c>
    </row>
    <row r="692" spans="1:20" ht="18" x14ac:dyDescent="0.2">
      <c r="A692" s="4" t="s">
        <v>1871</v>
      </c>
      <c r="B692" s="4" t="s">
        <v>2515</v>
      </c>
      <c r="C692" s="4" t="s">
        <v>282</v>
      </c>
      <c r="D692" s="4">
        <v>1</v>
      </c>
      <c r="E692" s="4" t="s">
        <v>61</v>
      </c>
      <c r="F692" s="4">
        <v>0</v>
      </c>
      <c r="G692" s="4">
        <v>0</v>
      </c>
      <c r="H692" s="4">
        <v>2</v>
      </c>
      <c r="I692" s="4">
        <v>0</v>
      </c>
      <c r="J692" s="4">
        <v>0</v>
      </c>
      <c r="K692" s="5">
        <v>6.3259329999999995E-5</v>
      </c>
      <c r="L692" s="4">
        <v>0</v>
      </c>
      <c r="M692" s="4">
        <v>0</v>
      </c>
      <c r="N692" s="4">
        <v>0.101539254</v>
      </c>
      <c r="O692" s="4">
        <v>0</v>
      </c>
      <c r="P692" s="4">
        <v>0</v>
      </c>
      <c r="Q692" s="4">
        <v>2</v>
      </c>
      <c r="R692" s="4">
        <v>0</v>
      </c>
      <c r="S692" s="4">
        <v>0</v>
      </c>
      <c r="T692" s="6">
        <v>4.2000000000000003E-2</v>
      </c>
    </row>
    <row r="693" spans="1:20" ht="18" x14ac:dyDescent="0.2">
      <c r="A693" s="4" t="s">
        <v>1872</v>
      </c>
      <c r="B693" s="4" t="s">
        <v>2516</v>
      </c>
      <c r="C693" s="4" t="s">
        <v>282</v>
      </c>
      <c r="D693" s="4">
        <v>1</v>
      </c>
      <c r="E693" s="4" t="s">
        <v>61</v>
      </c>
      <c r="F693" s="4">
        <v>0</v>
      </c>
      <c r="G693" s="4">
        <v>0</v>
      </c>
      <c r="H693" s="4">
        <v>12</v>
      </c>
      <c r="I693" s="4">
        <v>0</v>
      </c>
      <c r="J693" s="4">
        <v>0</v>
      </c>
      <c r="K693" s="5">
        <v>6.5829229999999999E-4</v>
      </c>
      <c r="L693" s="4">
        <v>0</v>
      </c>
      <c r="M693" s="4">
        <v>0</v>
      </c>
      <c r="N693" s="4">
        <v>0.93196833000000001</v>
      </c>
      <c r="O693" s="4">
        <v>0</v>
      </c>
      <c r="P693" s="4">
        <v>0</v>
      </c>
      <c r="Q693" s="4">
        <v>14</v>
      </c>
      <c r="R693" s="4">
        <v>0</v>
      </c>
      <c r="S693" s="4">
        <v>0</v>
      </c>
      <c r="T693" s="6">
        <v>0.28599999999999998</v>
      </c>
    </row>
    <row r="694" spans="1:20" ht="18" x14ac:dyDescent="0.2">
      <c r="A694" s="4" t="s">
        <v>1873</v>
      </c>
      <c r="B694" s="4" t="s">
        <v>2517</v>
      </c>
      <c r="C694" s="4" t="s">
        <v>282</v>
      </c>
      <c r="D694" s="4">
        <v>1</v>
      </c>
      <c r="E694" s="4" t="s">
        <v>61</v>
      </c>
      <c r="F694" s="4">
        <v>0</v>
      </c>
      <c r="G694" s="4">
        <v>0</v>
      </c>
      <c r="H694" s="4">
        <v>2</v>
      </c>
      <c r="I694" s="4">
        <v>0</v>
      </c>
      <c r="J694" s="4">
        <v>0</v>
      </c>
      <c r="K694" s="5">
        <v>6.9752829999999996E-5</v>
      </c>
      <c r="L694" s="4">
        <v>0</v>
      </c>
      <c r="M694" s="4">
        <v>0</v>
      </c>
      <c r="N694" s="4">
        <v>0.28528666000000003</v>
      </c>
      <c r="O694" s="4">
        <v>0</v>
      </c>
      <c r="P694" s="4">
        <v>0</v>
      </c>
      <c r="Q694" s="4">
        <v>2</v>
      </c>
      <c r="R694" s="4">
        <v>0</v>
      </c>
      <c r="S694" s="4">
        <v>0</v>
      </c>
      <c r="T694" s="6">
        <v>0.109</v>
      </c>
    </row>
    <row r="695" spans="1:20" ht="18" x14ac:dyDescent="0.2">
      <c r="A695" s="4" t="s">
        <v>1874</v>
      </c>
      <c r="B695" s="4" t="s">
        <v>2518</v>
      </c>
      <c r="C695" s="7" t="s">
        <v>282</v>
      </c>
      <c r="D695" s="4">
        <v>1</v>
      </c>
      <c r="E695" s="4" t="s">
        <v>61</v>
      </c>
      <c r="F695" s="4">
        <v>0</v>
      </c>
      <c r="G695" s="4">
        <v>0</v>
      </c>
      <c r="H695" s="4">
        <v>2</v>
      </c>
      <c r="I695" s="4">
        <v>0</v>
      </c>
      <c r="J695" s="4">
        <v>0</v>
      </c>
      <c r="K695" s="5">
        <v>1.3417423000000001E-4</v>
      </c>
      <c r="L695" s="4">
        <v>0</v>
      </c>
      <c r="M695" s="4">
        <v>0</v>
      </c>
      <c r="N695" s="4">
        <v>0.38038432999999999</v>
      </c>
      <c r="O695" s="4">
        <v>0</v>
      </c>
      <c r="P695" s="4">
        <v>0</v>
      </c>
      <c r="Q695" s="4">
        <v>2</v>
      </c>
      <c r="R695" s="4">
        <v>0</v>
      </c>
      <c r="S695" s="4">
        <v>0</v>
      </c>
      <c r="T695" s="6">
        <v>0.14000000000000001</v>
      </c>
    </row>
    <row r="696" spans="1:20" ht="18" x14ac:dyDescent="0.2">
      <c r="A696" s="4" t="s">
        <v>1875</v>
      </c>
      <c r="B696" s="4" t="s">
        <v>2519</v>
      </c>
      <c r="C696" s="4" t="s">
        <v>282</v>
      </c>
      <c r="D696" s="4">
        <v>1</v>
      </c>
      <c r="E696" s="4" t="s">
        <v>61</v>
      </c>
      <c r="F696" s="4">
        <v>0</v>
      </c>
      <c r="G696" s="4">
        <v>0</v>
      </c>
      <c r="H696" s="4">
        <v>2</v>
      </c>
      <c r="I696" s="4">
        <v>0</v>
      </c>
      <c r="J696" s="4">
        <v>0</v>
      </c>
      <c r="K696" s="5">
        <v>5.6933395999999995E-4</v>
      </c>
      <c r="L696" s="4">
        <v>0</v>
      </c>
      <c r="M696" s="4">
        <v>0</v>
      </c>
      <c r="N696" s="4">
        <v>2.9355009999999999</v>
      </c>
      <c r="O696" s="4">
        <v>0</v>
      </c>
      <c r="P696" s="4">
        <v>0</v>
      </c>
      <c r="Q696" s="4">
        <v>2</v>
      </c>
      <c r="R696" s="4">
        <v>0</v>
      </c>
      <c r="S696" s="4">
        <v>0</v>
      </c>
      <c r="T696" s="6">
        <v>0.59499999999999997</v>
      </c>
    </row>
    <row r="697" spans="1:20" ht="18" x14ac:dyDescent="0.2">
      <c r="A697" s="4" t="s">
        <v>1876</v>
      </c>
      <c r="B697" s="4" t="s">
        <v>2520</v>
      </c>
      <c r="C697" s="4" t="s">
        <v>140</v>
      </c>
      <c r="D697" s="4">
        <v>1</v>
      </c>
      <c r="E697" s="4" t="s">
        <v>61</v>
      </c>
      <c r="F697" s="4">
        <v>0</v>
      </c>
      <c r="G697" s="4">
        <v>0</v>
      </c>
      <c r="H697" s="4">
        <v>2</v>
      </c>
      <c r="I697" s="4">
        <v>0</v>
      </c>
      <c r="J697" s="4">
        <v>0</v>
      </c>
      <c r="K697" s="5">
        <v>1.2097256E-5</v>
      </c>
      <c r="L697" s="4">
        <v>0</v>
      </c>
      <c r="M697" s="4">
        <v>0</v>
      </c>
      <c r="N697" s="4">
        <v>1.3911366E-2</v>
      </c>
      <c r="O697" s="4">
        <v>0</v>
      </c>
      <c r="P697" s="4">
        <v>0</v>
      </c>
      <c r="Q697" s="4">
        <v>3</v>
      </c>
      <c r="R697" s="4">
        <v>0</v>
      </c>
      <c r="S697" s="4">
        <v>0</v>
      </c>
      <c r="T697" s="6">
        <v>6.0000000000000001E-3</v>
      </c>
    </row>
    <row r="698" spans="1:20" ht="18" x14ac:dyDescent="0.2">
      <c r="A698" s="4" t="s">
        <v>1877</v>
      </c>
      <c r="B698" s="4" t="s">
        <v>2521</v>
      </c>
      <c r="C698" s="4" t="s">
        <v>140</v>
      </c>
      <c r="D698" s="4">
        <v>1</v>
      </c>
      <c r="E698" s="4" t="s">
        <v>61</v>
      </c>
      <c r="F698" s="4">
        <v>0</v>
      </c>
      <c r="G698" s="4">
        <v>0</v>
      </c>
      <c r="H698" s="4">
        <v>7</v>
      </c>
      <c r="I698" s="4">
        <v>0</v>
      </c>
      <c r="J698" s="4">
        <v>0</v>
      </c>
      <c r="K698" s="5">
        <v>2.2650919000000001E-4</v>
      </c>
      <c r="L698" s="4">
        <v>0</v>
      </c>
      <c r="M698" s="4">
        <v>0</v>
      </c>
      <c r="N698" s="4">
        <v>0.24451458000000001</v>
      </c>
      <c r="O698" s="4">
        <v>0</v>
      </c>
      <c r="P698" s="4">
        <v>0</v>
      </c>
      <c r="Q698" s="4">
        <v>10</v>
      </c>
      <c r="R698" s="4">
        <v>0</v>
      </c>
      <c r="S698" s="4">
        <v>0</v>
      </c>
      <c r="T698" s="6">
        <v>9.5000000000000001E-2</v>
      </c>
    </row>
    <row r="699" spans="1:20" ht="18" x14ac:dyDescent="0.2">
      <c r="A699" s="4" t="s">
        <v>1878</v>
      </c>
      <c r="B699" s="4" t="s">
        <v>2522</v>
      </c>
      <c r="C699" s="7" t="s">
        <v>140</v>
      </c>
      <c r="D699" s="4">
        <v>1</v>
      </c>
      <c r="E699" s="4" t="s">
        <v>61</v>
      </c>
      <c r="F699" s="4">
        <v>0</v>
      </c>
      <c r="G699" s="4">
        <v>0</v>
      </c>
      <c r="H699" s="4">
        <v>2</v>
      </c>
      <c r="I699" s="4">
        <v>0</v>
      </c>
      <c r="J699" s="4">
        <v>0</v>
      </c>
      <c r="K699" s="5">
        <v>2.294701E-5</v>
      </c>
      <c r="L699" s="4">
        <v>0</v>
      </c>
      <c r="M699" s="4">
        <v>0</v>
      </c>
      <c r="N699" s="4">
        <v>7.6465249999999998E-2</v>
      </c>
      <c r="O699" s="4">
        <v>0</v>
      </c>
      <c r="P699" s="4">
        <v>0</v>
      </c>
      <c r="Q699" s="4">
        <v>2</v>
      </c>
      <c r="R699" s="4">
        <v>0</v>
      </c>
      <c r="S699" s="4">
        <v>0</v>
      </c>
      <c r="T699" s="6">
        <v>3.2000000000000001E-2</v>
      </c>
    </row>
    <row r="700" spans="1:20" ht="18" x14ac:dyDescent="0.2">
      <c r="A700" s="4" t="s">
        <v>1879</v>
      </c>
      <c r="B700" s="4" t="s">
        <v>2523</v>
      </c>
      <c r="C700" s="7" t="s">
        <v>140</v>
      </c>
      <c r="D700" s="4">
        <v>1</v>
      </c>
      <c r="E700" s="4" t="s">
        <v>61</v>
      </c>
      <c r="F700" s="4">
        <v>0</v>
      </c>
      <c r="G700" s="4">
        <v>0</v>
      </c>
      <c r="H700" s="4">
        <v>2</v>
      </c>
      <c r="I700" s="4">
        <v>0</v>
      </c>
      <c r="J700" s="4">
        <v>0</v>
      </c>
      <c r="K700" s="5">
        <v>4.8649780000000002E-5</v>
      </c>
      <c r="L700" s="4">
        <v>0</v>
      </c>
      <c r="M700" s="4">
        <v>0</v>
      </c>
      <c r="N700" s="4">
        <v>0.13501083999999999</v>
      </c>
      <c r="O700" s="4">
        <v>0</v>
      </c>
      <c r="P700" s="4">
        <v>0</v>
      </c>
      <c r="Q700" s="4">
        <v>2</v>
      </c>
      <c r="R700" s="4">
        <v>0</v>
      </c>
      <c r="S700" s="4">
        <v>0</v>
      </c>
      <c r="T700" s="6">
        <v>5.5E-2</v>
      </c>
    </row>
    <row r="701" spans="1:20" ht="18" x14ac:dyDescent="0.2">
      <c r="A701" s="4" t="s">
        <v>1880</v>
      </c>
      <c r="B701" s="4" t="s">
        <v>2524</v>
      </c>
      <c r="C701" s="7" t="s">
        <v>140</v>
      </c>
      <c r="D701" s="4">
        <v>1</v>
      </c>
      <c r="E701" s="4" t="s">
        <v>61</v>
      </c>
      <c r="F701" s="4">
        <v>0</v>
      </c>
      <c r="G701" s="4">
        <v>0</v>
      </c>
      <c r="H701" s="4">
        <v>4</v>
      </c>
      <c r="I701" s="4">
        <v>0</v>
      </c>
      <c r="J701" s="4">
        <v>0</v>
      </c>
      <c r="K701" s="5">
        <v>9.9364890000000001E-5</v>
      </c>
      <c r="L701" s="4">
        <v>0</v>
      </c>
      <c r="M701" s="4">
        <v>0</v>
      </c>
      <c r="N701" s="4">
        <v>0.15877736000000001</v>
      </c>
      <c r="O701" s="4">
        <v>0</v>
      </c>
      <c r="P701" s="4">
        <v>0</v>
      </c>
      <c r="Q701" s="4">
        <v>4</v>
      </c>
      <c r="R701" s="4">
        <v>0</v>
      </c>
      <c r="S701" s="4">
        <v>0</v>
      </c>
      <c r="T701" s="6">
        <v>6.4000000000000001E-2</v>
      </c>
    </row>
    <row r="702" spans="1:20" ht="18" x14ac:dyDescent="0.2">
      <c r="A702" s="4" t="s">
        <v>1881</v>
      </c>
      <c r="B702" s="4" t="s">
        <v>2525</v>
      </c>
      <c r="C702" s="7" t="s">
        <v>140</v>
      </c>
      <c r="D702" s="4">
        <v>1</v>
      </c>
      <c r="E702" s="4" t="s">
        <v>61</v>
      </c>
      <c r="F702" s="4">
        <v>0</v>
      </c>
      <c r="G702" s="4">
        <v>0</v>
      </c>
      <c r="H702" s="4">
        <v>3</v>
      </c>
      <c r="I702" s="4">
        <v>0</v>
      </c>
      <c r="J702" s="4">
        <v>0</v>
      </c>
      <c r="K702" s="5">
        <v>8.5805930000000007E-5</v>
      </c>
      <c r="L702" s="4">
        <v>0</v>
      </c>
      <c r="M702" s="4">
        <v>0</v>
      </c>
      <c r="N702" s="4">
        <v>8.3926916000000004E-2</v>
      </c>
      <c r="O702" s="4">
        <v>0</v>
      </c>
      <c r="P702" s="4">
        <v>0</v>
      </c>
      <c r="Q702" s="4">
        <v>4</v>
      </c>
      <c r="R702" s="4">
        <v>0</v>
      </c>
      <c r="S702" s="4">
        <v>0</v>
      </c>
      <c r="T702" s="6">
        <v>3.5000000000000003E-2</v>
      </c>
    </row>
    <row r="703" spans="1:20" ht="18" x14ac:dyDescent="0.2">
      <c r="A703" s="4" t="s">
        <v>1882</v>
      </c>
      <c r="B703" s="4" t="s">
        <v>2526</v>
      </c>
      <c r="C703" s="4" t="s">
        <v>140</v>
      </c>
      <c r="D703" s="4">
        <v>1</v>
      </c>
      <c r="E703" s="4" t="s">
        <v>61</v>
      </c>
      <c r="F703" s="4">
        <v>0</v>
      </c>
      <c r="G703" s="4">
        <v>0</v>
      </c>
      <c r="H703" s="4">
        <v>3</v>
      </c>
      <c r="I703" s="4">
        <v>0</v>
      </c>
      <c r="J703" s="4">
        <v>0</v>
      </c>
      <c r="K703" s="5">
        <v>4.2700042999999999E-4</v>
      </c>
      <c r="L703" s="4">
        <v>0</v>
      </c>
      <c r="M703" s="4">
        <v>0</v>
      </c>
      <c r="N703" s="4">
        <v>0.54525447000000005</v>
      </c>
      <c r="O703" s="4">
        <v>0</v>
      </c>
      <c r="P703" s="4">
        <v>0</v>
      </c>
      <c r="Q703" s="4">
        <v>3</v>
      </c>
      <c r="R703" s="4">
        <v>0</v>
      </c>
      <c r="S703" s="4">
        <v>0</v>
      </c>
      <c r="T703" s="6">
        <v>0.189</v>
      </c>
    </row>
    <row r="704" spans="1:20" ht="18" x14ac:dyDescent="0.2">
      <c r="A704" s="4" t="s">
        <v>1883</v>
      </c>
      <c r="B704" s="4" t="s">
        <v>2527</v>
      </c>
      <c r="C704" s="4" t="s">
        <v>96</v>
      </c>
      <c r="D704" s="4">
        <v>1</v>
      </c>
      <c r="E704" s="4" t="s">
        <v>61</v>
      </c>
      <c r="F704" s="4">
        <v>0</v>
      </c>
      <c r="G704" s="4">
        <v>0</v>
      </c>
      <c r="H704" s="4">
        <v>3</v>
      </c>
      <c r="I704" s="4">
        <v>0</v>
      </c>
      <c r="J704" s="4">
        <v>0</v>
      </c>
      <c r="K704" s="4">
        <v>1.0685325E-3</v>
      </c>
      <c r="L704" s="4">
        <v>0</v>
      </c>
      <c r="M704" s="4">
        <v>0</v>
      </c>
      <c r="N704" s="4">
        <v>0.49279440000000002</v>
      </c>
      <c r="O704" s="4">
        <v>0</v>
      </c>
      <c r="P704" s="4">
        <v>0</v>
      </c>
      <c r="Q704" s="4">
        <v>7</v>
      </c>
      <c r="R704" s="4">
        <v>0</v>
      </c>
      <c r="S704" s="4">
        <v>0</v>
      </c>
      <c r="T704" s="6">
        <v>0.17399999999999999</v>
      </c>
    </row>
    <row r="705" spans="1:20" ht="18" x14ac:dyDescent="0.2">
      <c r="A705" s="4" t="s">
        <v>1884</v>
      </c>
      <c r="B705" s="4" t="s">
        <v>2528</v>
      </c>
      <c r="C705" s="7" t="s">
        <v>96</v>
      </c>
      <c r="D705" s="4">
        <v>1</v>
      </c>
      <c r="E705" s="4" t="s">
        <v>61</v>
      </c>
      <c r="F705" s="4">
        <v>0</v>
      </c>
      <c r="G705" s="4">
        <v>0</v>
      </c>
      <c r="H705" s="4">
        <v>2</v>
      </c>
      <c r="I705" s="4">
        <v>0</v>
      </c>
      <c r="J705" s="4">
        <v>0</v>
      </c>
      <c r="K705" s="5">
        <v>4.5107827000000003E-5</v>
      </c>
      <c r="L705" s="4">
        <v>0</v>
      </c>
      <c r="M705" s="4">
        <v>0</v>
      </c>
      <c r="N705" s="4">
        <v>0.18850218999999999</v>
      </c>
      <c r="O705" s="4">
        <v>0</v>
      </c>
      <c r="P705" s="4">
        <v>0</v>
      </c>
      <c r="Q705" s="4">
        <v>2</v>
      </c>
      <c r="R705" s="4">
        <v>0</v>
      </c>
      <c r="S705" s="4">
        <v>0</v>
      </c>
      <c r="T705" s="6">
        <v>7.4999999999999997E-2</v>
      </c>
    </row>
    <row r="706" spans="1:20" ht="18" x14ac:dyDescent="0.2">
      <c r="A706" s="4" t="s">
        <v>1885</v>
      </c>
      <c r="B706" s="4" t="s">
        <v>2529</v>
      </c>
      <c r="C706" s="4" t="s">
        <v>51</v>
      </c>
      <c r="D706" s="4">
        <v>1</v>
      </c>
      <c r="E706" s="4" t="s">
        <v>61</v>
      </c>
      <c r="F706" s="4">
        <v>0</v>
      </c>
      <c r="G706" s="4">
        <v>0</v>
      </c>
      <c r="H706" s="4">
        <v>3</v>
      </c>
      <c r="I706" s="4">
        <v>0</v>
      </c>
      <c r="J706" s="4">
        <v>0</v>
      </c>
      <c r="K706" s="5">
        <v>1.0639068E-4</v>
      </c>
      <c r="L706" s="4">
        <v>0</v>
      </c>
      <c r="M706" s="4">
        <v>0</v>
      </c>
      <c r="N706" s="4">
        <v>0.12460494</v>
      </c>
      <c r="O706" s="4">
        <v>0</v>
      </c>
      <c r="P706" s="4">
        <v>0</v>
      </c>
      <c r="Q706" s="4">
        <v>4</v>
      </c>
      <c r="R706" s="4">
        <v>0</v>
      </c>
      <c r="S706" s="4">
        <v>0</v>
      </c>
      <c r="T706" s="6">
        <v>5.0999999999999997E-2</v>
      </c>
    </row>
    <row r="707" spans="1:20" ht="18" x14ac:dyDescent="0.2">
      <c r="A707" s="4" t="s">
        <v>1886</v>
      </c>
      <c r="B707" s="4" t="s">
        <v>2530</v>
      </c>
      <c r="C707" s="4" t="s">
        <v>51</v>
      </c>
      <c r="D707" s="4">
        <v>1</v>
      </c>
      <c r="E707" s="4" t="s">
        <v>61</v>
      </c>
      <c r="F707" s="4">
        <v>0</v>
      </c>
      <c r="G707" s="4">
        <v>0</v>
      </c>
      <c r="H707" s="4">
        <v>7</v>
      </c>
      <c r="I707" s="4">
        <v>0</v>
      </c>
      <c r="J707" s="4">
        <v>0</v>
      </c>
      <c r="K707" s="5">
        <v>8.0227139999999999E-5</v>
      </c>
      <c r="L707" s="4">
        <v>0</v>
      </c>
      <c r="M707" s="4">
        <v>0</v>
      </c>
      <c r="N707" s="4">
        <v>0.15080035</v>
      </c>
      <c r="O707" s="4">
        <v>0</v>
      </c>
      <c r="P707" s="4">
        <v>0</v>
      </c>
      <c r="Q707" s="4">
        <v>7</v>
      </c>
      <c r="R707" s="4">
        <v>0</v>
      </c>
      <c r="S707" s="4">
        <v>0</v>
      </c>
      <c r="T707" s="6">
        <v>6.0999999999999999E-2</v>
      </c>
    </row>
    <row r="708" spans="1:20" ht="18" x14ac:dyDescent="0.2">
      <c r="A708" s="4" t="s">
        <v>1887</v>
      </c>
      <c r="B708" s="4" t="s">
        <v>2531</v>
      </c>
      <c r="C708" s="4" t="s">
        <v>51</v>
      </c>
      <c r="D708" s="4">
        <v>1</v>
      </c>
      <c r="E708" s="4" t="s">
        <v>61</v>
      </c>
      <c r="F708" s="4">
        <v>0</v>
      </c>
      <c r="G708" s="4">
        <v>0</v>
      </c>
      <c r="H708" s="4">
        <v>10</v>
      </c>
      <c r="I708" s="4">
        <v>0</v>
      </c>
      <c r="J708" s="4">
        <v>0</v>
      </c>
      <c r="K708" s="5">
        <v>2.2620516999999999E-4</v>
      </c>
      <c r="L708" s="4">
        <v>0</v>
      </c>
      <c r="M708" s="4">
        <v>0</v>
      </c>
      <c r="N708" s="4">
        <v>0.18850218999999999</v>
      </c>
      <c r="O708" s="4">
        <v>0</v>
      </c>
      <c r="P708" s="4">
        <v>0</v>
      </c>
      <c r="Q708" s="4">
        <v>16</v>
      </c>
      <c r="R708" s="4">
        <v>0</v>
      </c>
      <c r="S708" s="4">
        <v>0</v>
      </c>
      <c r="T708" s="6">
        <v>7.4999999999999997E-2</v>
      </c>
    </row>
    <row r="709" spans="1:20" ht="18" x14ac:dyDescent="0.2">
      <c r="A709" s="4" t="s">
        <v>1888</v>
      </c>
      <c r="B709" s="4" t="s">
        <v>2532</v>
      </c>
      <c r="C709" s="4" t="s">
        <v>51</v>
      </c>
      <c r="D709" s="4">
        <v>1</v>
      </c>
      <c r="E709" s="4" t="s">
        <v>61</v>
      </c>
      <c r="F709" s="4">
        <v>0</v>
      </c>
      <c r="G709" s="4">
        <v>0</v>
      </c>
      <c r="H709" s="4">
        <v>2</v>
      </c>
      <c r="I709" s="4">
        <v>0</v>
      </c>
      <c r="J709" s="4">
        <v>0</v>
      </c>
      <c r="K709" s="5">
        <v>7.4435884000000006E-5</v>
      </c>
      <c r="L709" s="4">
        <v>0</v>
      </c>
      <c r="M709" s="4">
        <v>0</v>
      </c>
      <c r="N709" s="4">
        <v>9.3956349999999994E-2</v>
      </c>
      <c r="O709" s="4">
        <v>0</v>
      </c>
      <c r="P709" s="4">
        <v>0</v>
      </c>
      <c r="Q709" s="4">
        <v>2</v>
      </c>
      <c r="R709" s="4">
        <v>0</v>
      </c>
      <c r="S709" s="4">
        <v>0</v>
      </c>
      <c r="T709" s="6">
        <v>3.9E-2</v>
      </c>
    </row>
    <row r="710" spans="1:20" ht="18" x14ac:dyDescent="0.2">
      <c r="A710" s="4" t="s">
        <v>1889</v>
      </c>
      <c r="B710" s="4" t="s">
        <v>2533</v>
      </c>
      <c r="C710" s="4" t="s">
        <v>51</v>
      </c>
      <c r="D710" s="4">
        <v>1</v>
      </c>
      <c r="E710" s="4" t="s">
        <v>61</v>
      </c>
      <c r="F710" s="4">
        <v>0</v>
      </c>
      <c r="G710" s="4">
        <v>0</v>
      </c>
      <c r="H710" s="4">
        <v>2</v>
      </c>
      <c r="I710" s="4">
        <v>0</v>
      </c>
      <c r="J710" s="4">
        <v>0</v>
      </c>
      <c r="K710" s="5">
        <v>7.0452690000000003E-5</v>
      </c>
      <c r="L710" s="4">
        <v>0</v>
      </c>
      <c r="M710" s="4">
        <v>0</v>
      </c>
      <c r="N710" s="4">
        <v>0.34896290000000002</v>
      </c>
      <c r="O710" s="4">
        <v>0</v>
      </c>
      <c r="P710" s="4">
        <v>0</v>
      </c>
      <c r="Q710" s="4">
        <v>2</v>
      </c>
      <c r="R710" s="4">
        <v>0</v>
      </c>
      <c r="S710" s="4">
        <v>0</v>
      </c>
      <c r="T710" s="6">
        <v>0.13</v>
      </c>
    </row>
    <row r="711" spans="1:20" ht="18" x14ac:dyDescent="0.2">
      <c r="A711" s="4" t="s">
        <v>1890</v>
      </c>
      <c r="B711" s="4" t="s">
        <v>2024</v>
      </c>
      <c r="C711" s="4" t="s">
        <v>51</v>
      </c>
      <c r="D711" s="4">
        <v>1</v>
      </c>
      <c r="E711" s="4" t="s">
        <v>61</v>
      </c>
      <c r="F711" s="4">
        <v>0</v>
      </c>
      <c r="G711" s="4">
        <v>0</v>
      </c>
      <c r="H711" s="4">
        <v>3</v>
      </c>
      <c r="I711" s="4">
        <v>0</v>
      </c>
      <c r="J711" s="4">
        <v>0</v>
      </c>
      <c r="K711" s="5">
        <v>6.6522170000000004E-4</v>
      </c>
      <c r="L711" s="4">
        <v>0</v>
      </c>
      <c r="M711" s="4">
        <v>0</v>
      </c>
      <c r="N711" s="4">
        <v>0.33659554000000003</v>
      </c>
      <c r="O711" s="4">
        <v>0</v>
      </c>
      <c r="P711" s="4">
        <v>0</v>
      </c>
      <c r="Q711" s="4">
        <v>6</v>
      </c>
      <c r="R711" s="4">
        <v>0</v>
      </c>
      <c r="S711" s="4">
        <v>0</v>
      </c>
      <c r="T711" s="6">
        <v>0.126</v>
      </c>
    </row>
    <row r="712" spans="1:20" ht="18" x14ac:dyDescent="0.2">
      <c r="A712" s="4" t="s">
        <v>1891</v>
      </c>
      <c r="B712" s="4" t="s">
        <v>2534</v>
      </c>
      <c r="C712" s="4" t="s">
        <v>51</v>
      </c>
      <c r="D712" s="4">
        <v>1</v>
      </c>
      <c r="E712" s="4" t="s">
        <v>61</v>
      </c>
      <c r="F712" s="4">
        <v>0</v>
      </c>
      <c r="G712" s="4">
        <v>0</v>
      </c>
      <c r="H712" s="4">
        <v>2</v>
      </c>
      <c r="I712" s="4">
        <v>0</v>
      </c>
      <c r="J712" s="4">
        <v>0</v>
      </c>
      <c r="K712" s="5">
        <v>2.7216221E-5</v>
      </c>
      <c r="L712" s="4">
        <v>0</v>
      </c>
      <c r="M712" s="4">
        <v>0</v>
      </c>
      <c r="N712" s="4">
        <v>5.9253693000000003E-2</v>
      </c>
      <c r="O712" s="4">
        <v>0</v>
      </c>
      <c r="P712" s="4">
        <v>0</v>
      </c>
      <c r="Q712" s="4">
        <v>2</v>
      </c>
      <c r="R712" s="4">
        <v>0</v>
      </c>
      <c r="S712" s="4">
        <v>0</v>
      </c>
      <c r="T712" s="6">
        <v>2.5000000000000001E-2</v>
      </c>
    </row>
    <row r="713" spans="1:20" ht="18" x14ac:dyDescent="0.2">
      <c r="A713" s="4" t="s">
        <v>1892</v>
      </c>
      <c r="B713" s="4" t="s">
        <v>2535</v>
      </c>
      <c r="C713" s="4" t="s">
        <v>52</v>
      </c>
      <c r="D713" s="4">
        <v>1</v>
      </c>
      <c r="E713" s="4" t="s">
        <v>61</v>
      </c>
      <c r="F713" s="4">
        <v>0</v>
      </c>
      <c r="G713" s="4">
        <v>0</v>
      </c>
      <c r="H713" s="4">
        <v>3</v>
      </c>
      <c r="I713" s="4">
        <v>0</v>
      </c>
      <c r="J713" s="4">
        <v>0</v>
      </c>
      <c r="K713" s="5">
        <v>1.244017E-4</v>
      </c>
      <c r="L713" s="4">
        <v>0</v>
      </c>
      <c r="M713" s="4">
        <v>0</v>
      </c>
      <c r="N713" s="4">
        <v>0.16680967999999999</v>
      </c>
      <c r="O713" s="4">
        <v>0</v>
      </c>
      <c r="P713" s="4">
        <v>0</v>
      </c>
      <c r="Q713" s="4">
        <v>3</v>
      </c>
      <c r="R713" s="4">
        <v>0</v>
      </c>
      <c r="S713" s="4">
        <v>0</v>
      </c>
      <c r="T713" s="6">
        <v>6.7000000000000004E-2</v>
      </c>
    </row>
    <row r="714" spans="1:20" ht="18" x14ac:dyDescent="0.2">
      <c r="A714" s="4" t="s">
        <v>1893</v>
      </c>
      <c r="B714" s="4" t="s">
        <v>2536</v>
      </c>
      <c r="C714" s="4" t="s">
        <v>2028</v>
      </c>
      <c r="D714" s="4">
        <v>1</v>
      </c>
      <c r="E714" s="4" t="s">
        <v>61</v>
      </c>
      <c r="F714" s="4">
        <v>0</v>
      </c>
      <c r="G714" s="4">
        <v>0</v>
      </c>
      <c r="H714" s="4">
        <v>3</v>
      </c>
      <c r="I714" s="4">
        <v>0</v>
      </c>
      <c r="J714" s="4">
        <v>0</v>
      </c>
      <c r="K714" s="5">
        <v>4.0510299999999997E-4</v>
      </c>
      <c r="L714" s="4">
        <v>0</v>
      </c>
      <c r="M714" s="4">
        <v>0</v>
      </c>
      <c r="N714" s="4">
        <v>0.51008010000000004</v>
      </c>
      <c r="O714" s="4">
        <v>0</v>
      </c>
      <c r="P714" s="4">
        <v>0</v>
      </c>
      <c r="Q714" s="4">
        <v>3</v>
      </c>
      <c r="R714" s="4">
        <v>0</v>
      </c>
      <c r="S714" s="4">
        <v>0</v>
      </c>
      <c r="T714" s="6">
        <v>0.17899999999999999</v>
      </c>
    </row>
    <row r="715" spans="1:20" ht="18" x14ac:dyDescent="0.2">
      <c r="A715" s="4" t="s">
        <v>1894</v>
      </c>
      <c r="B715" s="4" t="s">
        <v>2026</v>
      </c>
      <c r="C715" s="4" t="s">
        <v>2028</v>
      </c>
      <c r="D715" s="4">
        <v>1</v>
      </c>
      <c r="E715" s="4" t="s">
        <v>61</v>
      </c>
      <c r="F715" s="4">
        <v>0</v>
      </c>
      <c r="G715" s="4">
        <v>0</v>
      </c>
      <c r="H715" s="4">
        <v>5</v>
      </c>
      <c r="I715" s="4">
        <v>0</v>
      </c>
      <c r="J715" s="4">
        <v>0</v>
      </c>
      <c r="K715" s="5">
        <v>2.9669513E-4</v>
      </c>
      <c r="L715" s="4">
        <v>0</v>
      </c>
      <c r="M715" s="4">
        <v>0</v>
      </c>
      <c r="N715" s="4">
        <v>0.20503592000000001</v>
      </c>
      <c r="O715" s="4">
        <v>0</v>
      </c>
      <c r="P715" s="4">
        <v>0</v>
      </c>
      <c r="Q715" s="4">
        <v>8</v>
      </c>
      <c r="R715" s="4">
        <v>0</v>
      </c>
      <c r="S715" s="4">
        <v>0</v>
      </c>
      <c r="T715" s="6">
        <v>8.1000000000000003E-2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ST1A.Tick Cement proteins</vt:lpstr>
      <vt:lpstr>ST1B.Heatmap _clusters</vt:lpstr>
      <vt:lpstr>ST1C. Functional Annotation </vt:lpstr>
      <vt:lpstr>ST1D. Mol Function Go Terms</vt:lpstr>
      <vt:lpstr>ST1E. IDs Mapping Go Terms</vt:lpstr>
      <vt:lpstr>ST1F.Tick mouthpart proteins</vt:lpstr>
      <vt:lpstr>ST1G.Rabbit proteins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Mulenga</dc:creator>
  <cp:lastModifiedBy>Albert Mulenga</cp:lastModifiedBy>
  <dcterms:created xsi:type="dcterms:W3CDTF">2022-04-08T17:47:45Z</dcterms:created>
  <dcterms:modified xsi:type="dcterms:W3CDTF">2022-06-28T22:46:59Z</dcterms:modified>
</cp:coreProperties>
</file>