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Users\dbogachu\Documents\Studies\Freiburg\PhD\01_Publications\16_recycling\manuscript\"/>
    </mc:Choice>
  </mc:AlternateContent>
  <xr:revisionPtr revIDLastSave="0" documentId="13_ncr:1_{7BAC54DF-3486-46DE-A071-8C0B78CFFF96}" xr6:coauthVersionLast="47" xr6:coauthVersionMax="47" xr10:uidLastSave="{00000000-0000-0000-0000-000000000000}"/>
  <bookViews>
    <workbookView xWindow="-110" yWindow="-110" windowWidth="19420" windowHeight="10420" xr2:uid="{00000000-000D-0000-FFFF-FFFF00000000}"/>
  </bookViews>
  <sheets>
    <sheet name="PSM production" sheetId="5" r:id="rId1"/>
    <sheet name="Chemicals" sheetId="1" r:id="rId2"/>
    <sheet name="electricity consumption" sheetId="2" r:id="rId3"/>
    <sheet name="OVERHEAD" sheetId="7" r:id="rId4"/>
    <sheet name="Chemicals &amp; Solvents background" sheetId="3" r:id="rId5"/>
    <sheet name="Encapsulation materials" sheetId="4" r:id="rId6"/>
    <sheet name="Sources" sheetId="6" r:id="rId7"/>
  </sheets>
  <externalReferences>
    <externalReference r:id="rId8"/>
    <externalReference r:id="rId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5" i="7" l="1"/>
  <c r="G15" i="7"/>
  <c r="C15" i="7"/>
  <c r="J14" i="7"/>
  <c r="G14" i="7"/>
  <c r="C14" i="7"/>
  <c r="J13" i="7"/>
  <c r="G13" i="7"/>
  <c r="C13" i="7"/>
  <c r="J12" i="7"/>
  <c r="G12" i="7"/>
  <c r="C12" i="7"/>
  <c r="E11" i="7"/>
  <c r="D11" i="7"/>
  <c r="J11" i="7" s="1"/>
  <c r="C11" i="7"/>
  <c r="J10" i="7"/>
  <c r="G10" i="7"/>
  <c r="E9" i="7"/>
  <c r="E16" i="7" s="1"/>
  <c r="D9" i="7"/>
  <c r="J9" i="7" s="1"/>
  <c r="C9" i="7"/>
  <c r="C10" i="7" s="1"/>
  <c r="J8" i="7"/>
  <c r="G8" i="7"/>
  <c r="C8" i="7"/>
  <c r="J7" i="7"/>
  <c r="G7" i="7"/>
  <c r="C7" i="7"/>
  <c r="J6" i="7"/>
  <c r="G6" i="7"/>
  <c r="J5" i="7"/>
  <c r="G5" i="7"/>
  <c r="J4" i="7"/>
  <c r="J16" i="7" s="1"/>
  <c r="J17" i="7" s="1"/>
  <c r="J18" i="7" s="1"/>
  <c r="G4" i="7"/>
  <c r="C4" i="7"/>
  <c r="C104" i="5"/>
  <c r="C122" i="5" s="1"/>
  <c r="B32" i="7" l="1"/>
  <c r="D32" i="7" s="1"/>
  <c r="E32" i="7" s="1"/>
  <c r="J22" i="7"/>
  <c r="J21" i="7"/>
  <c r="J19" i="7"/>
  <c r="J20" i="7"/>
  <c r="B29" i="7"/>
  <c r="D16" i="7"/>
  <c r="G9" i="7"/>
  <c r="G16" i="7" s="1"/>
  <c r="G11" i="7"/>
  <c r="B30" i="7" l="1"/>
  <c r="J23" i="7"/>
  <c r="D29" i="7"/>
  <c r="D30" i="7" l="1"/>
  <c r="E30" i="7" s="1"/>
  <c r="B33" i="7"/>
  <c r="D33" i="7" s="1"/>
  <c r="E33" i="7" s="1"/>
  <c r="B34" i="7"/>
  <c r="E29" i="7"/>
  <c r="D34" i="7" l="1"/>
  <c r="E34" i="7"/>
  <c r="C18" i="1" l="1"/>
  <c r="C8" i="1"/>
  <c r="C334" i="1"/>
  <c r="C274" i="1"/>
  <c r="B84" i="2" l="1"/>
  <c r="B82" i="2"/>
  <c r="B80" i="2"/>
  <c r="B76" i="2"/>
  <c r="B75" i="2"/>
  <c r="B74" i="2"/>
  <c r="C154" i="5"/>
  <c r="C151" i="5"/>
  <c r="C152" i="5" s="1"/>
  <c r="C406" i="1"/>
  <c r="C405" i="1"/>
  <c r="C408" i="1" s="1"/>
  <c r="C143" i="5"/>
  <c r="C129" i="5"/>
  <c r="C128" i="5"/>
  <c r="E67" i="5"/>
  <c r="D67" i="5"/>
  <c r="C67" i="5"/>
  <c r="C51" i="5"/>
  <c r="D21" i="2"/>
  <c r="D25" i="2" s="1"/>
  <c r="E32" i="2" s="1"/>
  <c r="E21" i="2"/>
  <c r="E25" i="2" s="1"/>
  <c r="F21" i="2"/>
  <c r="F25" i="2" s="1"/>
  <c r="D23" i="2"/>
  <c r="D26" i="2" s="1"/>
  <c r="E23" i="2"/>
  <c r="E26" i="2" s="1"/>
  <c r="F23" i="2"/>
  <c r="F26" i="2" s="1"/>
  <c r="D22" i="2"/>
  <c r="D24" i="2" s="1"/>
  <c r="D32" i="2" s="1"/>
  <c r="E22" i="2"/>
  <c r="E24" i="2" s="1"/>
  <c r="F22" i="2"/>
  <c r="F24" i="2" s="1"/>
  <c r="I45" i="2"/>
  <c r="C162" i="5" l="1"/>
  <c r="C153" i="5"/>
  <c r="C167" i="5" s="1"/>
  <c r="C411" i="1"/>
  <c r="C413" i="1"/>
  <c r="C131" i="5"/>
  <c r="C141" i="5" s="1"/>
  <c r="C130" i="5"/>
  <c r="C140" i="5" s="1"/>
  <c r="C166" i="5" l="1"/>
  <c r="C165" i="5"/>
  <c r="C163" i="5"/>
  <c r="C145" i="5"/>
  <c r="C146" i="5"/>
  <c r="C378" i="1" l="1"/>
  <c r="C359" i="1"/>
  <c r="C346" i="1"/>
  <c r="C305" i="1"/>
  <c r="C100" i="1"/>
  <c r="C85" i="1"/>
  <c r="C104" i="2"/>
  <c r="C103" i="2"/>
  <c r="C102" i="2"/>
  <c r="C106" i="5" s="1"/>
  <c r="C101" i="2"/>
  <c r="B56" i="2"/>
  <c r="B69" i="2"/>
  <c r="C174" i="5" s="1"/>
  <c r="C176" i="5" s="1"/>
  <c r="C203" i="5"/>
  <c r="C202" i="5"/>
  <c r="C201" i="5"/>
  <c r="C199" i="5"/>
  <c r="C37" i="5"/>
  <c r="C41" i="5" s="1"/>
  <c r="C36" i="5"/>
  <c r="C39" i="5" s="1"/>
  <c r="C26" i="5"/>
  <c r="C28" i="5" s="1"/>
  <c r="C22" i="5"/>
  <c r="C21" i="5"/>
  <c r="C18" i="5"/>
  <c r="C10" i="5"/>
  <c r="C19" i="5" s="1"/>
  <c r="C9" i="5"/>
  <c r="C13" i="5" s="1"/>
  <c r="C187" i="5"/>
  <c r="C190" i="5" s="1"/>
  <c r="J171" i="5"/>
  <c r="J173" i="5" s="1"/>
  <c r="C173" i="5" s="1"/>
  <c r="C172" i="5"/>
  <c r="C180" i="5" s="1"/>
  <c r="C107" i="5"/>
  <c r="E116" i="3"/>
  <c r="C116" i="3"/>
  <c r="D116" i="3" s="1"/>
  <c r="B110" i="3"/>
  <c r="C103" i="5"/>
  <c r="C102" i="5"/>
  <c r="C82" i="5"/>
  <c r="C94" i="5" s="1"/>
  <c r="C80" i="5"/>
  <c r="C91" i="5" s="1"/>
  <c r="E69" i="5"/>
  <c r="D69" i="5"/>
  <c r="C69" i="5"/>
  <c r="C56" i="5"/>
  <c r="C49" i="5"/>
  <c r="C55" i="5" s="1"/>
  <c r="AB18" i="3"/>
  <c r="H18" i="3"/>
  <c r="C29" i="4" s="1"/>
  <c r="G18" i="3"/>
  <c r="C28" i="4"/>
  <c r="C22" i="4"/>
  <c r="C20" i="4"/>
  <c r="C16" i="4"/>
  <c r="C14" i="4"/>
  <c r="C400" i="1"/>
  <c r="C399" i="1"/>
  <c r="C394" i="1"/>
  <c r="C393" i="1"/>
  <c r="C388" i="1"/>
  <c r="C374" i="1"/>
  <c r="C387" i="1" s="1"/>
  <c r="C373" i="1"/>
  <c r="C385" i="1" s="1"/>
  <c r="C372" i="1"/>
  <c r="C384" i="1" s="1"/>
  <c r="C356" i="1"/>
  <c r="C362" i="1" s="1"/>
  <c r="C367" i="1" s="1"/>
  <c r="C355" i="1"/>
  <c r="C361" i="1" s="1"/>
  <c r="C337" i="1"/>
  <c r="C336" i="1"/>
  <c r="C318" i="1"/>
  <c r="C317" i="1"/>
  <c r="C320" i="1"/>
  <c r="C307" i="1"/>
  <c r="C303" i="1"/>
  <c r="C302" i="1"/>
  <c r="C295" i="1"/>
  <c r="C291" i="1"/>
  <c r="C290" i="1"/>
  <c r="H104" i="3"/>
  <c r="H94" i="3"/>
  <c r="H97" i="3"/>
  <c r="H87" i="3"/>
  <c r="H90" i="3"/>
  <c r="H80" i="3"/>
  <c r="H83" i="3"/>
  <c r="H76" i="3"/>
  <c r="H69" i="3"/>
  <c r="H59" i="3"/>
  <c r="H62" i="3"/>
  <c r="H52" i="3"/>
  <c r="H55" i="3"/>
  <c r="H45" i="3"/>
  <c r="H48" i="3"/>
  <c r="H38" i="3"/>
  <c r="H41" i="3"/>
  <c r="H31" i="3"/>
  <c r="H24" i="3"/>
  <c r="B34" i="3"/>
  <c r="H101" i="3" s="1"/>
  <c r="H34" i="3"/>
  <c r="B30" i="3"/>
  <c r="H73" i="3" s="1"/>
  <c r="B29" i="3"/>
  <c r="H66" i="3" s="1"/>
  <c r="H27" i="3"/>
  <c r="C386" i="1" l="1"/>
  <c r="C381" i="1"/>
  <c r="C29" i="5"/>
  <c r="C27" i="5"/>
  <c r="C43" i="5"/>
  <c r="C44" i="5"/>
  <c r="C188" i="5"/>
  <c r="C194" i="5" s="1"/>
  <c r="C111" i="5"/>
  <c r="C186" i="5"/>
  <c r="C178" i="5"/>
  <c r="C181" i="5"/>
  <c r="C109" i="5"/>
  <c r="F116" i="3"/>
  <c r="G116" i="3" s="1"/>
  <c r="C112" i="5"/>
  <c r="C90" i="5"/>
  <c r="C92" i="5"/>
  <c r="C81" i="5"/>
  <c r="C96" i="5" s="1"/>
  <c r="C50" i="5"/>
  <c r="C54" i="5" s="1"/>
  <c r="C59" i="5"/>
  <c r="C53" i="5"/>
  <c r="C58" i="5"/>
  <c r="C380" i="1"/>
  <c r="C365" i="1"/>
  <c r="C31" i="5" l="1"/>
  <c r="C189" i="5"/>
  <c r="C192" i="5" s="1"/>
  <c r="C97" i="5"/>
  <c r="C344" i="1" l="1"/>
  <c r="C343" i="1"/>
  <c r="C342" i="1" s="1"/>
  <c r="C345" i="1" l="1"/>
  <c r="C348" i="1" s="1"/>
  <c r="C275" i="1" l="1"/>
  <c r="C272" i="1"/>
  <c r="C268" i="1"/>
  <c r="C279" i="1" s="1"/>
  <c r="C283" i="1" s="1"/>
  <c r="C266" i="1"/>
  <c r="C267" i="1" s="1"/>
  <c r="C265" i="1"/>
  <c r="C280" i="1" s="1"/>
  <c r="C254" i="1"/>
  <c r="C249" i="1"/>
  <c r="C248" i="1"/>
  <c r="C257" i="1" s="1"/>
  <c r="C237" i="1"/>
  <c r="C233" i="1"/>
  <c r="C232" i="1"/>
  <c r="C221" i="1"/>
  <c r="G14" i="3"/>
  <c r="F14" i="3"/>
  <c r="E14" i="3"/>
  <c r="G12" i="3"/>
  <c r="F12" i="3"/>
  <c r="G11" i="3"/>
  <c r="F11" i="3"/>
  <c r="G10" i="3"/>
  <c r="F10" i="3"/>
  <c r="J10" i="3" s="1"/>
  <c r="G9" i="3"/>
  <c r="F9" i="3"/>
  <c r="G8" i="3"/>
  <c r="F8" i="3"/>
  <c r="G7" i="3"/>
  <c r="F7" i="3"/>
  <c r="F6" i="3"/>
  <c r="G5" i="3"/>
  <c r="F5" i="3"/>
  <c r="F4" i="3"/>
  <c r="J4" i="3" s="1"/>
  <c r="C215" i="1"/>
  <c r="C214" i="1"/>
  <c r="C216" i="1" s="1"/>
  <c r="C217" i="1" s="1"/>
  <c r="C213" i="1"/>
  <c r="C219" i="1" s="1"/>
  <c r="C207" i="1"/>
  <c r="C206" i="1"/>
  <c r="C195" i="1"/>
  <c r="C194" i="1"/>
  <c r="C188" i="1"/>
  <c r="C187" i="1"/>
  <c r="C180" i="1"/>
  <c r="C179" i="1"/>
  <c r="C173" i="1"/>
  <c r="C172" i="1"/>
  <c r="C167" i="1"/>
  <c r="C163" i="1"/>
  <c r="C176" i="1" s="1"/>
  <c r="C191" i="1" s="1"/>
  <c r="C162" i="1"/>
  <c r="C161" i="1"/>
  <c r="C165" i="1" s="1"/>
  <c r="C160" i="1"/>
  <c r="C159" i="1"/>
  <c r="C158" i="1"/>
  <c r="C147" i="1" s="1"/>
  <c r="C157" i="1"/>
  <c r="C156" i="1"/>
  <c r="C149" i="1"/>
  <c r="C145" i="1"/>
  <c r="C130" i="1"/>
  <c r="C141" i="1"/>
  <c r="C140" i="1"/>
  <c r="C137" i="1"/>
  <c r="C134" i="1"/>
  <c r="C138" i="1" s="1"/>
  <c r="C133" i="1"/>
  <c r="C129" i="1"/>
  <c r="C128" i="1"/>
  <c r="C127" i="1"/>
  <c r="C116" i="1"/>
  <c r="C112" i="1"/>
  <c r="C111" i="1"/>
  <c r="C103" i="1"/>
  <c r="C102" i="1"/>
  <c r="C96" i="1"/>
  <c r="C80" i="1"/>
  <c r="C79" i="1"/>
  <c r="C78" i="1" s="1"/>
  <c r="C81" i="1" s="1"/>
  <c r="C105" i="5"/>
  <c r="D2" i="2"/>
  <c r="E49" i="2"/>
  <c r="D49" i="2" s="1"/>
  <c r="C84" i="5"/>
  <c r="C134" i="5" s="1"/>
  <c r="C156" i="5" s="1"/>
  <c r="E45" i="2"/>
  <c r="D45" i="2" s="1"/>
  <c r="C118" i="5"/>
  <c r="C43" i="2"/>
  <c r="K42" i="2"/>
  <c r="J42" i="2"/>
  <c r="H42" i="2"/>
  <c r="G42" i="2"/>
  <c r="F42" i="2"/>
  <c r="E42" i="2"/>
  <c r="D42" i="2"/>
  <c r="C42" i="2"/>
  <c r="F38" i="2"/>
  <c r="E38" i="2"/>
  <c r="E46" i="2" s="1"/>
  <c r="D38" i="2"/>
  <c r="C38" i="2"/>
  <c r="C47" i="2" s="1"/>
  <c r="F32" i="2"/>
  <c r="G129" i="2"/>
  <c r="H128" i="2" s="1"/>
  <c r="O106" i="2"/>
  <c r="N106" i="2"/>
  <c r="M106" i="2"/>
  <c r="L106" i="2"/>
  <c r="K106" i="2"/>
  <c r="B122" i="2"/>
  <c r="B121" i="2"/>
  <c r="B120" i="2"/>
  <c r="C407" i="1" s="1"/>
  <c r="B119" i="2"/>
  <c r="B118" i="2"/>
  <c r="C68" i="1"/>
  <c r="C64" i="1"/>
  <c r="C65" i="1" s="1"/>
  <c r="C67" i="1" s="1"/>
  <c r="C58" i="1"/>
  <c r="C52" i="1"/>
  <c r="C51" i="1"/>
  <c r="C55" i="1" s="1"/>
  <c r="C49" i="1"/>
  <c r="C54" i="1" s="1"/>
  <c r="C48" i="1"/>
  <c r="C57" i="1" s="1"/>
  <c r="C47" i="1"/>
  <c r="C59" i="1" s="1"/>
  <c r="D46" i="2" l="1"/>
  <c r="F45" i="2"/>
  <c r="F47" i="2" s="1"/>
  <c r="K45" i="2"/>
  <c r="K47" i="2" s="1"/>
  <c r="K48" i="2" s="1"/>
  <c r="C137" i="5" s="1"/>
  <c r="J45" i="2"/>
  <c r="J47" i="2" s="1"/>
  <c r="J48" i="2" s="1"/>
  <c r="K49" i="2"/>
  <c r="J49" i="2"/>
  <c r="C46" i="2"/>
  <c r="D47" i="2"/>
  <c r="D48" i="2" s="1"/>
  <c r="H125" i="2"/>
  <c r="B126" i="2" s="1"/>
  <c r="C48" i="2"/>
  <c r="H126" i="2"/>
  <c r="B127" i="2" s="1"/>
  <c r="C270" i="1"/>
  <c r="H127" i="2"/>
  <c r="B128" i="2" s="1"/>
  <c r="B85" i="2"/>
  <c r="C85" i="5"/>
  <c r="C135" i="5" s="1"/>
  <c r="C157" i="5" s="1"/>
  <c r="G38" i="2"/>
  <c r="G46" i="2" s="1"/>
  <c r="C235" i="1"/>
  <c r="C240" i="1" s="1"/>
  <c r="C236" i="1"/>
  <c r="I8" i="3"/>
  <c r="J6" i="3"/>
  <c r="I6" i="3"/>
  <c r="J5" i="3"/>
  <c r="I12" i="3"/>
  <c r="J7" i="3"/>
  <c r="J8" i="3"/>
  <c r="J11" i="3"/>
  <c r="I7" i="3"/>
  <c r="I10" i="3"/>
  <c r="I5" i="3"/>
  <c r="J9" i="3"/>
  <c r="I11" i="3"/>
  <c r="I9" i="3"/>
  <c r="J12" i="3"/>
  <c r="C190" i="1"/>
  <c r="C271" i="1"/>
  <c r="C269" i="1"/>
  <c r="C273" i="1"/>
  <c r="C146" i="1"/>
  <c r="C148" i="1" s="1"/>
  <c r="C151" i="1" s="1"/>
  <c r="C174" i="1"/>
  <c r="C218" i="1"/>
  <c r="C247" i="1"/>
  <c r="C175" i="1"/>
  <c r="C220" i="1"/>
  <c r="C223" i="1" s="1"/>
  <c r="C189" i="1"/>
  <c r="C136" i="1"/>
  <c r="C278" i="1"/>
  <c r="C282" i="1" s="1"/>
  <c r="C284" i="1" s="1"/>
  <c r="C258" i="1"/>
  <c r="C250" i="1"/>
  <c r="C253" i="1" s="1"/>
  <c r="C239" i="1"/>
  <c r="C242" i="1" s="1"/>
  <c r="I4" i="3"/>
  <c r="C225" i="1"/>
  <c r="C227" i="1"/>
  <c r="C106" i="1"/>
  <c r="C114" i="1"/>
  <c r="C118" i="1" s="1"/>
  <c r="C115" i="1"/>
  <c r="C83" i="1"/>
  <c r="C132" i="1"/>
  <c r="C82" i="1"/>
  <c r="C89" i="1"/>
  <c r="C88" i="1"/>
  <c r="C91" i="1" s="1"/>
  <c r="C84" i="1"/>
  <c r="C87" i="1" s="1"/>
  <c r="E47" i="2"/>
  <c r="E48" i="2" s="1"/>
  <c r="I47" i="2"/>
  <c r="F49" i="2"/>
  <c r="E50" i="2"/>
  <c r="D50" i="2" s="1"/>
  <c r="C71" i="1"/>
  <c r="C73" i="1" s="1"/>
  <c r="C66" i="1"/>
  <c r="C70" i="1" s="1"/>
  <c r="C46" i="1"/>
  <c r="G47" i="2" l="1"/>
  <c r="G48" i="2" s="1"/>
  <c r="H38" i="2"/>
  <c r="H47" i="2" s="1"/>
  <c r="H48" i="2" s="1"/>
  <c r="F48" i="2"/>
  <c r="C158" i="5" s="1"/>
  <c r="C86" i="5"/>
  <c r="C376" i="1"/>
  <c r="C382" i="1" s="1"/>
  <c r="C358" i="1"/>
  <c r="C363" i="1" s="1"/>
  <c r="C293" i="1"/>
  <c r="C98" i="1"/>
  <c r="C105" i="1" s="1"/>
  <c r="I48" i="2"/>
  <c r="C120" i="5"/>
  <c r="C377" i="1"/>
  <c r="C294" i="1"/>
  <c r="C99" i="1"/>
  <c r="C357" i="1"/>
  <c r="C292" i="1"/>
  <c r="C375" i="1"/>
  <c r="C97" i="1"/>
  <c r="C178" i="1"/>
  <c r="C193" i="1"/>
  <c r="C252" i="1"/>
  <c r="C251" i="1"/>
  <c r="C277" i="1"/>
  <c r="C260" i="1"/>
  <c r="K50" i="2"/>
  <c r="C133" i="5" s="1"/>
  <c r="J50" i="2"/>
  <c r="F50" i="2"/>
  <c r="E33" i="2"/>
  <c r="E31" i="2"/>
  <c r="E30" i="2" s="1"/>
  <c r="C87" i="5" l="1"/>
  <c r="C159" i="5"/>
  <c r="H46" i="2"/>
  <c r="C256" i="1"/>
  <c r="F31" i="2"/>
  <c r="F30" i="2" s="1"/>
  <c r="E34" i="2"/>
  <c r="F33" i="2"/>
  <c r="C119" i="5" l="1"/>
  <c r="F43" i="2"/>
  <c r="F46" i="2" s="1"/>
  <c r="F34" i="2"/>
  <c r="D33" i="2"/>
  <c r="D31" i="2"/>
  <c r="D30" i="2" s="1"/>
  <c r="I43" i="2"/>
  <c r="C83" i="5" l="1"/>
  <c r="C89" i="5" s="1"/>
  <c r="C155" i="5"/>
  <c r="C161" i="5" s="1"/>
  <c r="J43" i="2"/>
  <c r="J46" i="2" s="1"/>
  <c r="D34" i="2"/>
  <c r="K43" i="2" s="1"/>
  <c r="K46" i="2" s="1"/>
  <c r="C136" i="5" s="1"/>
  <c r="C139" i="5" s="1"/>
  <c r="I46" i="2"/>
  <c r="C12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van der Windt</author>
  </authors>
  <commentList>
    <comment ref="A2" authorId="0" shapeId="0" xr:uid="{5517F620-D7C9-40CC-B697-D3765610CC94}">
      <text>
        <r>
          <rPr>
            <b/>
            <sz val="9"/>
            <color indexed="81"/>
            <rFont val="Tahoma"/>
            <family val="2"/>
          </rPr>
          <t>Peter van der Windt:</t>
        </r>
        <r>
          <rPr>
            <sz val="9"/>
            <color indexed="81"/>
            <rFont val="Tahoma"/>
            <family val="2"/>
          </rPr>
          <t xml:space="preserve">
See SI Word file
</t>
        </r>
      </text>
    </comment>
    <comment ref="A33" authorId="0" shapeId="0" xr:uid="{BD9B16B4-D448-4BC7-9B79-657A0A866000}">
      <text>
        <r>
          <rPr>
            <b/>
            <sz val="9"/>
            <color indexed="81"/>
            <rFont val="Tahoma"/>
            <family val="2"/>
          </rPr>
          <t>Peter van der Windt:</t>
        </r>
        <r>
          <rPr>
            <sz val="9"/>
            <color indexed="81"/>
            <rFont val="Tahoma"/>
            <family val="2"/>
          </rPr>
          <t xml:space="preserve">
Based on CdTe lines, pressured DI water jet (and filtered hot air stream) is used to clean the substrates https://www.mdpi.com/2079-6412/10/4/344/htm</t>
        </r>
      </text>
    </comment>
    <comment ref="A61" authorId="0" shapeId="0" xr:uid="{EA36F67B-121D-4204-B783-5974021C0238}">
      <text>
        <r>
          <rPr>
            <b/>
            <sz val="9"/>
            <color indexed="81"/>
            <rFont val="Tahoma"/>
            <family val="2"/>
          </rPr>
          <t>Peter van der Windt:</t>
        </r>
        <r>
          <rPr>
            <sz val="9"/>
            <color indexed="81"/>
            <rFont val="Tahoma"/>
            <family val="2"/>
          </rPr>
          <t xml:space="preserve">
Laser scribing explanation: During laser scribing, eventual fumes will likely have to be captured and handled, and especially the possible lead(iodide) fumes may be problematic. However, as perovskite laser scribing is not currently done on a large scale, it is difficult to estimate what type of equipment is needed for this and what its corresponding energy use would be. As such, as a first step approximation, the individual materials that are scribed off are here modelled as air emissions. The electricity use for laser scribing here is assumed to be 0.03 kWh/m2 per scribe (P1, P2, P3), based on equipment from [10.1016/j.joule.2018.05.001], although estimates range from about 0.004 kWh to 0.12 kWh per scribe (https://doi.org/10.1111/jiec.13027).</t>
        </r>
      </text>
    </comment>
    <comment ref="A114" authorId="0" shapeId="0" xr:uid="{D3324311-9C26-4BED-938C-4187B04C8DA9}">
      <text>
        <r>
          <rPr>
            <b/>
            <sz val="9"/>
            <color indexed="81"/>
            <rFont val="Tahoma"/>
            <family val="2"/>
          </rPr>
          <t>Peter van der Windt:</t>
        </r>
        <r>
          <rPr>
            <sz val="9"/>
            <color indexed="81"/>
            <rFont val="Tahoma"/>
            <family val="2"/>
          </rPr>
          <t xml:space="preserve">
Usually, for slot-die (and blade) coated perovskite absorber layers, the substrate is pre-heated to 70 oC. In this study, it is assumed that the substrates are only cooled down to 70 oC after the previous (m-TiO2) step, so no extra energy is needed to pre-heat the substrates. 
</t>
        </r>
      </text>
    </comment>
    <comment ref="A148" authorId="0" shapeId="0" xr:uid="{71E07475-20A9-43D5-B99F-F3392C392EA2}">
      <text>
        <r>
          <rPr>
            <b/>
            <sz val="9"/>
            <color indexed="81"/>
            <rFont val="Tahoma"/>
            <family val="2"/>
          </rPr>
          <t>Peter van der Windt:</t>
        </r>
        <r>
          <rPr>
            <sz val="9"/>
            <color indexed="81"/>
            <rFont val="Tahoma"/>
            <family val="2"/>
          </rPr>
          <t xml:space="preserve">
Porosity 52.3% [63]
</t>
        </r>
      </text>
    </comment>
    <comment ref="A196" authorId="0" shapeId="0" xr:uid="{927F7037-384E-4E07-92C5-9EC21984CC26}">
      <text>
        <r>
          <rPr>
            <b/>
            <sz val="9"/>
            <color indexed="81"/>
            <rFont val="Tahoma"/>
            <family val="2"/>
          </rPr>
          <t xml:space="preserve">Peter van der Windt:
</t>
        </r>
        <r>
          <rPr>
            <sz val="9"/>
            <color indexed="81"/>
            <rFont val="Tahoma"/>
            <family val="2"/>
          </rPr>
          <t xml:space="preserve">[66] mentions bus bars are copper, coating Sn/Ag/Cu
</t>
        </r>
      </text>
    </comment>
    <comment ref="A206" authorId="0" shapeId="0" xr:uid="{5F64B066-BE00-4265-84C6-C90D02269242}">
      <text>
        <r>
          <rPr>
            <b/>
            <sz val="9"/>
            <color indexed="81"/>
            <rFont val="Tahoma"/>
            <family val="2"/>
          </rPr>
          <t>Peter van der Windt:</t>
        </r>
        <r>
          <rPr>
            <sz val="9"/>
            <color indexed="81"/>
            <rFont val="Tahoma"/>
            <family val="2"/>
          </rPr>
          <t xml:space="preserve">
[71]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van der Windt</author>
  </authors>
  <commentList>
    <comment ref="A2" authorId="0" shapeId="0" xr:uid="{8DE67EDC-09BC-4E0D-9911-FF587288C717}">
      <text>
        <r>
          <rPr>
            <b/>
            <sz val="9"/>
            <color indexed="81"/>
            <rFont val="Tahoma"/>
            <family val="2"/>
          </rPr>
          <t>Peter van der Windt:</t>
        </r>
        <r>
          <rPr>
            <sz val="9"/>
            <color indexed="81"/>
            <rFont val="Tahoma"/>
            <family val="2"/>
          </rPr>
          <t xml:space="preserve">
Estimated from Ullmans Encyclopedia of Industrial Chemistry 2007 using the feedstocks ammonia and anhydrous fluoride.</t>
        </r>
      </text>
    </comment>
    <comment ref="A12" authorId="0" shapeId="0" xr:uid="{7FF97131-DFD2-40F6-9A77-6A4C4C387017}">
      <text>
        <r>
          <rPr>
            <b/>
            <sz val="9"/>
            <color indexed="81"/>
            <rFont val="Tahoma"/>
            <family val="2"/>
          </rPr>
          <t>Peter van der Windt:</t>
        </r>
        <r>
          <rPr>
            <sz val="9"/>
            <color indexed="81"/>
            <rFont val="Tahoma"/>
            <family val="2"/>
          </rPr>
          <t xml:space="preserve">
LCI of Tin tetrachloride, based on the reaction of tin and chlorine</t>
        </r>
      </text>
    </comment>
    <comment ref="A43" authorId="0" shapeId="0" xr:uid="{6AB6E553-6383-4171-8E88-FB6E348C4FB4}">
      <text>
        <r>
          <rPr>
            <b/>
            <sz val="9"/>
            <color indexed="81"/>
            <rFont val="Tahoma"/>
            <family val="2"/>
          </rPr>
          <t>Peter van der Windt:</t>
        </r>
        <r>
          <rPr>
            <sz val="9"/>
            <color indexed="81"/>
            <rFont val="Tahoma"/>
            <family val="2"/>
          </rPr>
          <t xml:space="preserve">
The LCI for titanium (IV) isopropoxide is based on [5], but no yield is specified there, so this is obtained from [6] The by-products were not present in either of these studies, so these were taken from [7]. The numbers of the by-products mentioned did not entirely check out, however, so they were modified to values based on stochiometric reactions.  </t>
        </r>
      </text>
    </comment>
    <comment ref="A75" authorId="0" shapeId="0" xr:uid="{58EBB42F-64DB-470E-B909-B6B4C0200FC3}">
      <text>
        <r>
          <rPr>
            <b/>
            <sz val="9"/>
            <color indexed="81"/>
            <rFont val="Tahoma"/>
            <family val="2"/>
          </rPr>
          <t>Peter van der Windt:</t>
        </r>
        <r>
          <rPr>
            <sz val="9"/>
            <color indexed="81"/>
            <rFont val="Tahoma"/>
            <family val="2"/>
          </rPr>
          <t xml:space="preserve">
Acetylsulfoacetic acid used as a catalyst (not used up) in very small amounts (bout 1% wt and assumed to be negligible).
</t>
        </r>
      </text>
    </comment>
    <comment ref="A93" authorId="0" shapeId="0" xr:uid="{F4D009C6-DD82-46AB-88AA-5ED486F2A15F}">
      <text>
        <r>
          <rPr>
            <b/>
            <sz val="9"/>
            <color indexed="81"/>
            <rFont val="Tahoma"/>
            <family val="2"/>
          </rPr>
          <t>Peter van der Windt:</t>
        </r>
        <r>
          <rPr>
            <sz val="9"/>
            <color indexed="81"/>
            <rFont val="Tahoma"/>
            <family val="2"/>
          </rPr>
          <t xml:space="preserve">
This reaction requires multiple steps, some of them high temperature (520 C), but the exact energy requirements are difficult to estimate and deemed to uncertain [12] So the standard energy requirements (average) from gendorf are used [11]</t>
        </r>
      </text>
    </comment>
    <comment ref="A108" authorId="0" shapeId="0" xr:uid="{EEB6C21D-72CD-4BF3-BC9A-88D371858013}">
      <text>
        <r>
          <rPr>
            <b/>
            <sz val="9"/>
            <color indexed="81"/>
            <rFont val="Tahoma"/>
            <family val="2"/>
          </rPr>
          <t>Peter van der Windt:</t>
        </r>
        <r>
          <rPr>
            <sz val="9"/>
            <color indexed="81"/>
            <rFont val="Tahoma"/>
            <family val="2"/>
          </rPr>
          <t xml:space="preserve">
TTA and a stochiometric amount of acetylacetonate are used as precursors. Isopropanol is formed as a by-product and kept in the solution (TAA is generally bought in 25% isopropanol). The yield of this reaction is 100%. TAA is assumed to be made in the same facility as its precursors, so no transport is considered.</t>
        </r>
      </text>
    </comment>
    <comment ref="A121" authorId="0" shapeId="0" xr:uid="{94769FA5-F590-44A4-A3FF-0F82DFE0913F}">
      <text>
        <r>
          <rPr>
            <b/>
            <sz val="9"/>
            <color indexed="81"/>
            <rFont val="Tahoma"/>
            <family val="2"/>
          </rPr>
          <t>Peter van der Windt:</t>
        </r>
        <r>
          <rPr>
            <sz val="9"/>
            <color indexed="81"/>
            <rFont val="Tahoma"/>
            <family val="2"/>
          </rPr>
          <t xml:space="preserve">
The production of (anatase) TiO2 nanoparticles (NPs), which are used to make m-TiO2 paste [16], are assumed to be produced using the sol-gel method, as this produces good pore sizes necessary for efficient perovskite infiltration. Subsequently, the sol-gel m-TiO2 also allows for smooth electron transport [17]. m-TiO2 paste assumed to be produced in Germany (NPs usually produced at same location as paste [18])</t>
        </r>
      </text>
    </comment>
    <comment ref="A153" authorId="0" shapeId="0" xr:uid="{90A8D28D-0A37-49B6-92DB-ECBA66EEC29E}">
      <text>
        <r>
          <rPr>
            <b/>
            <sz val="9"/>
            <color indexed="81"/>
            <rFont val="Tahoma"/>
            <family val="2"/>
          </rPr>
          <t>Peter van der Windt:</t>
        </r>
        <r>
          <rPr>
            <sz val="9"/>
            <color indexed="81"/>
            <rFont val="Tahoma"/>
            <family val="2"/>
          </rPr>
          <t xml:space="preserve">
The LCI of ethyl cellulose is based on the synthesis reported in [20]. The exact steps and subsequent energy requirements, however, are difficult to estimate (but multiple high temperature steps are required), so standard energy use is assumed. </t>
        </r>
      </text>
    </comment>
    <comment ref="A197" authorId="0" shapeId="0" xr:uid="{9E3EABF3-CC86-4D06-BDF9-B436F59D9DC6}">
      <text>
        <r>
          <rPr>
            <b/>
            <sz val="9"/>
            <color indexed="81"/>
            <rFont val="Tahoma"/>
            <family val="2"/>
          </rPr>
          <t>Peter van der Windt:</t>
        </r>
        <r>
          <rPr>
            <sz val="9"/>
            <color indexed="81"/>
            <rFont val="Tahoma"/>
            <family val="2"/>
          </rPr>
          <t xml:space="preserve">
The composition reported in [4] is used. No data on energy use is available, but is assumed that the energy to make the paste is negligible, as only low temperature and energy extensive processes are used [23].</t>
        </r>
      </text>
    </comment>
    <comment ref="A210" authorId="0" shapeId="0" xr:uid="{3DF573ED-E75F-4020-A97A-C8FB670329DA}">
      <text>
        <r>
          <rPr>
            <b/>
            <sz val="9"/>
            <color indexed="81"/>
            <rFont val="Tahoma"/>
            <family val="2"/>
          </rPr>
          <t>Peter van der Windt:</t>
        </r>
        <r>
          <rPr>
            <sz val="9"/>
            <color indexed="81"/>
            <rFont val="Tahoma"/>
            <family val="2"/>
          </rPr>
          <t xml:space="preserve">
The yield of the reaction is 90% based on iodine and 100% based on potassium hydroxide. </t>
        </r>
      </text>
    </comment>
    <comment ref="A244" authorId="0" shapeId="0" xr:uid="{56EC99E0-4FB5-4E48-BC54-D23F82F15978}">
      <text>
        <r>
          <rPr>
            <b/>
            <sz val="9"/>
            <color indexed="81"/>
            <rFont val="Tahoma"/>
            <family val="2"/>
          </rPr>
          <t>Peter van der Windt:</t>
        </r>
        <r>
          <rPr>
            <sz val="9"/>
            <color indexed="81"/>
            <rFont val="Tahoma"/>
            <family val="2"/>
          </rPr>
          <t xml:space="preserve">
From the reaction of hydrogen sulfide and iodine
</t>
        </r>
      </text>
    </comment>
    <comment ref="A262" authorId="0" shapeId="0" xr:uid="{FB503AF0-034A-4D4D-9AEF-26BC72D9B2F1}">
      <text>
        <r>
          <rPr>
            <b/>
            <sz val="9"/>
            <color indexed="81"/>
            <rFont val="Tahoma"/>
            <family val="2"/>
          </rPr>
          <t>Peter van der Windt:</t>
        </r>
        <r>
          <rPr>
            <sz val="9"/>
            <color indexed="81"/>
            <rFont val="Tahoma"/>
            <family val="2"/>
          </rPr>
          <t xml:space="preserve">
See Word SI file for further info</t>
        </r>
      </text>
    </comment>
    <comment ref="A287" authorId="0" shapeId="0" xr:uid="{EB92F9CE-5907-456A-95EC-7F9C9AAC2DD7}">
      <text>
        <r>
          <rPr>
            <b/>
            <sz val="9"/>
            <color indexed="81"/>
            <rFont val="Tahoma"/>
            <family val="2"/>
          </rPr>
          <t>Peter van der Windt:</t>
        </r>
        <r>
          <rPr>
            <sz val="9"/>
            <color indexed="81"/>
            <rFont val="Tahoma"/>
            <family val="2"/>
          </rPr>
          <t xml:space="preserve">
100% yield. No energy flows are available, so standard energy based on Gendorf is assumed.</t>
        </r>
      </text>
    </comment>
    <comment ref="A299" authorId="0" shapeId="0" xr:uid="{9E44CE34-F04A-4DF2-9F79-D9CE5C70D700}">
      <text>
        <r>
          <rPr>
            <b/>
            <sz val="9"/>
            <color indexed="81"/>
            <rFont val="Tahoma"/>
            <family val="2"/>
          </rPr>
          <t>Peter van der Windt:</t>
        </r>
        <r>
          <rPr>
            <sz val="9"/>
            <color indexed="81"/>
            <rFont val="Tahoma"/>
            <family val="2"/>
          </rPr>
          <t xml:space="preserve">
Adopted from [37], who adopted the reaction from the Ecoinvent LCI of hydrochloric acid.
</t>
        </r>
      </text>
    </comment>
    <comment ref="A352" authorId="0" shapeId="0" xr:uid="{B1C5558A-AC57-41FE-BB8F-256032904D38}">
      <text>
        <r>
          <rPr>
            <b/>
            <sz val="9"/>
            <color indexed="81"/>
            <rFont val="Tahoma"/>
            <family val="2"/>
          </rPr>
          <t>Peter van der Windt:</t>
        </r>
        <r>
          <rPr>
            <sz val="9"/>
            <color indexed="81"/>
            <rFont val="Tahoma"/>
            <family val="2"/>
          </rPr>
          <t xml:space="preserve">
Reaction between ethylene oxide and ethanol. No energy consumption mentioned in [39], but the reaction is very slow when no energy is supplied, so standard energy consumption from Gendorf is assumed. </t>
        </r>
      </text>
    </comment>
    <comment ref="A390" authorId="0" shapeId="0" xr:uid="{92CDADD6-6484-4372-AFC3-CC8BE52017A5}">
      <text>
        <r>
          <rPr>
            <b/>
            <sz val="9"/>
            <color indexed="81"/>
            <rFont val="Tahoma"/>
            <family val="2"/>
          </rPr>
          <t>Peter van der Windt:</t>
        </r>
        <r>
          <rPr>
            <sz val="9"/>
            <color indexed="81"/>
            <rFont val="Tahoma"/>
            <family val="2"/>
          </rPr>
          <t xml:space="preserve">
The composition of the carbon paste used is not entirely certain, as it is based on a safety datasheet of the DN-CP01 carbon paste of Dyenamo, which only lists ingredients with error margins. The carbon black to graphite ratio in the paste is also not mentioned, so a weight ratio of 1:2.6 graphite: carbon black is assumed, as this provides optimal conductivity [41]. No energy is assumed to make the carbon paste.</t>
        </r>
      </text>
    </comment>
    <comment ref="A402" authorId="0" shapeId="0" xr:uid="{9915A06D-7E1A-4E15-B016-C68CCC98882B}">
      <text>
        <r>
          <rPr>
            <b/>
            <sz val="9"/>
            <color indexed="81"/>
            <rFont val="Tahoma"/>
            <family val="2"/>
          </rPr>
          <t>Peter van der Windt:</t>
        </r>
        <r>
          <rPr>
            <sz val="9"/>
            <color indexed="81"/>
            <rFont val="Tahoma"/>
            <family val="2"/>
          </rPr>
          <t xml:space="preserve">
Yield 85%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van der Windt</author>
  </authors>
  <commentList>
    <comment ref="D1" authorId="0" shapeId="0" xr:uid="{B85731E1-A5BE-4348-ADF0-C3AB3BBD11F7}">
      <text>
        <r>
          <rPr>
            <b/>
            <sz val="9"/>
            <color indexed="81"/>
            <rFont val="Tahoma"/>
            <family val="2"/>
          </rPr>
          <t>Peter van der Windt:</t>
        </r>
        <r>
          <rPr>
            <sz val="9"/>
            <color indexed="81"/>
            <rFont val="Tahoma"/>
            <family val="2"/>
          </rPr>
          <t xml:space="preserve">
Energy use to compress air for machinery used
</t>
        </r>
      </text>
    </comment>
    <comment ref="C11" authorId="0" shapeId="0" xr:uid="{C39E9028-5860-451C-BC81-1AC6FD0A200B}">
      <text>
        <r>
          <rPr>
            <b/>
            <sz val="9"/>
            <color indexed="81"/>
            <rFont val="Tahoma"/>
            <family val="2"/>
          </rPr>
          <t>Peter van der Windt:</t>
        </r>
        <r>
          <rPr>
            <sz val="9"/>
            <color indexed="81"/>
            <rFont val="Tahoma"/>
            <family val="2"/>
          </rPr>
          <t xml:space="preserve">
Assumed that power consumption from heating is 80% at 850 C, which leaves 7 kW for non-heating (same regardless of temperature)
</t>
        </r>
      </text>
    </comment>
    <comment ref="A59" authorId="0" shapeId="0" xr:uid="{0C6F7270-0E53-46E9-8087-D6C552D7FF0F}">
      <text>
        <r>
          <rPr>
            <b/>
            <sz val="9"/>
            <color indexed="81"/>
            <rFont val="Tahoma"/>
            <family val="2"/>
          </rPr>
          <t>Peter van der Windt:</t>
        </r>
        <r>
          <rPr>
            <sz val="9"/>
            <color indexed="81"/>
            <rFont val="Tahoma"/>
            <family val="2"/>
          </rPr>
          <t xml:space="preserve">
Based on prognosis of a future OPV plant
</t>
        </r>
      </text>
    </comment>
    <comment ref="A71" authorId="0" shapeId="0" xr:uid="{C961D6FC-F42D-4C1A-B0A1-40AB74904B03}">
      <text>
        <r>
          <rPr>
            <b/>
            <sz val="9"/>
            <color indexed="81"/>
            <rFont val="Tahoma"/>
            <family val="2"/>
          </rPr>
          <t>Peter van der Windt:</t>
        </r>
        <r>
          <rPr>
            <sz val="9"/>
            <color indexed="81"/>
            <rFont val="Tahoma"/>
            <family val="2"/>
          </rPr>
          <t xml:space="preserve">
JETx Inkjet printer, Meyer burger, used to print absorber. 
2 printing stations (including wafer flipper and automation)
</t>
        </r>
      </text>
    </comment>
    <comment ref="A78" authorId="0" shapeId="0" xr:uid="{6E12C4F2-E725-44AF-906D-BE1CBB002708}">
      <text>
        <r>
          <rPr>
            <b/>
            <sz val="9"/>
            <color indexed="81"/>
            <rFont val="Tahoma"/>
            <family val="2"/>
          </rPr>
          <t>Peter van der Windt:</t>
        </r>
        <r>
          <rPr>
            <sz val="9"/>
            <color indexed="81"/>
            <rFont val="Tahoma"/>
            <family val="2"/>
          </rPr>
          <t xml:space="preserve">
AIRON metallization line, ASYS
</t>
        </r>
      </text>
    </comment>
    <comment ref="A124" authorId="0" shapeId="0" xr:uid="{9D455E68-D552-45ED-BD74-F1B89AC27D56}">
      <text>
        <r>
          <rPr>
            <b/>
            <sz val="9"/>
            <color indexed="81"/>
            <rFont val="Tahoma"/>
            <family val="2"/>
          </rPr>
          <t>Peter van der Windt:</t>
        </r>
        <r>
          <rPr>
            <sz val="9"/>
            <color indexed="81"/>
            <rFont val="Tahoma"/>
            <family val="2"/>
          </rPr>
          <t xml:space="preserve">
Steam is added to natural gas use according to ecoinvent
</t>
        </r>
      </text>
    </comment>
    <comment ref="F124" authorId="0" shapeId="0" xr:uid="{3EAE500B-F959-4DA4-A29A-C0F99ABB3171}">
      <text>
        <r>
          <rPr>
            <b/>
            <sz val="9"/>
            <color indexed="81"/>
            <rFont val="Tahoma"/>
            <family val="2"/>
          </rPr>
          <t>Peter van der Windt:</t>
        </r>
        <r>
          <rPr>
            <sz val="9"/>
            <color indexed="81"/>
            <rFont val="Tahoma"/>
            <family val="2"/>
          </rPr>
          <t xml:space="preserve">
https://www.gendorf.de/-/media/Internet/chemiepark_gendorf_de/Downloads/Nachbarschaft/Umwelterklaerung_2017_final.ashx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Peter van der Windt</author>
  </authors>
  <commentList>
    <comment ref="A2" authorId="0" shapeId="0" xr:uid="{2E6561A4-E40F-42E7-B9F2-291F36410FCE}">
      <text>
        <r>
          <rPr>
            <b/>
            <sz val="9"/>
            <color indexed="81"/>
            <rFont val="Tahoma"/>
            <family val="2"/>
          </rPr>
          <t>Peter van der Windt:</t>
        </r>
        <r>
          <rPr>
            <sz val="9"/>
            <color indexed="81"/>
            <rFont val="Tahoma"/>
            <family val="2"/>
          </rPr>
          <t xml:space="preserve">
See SI word file
</t>
        </r>
      </text>
    </comment>
    <comment ref="A10" authorId="0" shapeId="0" xr:uid="{E5608B0A-38A2-4258-B95F-5947DA42329A}">
      <text>
        <r>
          <rPr>
            <b/>
            <sz val="9"/>
            <color indexed="81"/>
            <rFont val="Tahoma"/>
            <family val="2"/>
          </rPr>
          <t>Peter van der Windt:</t>
        </r>
        <r>
          <rPr>
            <sz val="9"/>
            <color indexed="81"/>
            <rFont val="Tahoma"/>
            <family val="2"/>
          </rPr>
          <t xml:space="preserve">
See SI word file</t>
        </r>
      </text>
    </comment>
    <comment ref="A24" authorId="0" shapeId="0" xr:uid="{B3737DB6-95E5-4977-A0B3-9594DCFA46F4}">
      <text>
        <r>
          <rPr>
            <b/>
            <sz val="9"/>
            <color indexed="81"/>
            <rFont val="Tahoma"/>
            <family val="2"/>
          </rPr>
          <t>Peter van der Windt:</t>
        </r>
        <r>
          <rPr>
            <sz val="9"/>
            <color indexed="81"/>
            <rFont val="Tahoma"/>
            <family val="2"/>
          </rPr>
          <t xml:space="preserve">
See SI Word file</t>
        </r>
      </text>
    </comment>
  </commentList>
</comments>
</file>

<file path=xl/sharedStrings.xml><?xml version="1.0" encoding="utf-8"?>
<sst xmlns="http://schemas.openxmlformats.org/spreadsheetml/2006/main" count="2793" uniqueCount="907">
  <si>
    <t>Ammonium fluoride production</t>
  </si>
  <si>
    <t>Process</t>
  </si>
  <si>
    <t>Input</t>
  </si>
  <si>
    <t>Amount</t>
  </si>
  <si>
    <t>Unit</t>
  </si>
  <si>
    <t>Source</t>
  </si>
  <si>
    <t>Own process</t>
  </si>
  <si>
    <t>Comment</t>
  </si>
  <si>
    <t>O</t>
  </si>
  <si>
    <t>Ammonium fluoride</t>
  </si>
  <si>
    <t>kg</t>
  </si>
  <si>
    <t>I</t>
  </si>
  <si>
    <t>Ammonia, liquid {RER}| market for | APOS, S</t>
  </si>
  <si>
    <t>Heat, heavy fuel oil, at industrial furnace 1MW/RER S</t>
  </si>
  <si>
    <t>MJ</t>
  </si>
  <si>
    <t>Hydrogen fluoride {RER}| market for hydrogen fluoride | APOS, S</t>
  </si>
  <si>
    <t>P</t>
  </si>
  <si>
    <t>Chemical factory, organics {GLO}| market for | APOS, S</t>
  </si>
  <si>
    <t>unit</t>
  </si>
  <si>
    <t>Waste</t>
  </si>
  <si>
    <t>W</t>
  </si>
  <si>
    <t>Waste heat</t>
  </si>
  <si>
    <t>Tin tetrachloride production</t>
  </si>
  <si>
    <t>Tin tetrachloride</t>
  </si>
  <si>
    <t>95% yield</t>
  </si>
  <si>
    <t>Tin {GLO}| market for | APOS, S</t>
  </si>
  <si>
    <t>No RER market for available</t>
  </si>
  <si>
    <t>Chlorine, liquid {RER}| market for chlorine, liquid | APOS, S</t>
  </si>
  <si>
    <t>1:2 molar Sn:Cl2</t>
  </si>
  <si>
    <t>Heat, natural gas, at industrial furnace &gt;100kW/RER S</t>
  </si>
  <si>
    <t>Emissions to water</t>
  </si>
  <si>
    <t>E</t>
  </si>
  <si>
    <t>Tin</t>
  </si>
  <si>
    <t>0.02</t>
  </si>
  <si>
    <t>Chlorine</t>
  </si>
  <si>
    <t>Emissions to air</t>
  </si>
  <si>
    <t>a-Terpineol production</t>
  </si>
  <si>
    <t>a-Terpineol</t>
  </si>
  <si>
    <t>Water, deionised {Europe without Switzerland}| water production, deionised| APOS, S</t>
  </si>
  <si>
    <t>Dichloromethane {RER}| market for dichloromethane | APOS, S</t>
  </si>
  <si>
    <t>Hydrogen, liquid {RER}| market for | APOS, S</t>
  </si>
  <si>
    <t>Acetone, liquid {RER}| market for acetone, liquid | APOS, S</t>
  </si>
  <si>
    <t>Acetylene {RER}| market for acetylene | APOS, S</t>
  </si>
  <si>
    <t>Electricity, medium voltage {DE}| market for | APOS, S</t>
  </si>
  <si>
    <t>kWh</t>
  </si>
  <si>
    <t>Produced at Sigma-Aldrich (DE)</t>
  </si>
  <si>
    <t>Hydrogen chloride</t>
  </si>
  <si>
    <t>Water</t>
  </si>
  <si>
    <t>Organic chlorine compounds (unspecified)</t>
  </si>
  <si>
    <t>TTIP (Titanium (IV) isopropoxide)</t>
  </si>
  <si>
    <t>TTIP</t>
  </si>
  <si>
    <t>Ammonium chloride {GLO}| market for | APOS, S</t>
  </si>
  <si>
    <t>Titanium tetrachloride {GLO}| market for | APOS, S</t>
  </si>
  <si>
    <t>Isopropanol {RER}| market for isopropanol | APOS, S</t>
  </si>
  <si>
    <t>Assumed in liquid form</t>
  </si>
  <si>
    <t>Benzene {GLO}| market for | APOS, S</t>
  </si>
  <si>
    <t>Mixing and filtration</t>
  </si>
  <si>
    <t>Ammonia</t>
  </si>
  <si>
    <t>0.2% fugitive emissions</t>
  </si>
  <si>
    <t>Heat, waste</t>
  </si>
  <si>
    <t>Isopropanol waste incineration</t>
  </si>
  <si>
    <t>yes</t>
  </si>
  <si>
    <t>Does not evaporate</t>
  </si>
  <si>
    <t>Benzene incineration</t>
  </si>
  <si>
    <t>Benzene and unreacted precursors, do not evaporate.</t>
  </si>
  <si>
    <t>Hazardous waste, for incineration {Europe without Switzerland}| market for hazardous waste, for incineration | APOS, S</t>
  </si>
  <si>
    <t>Mostly titanium tetrachloride</t>
  </si>
  <si>
    <t>Ketene production</t>
  </si>
  <si>
    <t>Ketene</t>
  </si>
  <si>
    <t>42.04 g/mol</t>
  </si>
  <si>
    <t>Methane, 96% by volume {RoW}| market for methane, 96% by volume | APOS, S</t>
  </si>
  <si>
    <t>m3</t>
  </si>
  <si>
    <t>16.04 g/mol, 0.657 kg/m3</t>
  </si>
  <si>
    <t>specific heat 75 J/mol K, 58.08 g/mol</t>
  </si>
  <si>
    <t>Pumping</t>
  </si>
  <si>
    <t>Natural gas, burned in industrial furnace &gt;100kW/RER S</t>
  </si>
  <si>
    <t>Heat up to 700 C</t>
  </si>
  <si>
    <t>Acetone</t>
  </si>
  <si>
    <t>Isopropenyl acetate</t>
  </si>
  <si>
    <t>Acetic anhydride {RER}| production, ketene route | APOS, S</t>
  </si>
  <si>
    <t>Unreacted ketene reacts with acetic acid to forma cetic anhydride</t>
  </si>
  <si>
    <t xml:space="preserve">I </t>
  </si>
  <si>
    <t>Acetic acid, without water, in 98% solution state {GLO}| market for | APOS, S</t>
  </si>
  <si>
    <t>To scrub unreacted ketene</t>
  </si>
  <si>
    <t>Steam, in chemical industry {RER}| market for steam, in chemical industry | APOS, S</t>
  </si>
  <si>
    <t>Ketene emissions also modelled as acetone emissions to air, as no ketene emission process available in ecoinvent.</t>
  </si>
  <si>
    <t>Acetone waste incineration</t>
  </si>
  <si>
    <t>Acetylacetonate (from rearranging isopropenyl acetate)</t>
  </si>
  <si>
    <t>Acetylacetonate</t>
  </si>
  <si>
    <t>Natural gas</t>
  </si>
  <si>
    <t>CO2</t>
  </si>
  <si>
    <t xml:space="preserve">12.6g gaseous byproducts per 285 acetylacetone yield. Mostly consist of co2, methane, ketene but no exact numbers mentioned, so assumed equal. </t>
  </si>
  <si>
    <t>acetone used as proxy for methane + ketene, because no process for ketene available</t>
  </si>
  <si>
    <t>Heat</t>
  </si>
  <si>
    <t>remainder of unreacted products</t>
  </si>
  <si>
    <t>Titanium Diisopropoxide bis Acetylacetonate (TAA)</t>
  </si>
  <si>
    <t>Titanium diiospropoxide bis Acetylacetonate solution (25 wt% isopropanol)</t>
  </si>
  <si>
    <t>Acetylacetone</t>
  </si>
  <si>
    <t>Isopropanol</t>
  </si>
  <si>
    <t>Stirring, 1h</t>
  </si>
  <si>
    <t>heat</t>
  </si>
  <si>
    <t>Transport</t>
  </si>
  <si>
    <t>-</t>
  </si>
  <si>
    <t>kW</t>
  </si>
  <si>
    <t>m3/h</t>
  </si>
  <si>
    <t>density air</t>
  </si>
  <si>
    <t>kg/m3</t>
  </si>
  <si>
    <t>FTO glass</t>
  </si>
  <si>
    <t>kWh/m2</t>
  </si>
  <si>
    <t>Heating efficiency</t>
  </si>
  <si>
    <t>Physical entity</t>
  </si>
  <si>
    <t>L</t>
  </si>
  <si>
    <t>100L</t>
  </si>
  <si>
    <t>Impeller diameter</t>
  </si>
  <si>
    <t>m</t>
  </si>
  <si>
    <t>500L</t>
  </si>
  <si>
    <t>Power number 
of impeller</t>
  </si>
  <si>
    <t>Axial flow</t>
  </si>
  <si>
    <t>1000L</t>
  </si>
  <si>
    <t>Radial flow</t>
  </si>
  <si>
    <t>5000L</t>
  </si>
  <si>
    <t>Rotational speed of agitator</t>
  </si>
  <si>
    <t>1/s</t>
  </si>
  <si>
    <t>10000L</t>
  </si>
  <si>
    <t>Efficiency of agitator</t>
  </si>
  <si>
    <t>%</t>
  </si>
  <si>
    <t>Wh/hour/kg/l</t>
  </si>
  <si>
    <t>Power</t>
  </si>
  <si>
    <t>Throughput</t>
  </si>
  <si>
    <t>m/min</t>
  </si>
  <si>
    <t>Conservative estimate</t>
  </si>
  <si>
    <t>Filtration/Centrifugation</t>
  </si>
  <si>
    <t>~1-10</t>
  </si>
  <si>
    <t>Wh/kg</t>
  </si>
  <si>
    <t>Small particles/pastes more energy intensive, larger ones less</t>
  </si>
  <si>
    <t>Grinding</t>
  </si>
  <si>
    <t>~8-16</t>
  </si>
  <si>
    <t>Distillation</t>
  </si>
  <si>
    <t>0.81-2.81</t>
  </si>
  <si>
    <t>kg steam/kg solvent</t>
  </si>
  <si>
    <t>They present equations to do it more exactly if solvents etc. are known, heat loss 10%</t>
  </si>
  <si>
    <t>kg water/kg waste solvent</t>
  </si>
  <si>
    <t>Value</t>
  </si>
  <si>
    <t>Pumping (transfer of liquids)</t>
  </si>
  <si>
    <t xml:space="preserve">J/kg </t>
  </si>
  <si>
    <t>Screen printing</t>
  </si>
  <si>
    <t>m2</t>
  </si>
  <si>
    <t>m2/h</t>
  </si>
  <si>
    <t>PbI2</t>
  </si>
  <si>
    <t>Electricity</t>
  </si>
  <si>
    <t>kWh/h</t>
  </si>
  <si>
    <t>kg/m2</t>
  </si>
  <si>
    <t>Total</t>
  </si>
  <si>
    <t>Total energy use gendorf [85]</t>
  </si>
  <si>
    <t>GJ</t>
  </si>
  <si>
    <t>% of total</t>
  </si>
  <si>
    <t>Energy use</t>
  </si>
  <si>
    <t>MJ/kg product</t>
  </si>
  <si>
    <t>NG assumed for internal waste</t>
  </si>
  <si>
    <t>Steam</t>
  </si>
  <si>
    <t>Sonication</t>
  </si>
  <si>
    <t>Internal waste treatment</t>
  </si>
  <si>
    <t>Power (kWh/h)</t>
  </si>
  <si>
    <t>Water use</t>
  </si>
  <si>
    <t>liter/kg product</t>
  </si>
  <si>
    <t>total</t>
  </si>
  <si>
    <t>Temp (C)</t>
  </si>
  <si>
    <t>Log</t>
  </si>
  <si>
    <t>P = 14.514ln(x) - 69.898</t>
  </si>
  <si>
    <t>Linear</t>
  </si>
  <si>
    <t>P = 0.0323x + 0.5385</t>
  </si>
  <si>
    <t>Exponential</t>
  </si>
  <si>
    <t>P = 4.5693e^(0.0021x)</t>
  </si>
  <si>
    <t>850C, 30 min</t>
  </si>
  <si>
    <t>450 C, 30 mins</t>
  </si>
  <si>
    <t>100C, 10 mins</t>
  </si>
  <si>
    <t>120C, 10 mins</t>
  </si>
  <si>
    <t>100C, 2 minutes</t>
  </si>
  <si>
    <t>500C, 30 minutes</t>
  </si>
  <si>
    <t>400C, 30 minutes</t>
  </si>
  <si>
    <t>Operation time</t>
  </si>
  <si>
    <t>h/y</t>
  </si>
  <si>
    <t>Length</t>
  </si>
  <si>
    <t>Width</t>
  </si>
  <si>
    <t>Theoretical throughput</t>
  </si>
  <si>
    <t>Based on 3 modules (0.6m width) next to each other</t>
  </si>
  <si>
    <t>General exhaust</t>
  </si>
  <si>
    <t xml:space="preserve">  </t>
  </si>
  <si>
    <t>L/m2</t>
  </si>
  <si>
    <t>Compressed dry air</t>
  </si>
  <si>
    <t>Including heating</t>
  </si>
  <si>
    <t>Only stirring</t>
  </si>
  <si>
    <t>60 C with stirring</t>
  </si>
  <si>
    <t>max T</t>
  </si>
  <si>
    <t>rpm</t>
  </si>
  <si>
    <t>Printheads</t>
  </si>
  <si>
    <t>units/m2</t>
  </si>
  <si>
    <t>Consumable, Inkjet printhead SAMBA G3L</t>
  </si>
  <si>
    <t>Electricity use per m2</t>
  </si>
  <si>
    <t>100-1500</t>
  </si>
  <si>
    <t>CDA per m2</t>
  </si>
  <si>
    <t>m3/m2</t>
  </si>
  <si>
    <t>0-1500</t>
  </si>
  <si>
    <t>Cooling water</t>
  </si>
  <si>
    <t>kg/h</t>
  </si>
  <si>
    <t>Water consumption linearly scaled from 200 C (no cooling water used until 200 C). For the extra length it is scaled linearly</t>
  </si>
  <si>
    <t>0-1100</t>
  </si>
  <si>
    <t>Slot-die coating</t>
  </si>
  <si>
    <t>Speed</t>
  </si>
  <si>
    <t>0.02-2.5</t>
  </si>
  <si>
    <t>0.25 m working width</t>
  </si>
  <si>
    <t>kWh/m3</t>
  </si>
  <si>
    <t>Drying temperature</t>
  </si>
  <si>
    <t>C</t>
  </si>
  <si>
    <t>Working oven power</t>
  </si>
  <si>
    <t>Working slot die power</t>
  </si>
  <si>
    <t>COP</t>
  </si>
  <si>
    <t>Cooling/freezing</t>
  </si>
  <si>
    <t>Cooler</t>
  </si>
  <si>
    <t>Assumed till 0 C</t>
  </si>
  <si>
    <t>Freezer</t>
  </si>
  <si>
    <t>Below 0 C</t>
  </si>
  <si>
    <t>Glove box</t>
  </si>
  <si>
    <t>Lamination</t>
  </si>
  <si>
    <t>maximum</t>
  </si>
  <si>
    <t>30-60</t>
  </si>
  <si>
    <t>modules/h, max 1.1x2.05m, 46 for POE (roughly 15 to 25 minute cycle time)</t>
  </si>
  <si>
    <t>energy saving mode</t>
  </si>
  <si>
    <t>power</t>
  </si>
  <si>
    <t>Nitrogen</t>
  </si>
  <si>
    <t>Compressed air</t>
  </si>
  <si>
    <t>NL/1'( normal litre per???)</t>
  </si>
  <si>
    <t>Based on 46 throughput of 1.1x2.05m, power consumption scaled down to 1.2x0.6m2 modules as these machines are custom made based on the customer's wishes, 10% increase in power consumption per m2 assumed for the smaller area</t>
  </si>
  <si>
    <t>Energy</t>
  </si>
  <si>
    <t>mm</t>
  </si>
  <si>
    <t>mixed with isopropanol</t>
  </si>
  <si>
    <t>Titanium dioxide NPs production (sol-gel) 95% Anatase</t>
  </si>
  <si>
    <t>Titanium dioixide (95% anatase)</t>
  </si>
  <si>
    <t>Water, deionised {RoW}| water production, deionised | APOS, S</t>
  </si>
  <si>
    <t>Drying, 80 C, 10 h</t>
  </si>
  <si>
    <t>Methanol</t>
  </si>
  <si>
    <t>All solvents evaporate during calcination and drying [75a] 0.2% fugitive emissions</t>
  </si>
  <si>
    <t>All incinerated except for fugitive emissions</t>
  </si>
  <si>
    <t>Transport, freight train {RoW}| market for | APOS, S</t>
  </si>
  <si>
    <t>tkm</t>
  </si>
  <si>
    <t>For TTIP, standard amount of transport assumed</t>
  </si>
  <si>
    <t>Transport, freight, lorry 16-32 metric ton, euro6 {RoW}| market for transport, freight, lorry 16-32 metric ton, EURO6 | APOS, S</t>
  </si>
  <si>
    <t>For TTIP and Waste incineration, standard amount of transport assumed</t>
  </si>
  <si>
    <t>Yes</t>
  </si>
  <si>
    <t>Chlorethane</t>
  </si>
  <si>
    <t>Ethylene, average {RoW}| market for ethylene, average | APOS, S</t>
  </si>
  <si>
    <t>molar mass 28.054 g/mol</t>
  </si>
  <si>
    <t>Hydrochloric acid, without water, in 30% solution state {RoW}| hydrochloric acid production, from the reaction of hydrogen with chlorine | APOS, S</t>
  </si>
  <si>
    <t>molar mass 36.458 g/mol</t>
  </si>
  <si>
    <t>Electricity, medium voltage {AU}| market for | APOS, S</t>
  </si>
  <si>
    <t>Waste, heat</t>
  </si>
  <si>
    <t xml:space="preserve">Chlorethane </t>
  </si>
  <si>
    <t>Ethyl cellulose</t>
  </si>
  <si>
    <t>Cellulose fibre, inclusive blowing in {GLO}| market for | APOS, S</t>
  </si>
  <si>
    <t>Ethanol, without water, in 99.7% solution state, from ethylene {RoW}| market for ethanol, without water, in 99.7% solution state, from ethylene | APOS, S</t>
  </si>
  <si>
    <t>Chloroethane</t>
  </si>
  <si>
    <t>2.75 MJ/kg</t>
  </si>
  <si>
    <t>to air</t>
  </si>
  <si>
    <t>2-(2-Butoxyethoxy)ethanol production</t>
  </si>
  <si>
    <t>2-(2-butoxyethoxy) ethyl acetate</t>
  </si>
  <si>
    <t>Acetic acid, without water, in 98% solution state {RoW}| acetaldehyde oxidation | APOS, S</t>
  </si>
  <si>
    <t>2-(2-butoxyethoxy)ethanol</t>
  </si>
  <si>
    <t>Stirring, 4 hours</t>
  </si>
  <si>
    <t>Oxygen</t>
  </si>
  <si>
    <t>Hydrogen</t>
  </si>
  <si>
    <t>Butanol waste incineration</t>
  </si>
  <si>
    <t>4.11</t>
  </si>
  <si>
    <t xml:space="preserve"> 2-(2-butoxyethoxy) ethyl acetate</t>
  </si>
  <si>
    <t>m-TiO2 paste</t>
  </si>
  <si>
    <t>(a)-Terpineol</t>
  </si>
  <si>
    <t>A</t>
  </si>
  <si>
    <t>Standard</t>
  </si>
  <si>
    <t>Hydroiodic acid (57% in water)</t>
  </si>
  <si>
    <t>Potassium iodide</t>
  </si>
  <si>
    <t>Lead nitrate</t>
  </si>
  <si>
    <t>Potassium iodate</t>
  </si>
  <si>
    <t>Potassium hydroxide</t>
  </si>
  <si>
    <t>Iodine</t>
  </si>
  <si>
    <t>Waste water</t>
  </si>
  <si>
    <t>Hazardous waste incineration</t>
  </si>
  <si>
    <t>Remainder of reactants</t>
  </si>
  <si>
    <t>Molar mass</t>
  </si>
  <si>
    <t>Density</t>
  </si>
  <si>
    <t>Boiling point</t>
  </si>
  <si>
    <t>Heat of vaporization</t>
  </si>
  <si>
    <t>Heat capacity</t>
  </si>
  <si>
    <t>Energy to vapor (25 C ambient)</t>
  </si>
  <si>
    <t>Energy to vapor (20 Cambient)</t>
  </si>
  <si>
    <t>g/mol</t>
  </si>
  <si>
    <t>kg/dm3</t>
  </si>
  <si>
    <t>kJ/kg</t>
  </si>
  <si>
    <t>kJ/kg.k</t>
  </si>
  <si>
    <t>wiki</t>
  </si>
  <si>
    <t>NIST</t>
  </si>
  <si>
    <t>Ethanol</t>
  </si>
  <si>
    <t>DMF</t>
  </si>
  <si>
    <t>DMSO</t>
  </si>
  <si>
    <t>Toluene</t>
  </si>
  <si>
    <t>Diethyl ether</t>
  </si>
  <si>
    <t>Benzene</t>
  </si>
  <si>
    <t>Butanol</t>
  </si>
  <si>
    <t>Sulfurica cid</t>
  </si>
  <si>
    <r>
      <t>1:5 KIO</t>
    </r>
    <r>
      <rPr>
        <vertAlign val="subscript"/>
        <sz val="11"/>
        <color theme="1"/>
        <rFont val="Calibri"/>
        <family val="2"/>
        <scheme val="minor"/>
      </rPr>
      <t>3</t>
    </r>
    <r>
      <rPr>
        <sz val="11"/>
        <color theme="1"/>
        <rFont val="Calibri"/>
        <family val="2"/>
        <scheme val="minor"/>
      </rPr>
      <t>:KI, 80% yield for KIO</t>
    </r>
    <r>
      <rPr>
        <vertAlign val="subscript"/>
        <sz val="11"/>
        <color theme="1"/>
        <rFont val="Calibri"/>
        <family val="2"/>
        <scheme val="minor"/>
      </rPr>
      <t>3</t>
    </r>
  </si>
  <si>
    <t>Drying (Water evaporated) twice</t>
  </si>
  <si>
    <r>
      <t xml:space="preserve">Fusing of KI at 600 </t>
    </r>
    <r>
      <rPr>
        <b/>
        <vertAlign val="superscript"/>
        <sz val="11"/>
        <color theme="1"/>
        <rFont val="Calibri"/>
        <family val="2"/>
        <scheme val="minor"/>
      </rPr>
      <t>o</t>
    </r>
    <r>
      <rPr>
        <sz val="11"/>
        <color theme="1"/>
        <rFont val="Calibri"/>
        <family val="2"/>
        <scheme val="minor"/>
      </rPr>
      <t>C</t>
    </r>
  </si>
  <si>
    <t>Filtration</t>
  </si>
  <si>
    <t>Lead {GLO}| market for | APOS, S</t>
  </si>
  <si>
    <t>Nitric acid, without water, in 50% solution state {RER}| market for nitric acid, without water, in 50% solution state | APOS, S</t>
  </si>
  <si>
    <t>Water, deionised {Europe without Switzerland}| water production, deionised | APOS, S</t>
  </si>
  <si>
    <t>Heated to 80C, 2 hours</t>
  </si>
  <si>
    <t>Nitrogen monoxide</t>
  </si>
  <si>
    <t>2:8 mol to nitric acid</t>
  </si>
  <si>
    <t>Hazardous waste to incineration</t>
  </si>
  <si>
    <t>Remainder of unreacted lead, nitric acid and water</t>
  </si>
  <si>
    <t>Hydriodic acid production</t>
  </si>
  <si>
    <t>Sulfur</t>
  </si>
  <si>
    <t>coproduct</t>
  </si>
  <si>
    <t>Hydrogen sulfide {RER}| market for hydrogen sulfide | APOS, S</t>
  </si>
  <si>
    <t>600 ml used per 480 g iodine</t>
  </si>
  <si>
    <t>Stirring, 3 hours</t>
  </si>
  <si>
    <t>Heating to 126 C, at which 57% HI is collected</t>
  </si>
  <si>
    <t>Emissions</t>
  </si>
  <si>
    <t>Hydrogen sulfide</t>
  </si>
  <si>
    <t>0.2% fugitive emissions, rest scrubbed off</t>
  </si>
  <si>
    <t xml:space="preserve">Distilled portion that isn't collected </t>
  </si>
  <si>
    <t>Methylammonium iodide</t>
  </si>
  <si>
    <t>Methylamine {RER} | market for | APOS, S</t>
  </si>
  <si>
    <t>Ethanol, without water, in 99.7% solution state, from ethylene {RER}| market for ethanol, without water, in 99.7% solution state, from ethylene | APOS, S</t>
  </si>
  <si>
    <t>Diethyl ether {RER} | market for | APOS, S</t>
  </si>
  <si>
    <t>filtration, only MAI and diethyl ether, diethyl ether added after first evaporation</t>
  </si>
  <si>
    <t>Hydrogen iodide</t>
  </si>
  <si>
    <t>Ethanol incineration</t>
  </si>
  <si>
    <t>Assumed to go to incineration</t>
  </si>
  <si>
    <t>Diethyl ether incineration</t>
  </si>
  <si>
    <t>Remainder of reaction products and unreacted products</t>
  </si>
  <si>
    <t>67% weight in methylammine solution.</t>
  </si>
  <si>
    <t>Evaporation (without diethyl ether) 50 C, 1h,</t>
  </si>
  <si>
    <r>
      <t xml:space="preserve">Heating at 60 </t>
    </r>
    <r>
      <rPr>
        <vertAlign val="superscript"/>
        <sz val="11"/>
        <color theme="1"/>
        <rFont val="Calibri"/>
        <family val="2"/>
        <scheme val="minor"/>
      </rPr>
      <t>o</t>
    </r>
    <r>
      <rPr>
        <sz val="11"/>
        <color theme="1"/>
        <rFont val="Calibri"/>
        <family val="2"/>
        <scheme val="minor"/>
      </rPr>
      <t>C for 16 hours. Assumed to be mostly ethanol that makes up moisture content in MAI, as ethanol binds better than diethyl ether to MAI at lower temperatures.</t>
    </r>
  </si>
  <si>
    <r>
      <t xml:space="preserve">Stirring initial solution 2 hours at 0 </t>
    </r>
    <r>
      <rPr>
        <vertAlign val="superscript"/>
        <sz val="11"/>
        <color theme="1"/>
        <rFont val="Calibri"/>
        <family val="2"/>
        <scheme val="minor"/>
      </rPr>
      <t>o</t>
    </r>
    <r>
      <rPr>
        <sz val="11"/>
        <color theme="1"/>
        <rFont val="Calibri"/>
        <family val="2"/>
        <scheme val="minor"/>
      </rPr>
      <t>C (no diethyl ether)</t>
    </r>
  </si>
  <si>
    <t>vacuum pump, 16 hours, assuming 0.11m3 to be evacuated, Assuming it takes 10 minutes to reach initial vacuum</t>
  </si>
  <si>
    <t>Pentylbenzene production</t>
  </si>
  <si>
    <t>Pentylbenzene</t>
  </si>
  <si>
    <t>Lithium bromide</t>
  </si>
  <si>
    <t>Benzyl bromide</t>
  </si>
  <si>
    <t>n-Buthyllithium</t>
  </si>
  <si>
    <t>Taken into account at formation of benzyl bromine and n-buthyllithium, assumed to be produced at same facility</t>
  </si>
  <si>
    <t>Other chemicals</t>
  </si>
  <si>
    <t>Solvents</t>
  </si>
  <si>
    <t>Pubchem</t>
  </si>
  <si>
    <t>Solvents incineration</t>
  </si>
  <si>
    <t>Ethanol waste incineration</t>
  </si>
  <si>
    <t>Solvent</t>
  </si>
  <si>
    <t>LHV (MJ/kg)</t>
  </si>
  <si>
    <t>Ethanol incinerated</t>
  </si>
  <si>
    <t>Heat, from steam, in chemical industry {RER}| steam production, as energy carrier, in chemical industry | APOS, S</t>
  </si>
  <si>
    <t>Ethyl benzene</t>
  </si>
  <si>
    <t>Spent solvent mixture {Europe without Switzerland}| treatment of spent solvent mixture, hazardous waste incineration, with energy recovery | APOS, S</t>
  </si>
  <si>
    <t>Transport, freight, lorry 16-32 metric ton, euro6 {RER}| market for transport, freight, lorry 16-32 metric ton, EURO6 | APOS, S</t>
  </si>
  <si>
    <t>t*km</t>
  </si>
  <si>
    <t>Diethyl ether waste incineration</t>
  </si>
  <si>
    <t>Diethyl ether incinerated</t>
  </si>
  <si>
    <t>Toluene waste incineration</t>
  </si>
  <si>
    <t>100 km as conservative estimate for the travel from chemical plant to waste incineration</t>
  </si>
  <si>
    <t>Ethyl acetate</t>
  </si>
  <si>
    <t>Toluene incinerated</t>
  </si>
  <si>
    <t>Chlorobenzene</t>
  </si>
  <si>
    <t>Average from simapro processes</t>
  </si>
  <si>
    <t>MJ/kg</t>
  </si>
  <si>
    <t>LHV</t>
  </si>
  <si>
    <t>Isopropanol incineration</t>
  </si>
  <si>
    <t>Methanol waste incineration</t>
  </si>
  <si>
    <t>Methanol incinerated</t>
  </si>
  <si>
    <t>Ethyl acetate incineration</t>
  </si>
  <si>
    <t>DMF waste incineration</t>
  </si>
  <si>
    <t>DMF incinerated</t>
  </si>
  <si>
    <t>Spent solvent mixture {Europe without Switzerland}| treatment of spent solvent mixture, hazardous waste incineration | APOS, S</t>
  </si>
  <si>
    <t>DMSO waste incineration</t>
  </si>
  <si>
    <t>DMSO incinerated</t>
  </si>
  <si>
    <t>Benzene waste incineration</t>
  </si>
  <si>
    <t>Butanol incineration</t>
  </si>
  <si>
    <t>Acetone incineration</t>
  </si>
  <si>
    <t>Chlorobenzene incineration</t>
  </si>
  <si>
    <t>Solvent LHVs</t>
  </si>
  <si>
    <t>PubChem</t>
  </si>
  <si>
    <t>Incineration LCIs</t>
  </si>
  <si>
    <t>Benzyl bromide synthesis</t>
  </si>
  <si>
    <t>Toluene, liquid {RER}| market for toluene, liquid | APOS, S</t>
  </si>
  <si>
    <t>Bromine {GLO}| market for | APOS, S</t>
  </si>
  <si>
    <t>Electricity, low voltage {SE}| market for | APOS, S</t>
  </si>
  <si>
    <t>Hydrobromic acid synthesis</t>
  </si>
  <si>
    <t>Hydrobromic acid</t>
  </si>
  <si>
    <t>Electricity, Medium voltage {SE}| market for | APOS, S</t>
  </si>
  <si>
    <t>Emission to air</t>
  </si>
  <si>
    <t xml:space="preserve">n-butyl bromide (bromobuthane) </t>
  </si>
  <si>
    <t>n-butyl bromide</t>
  </si>
  <si>
    <t>1-butanol {GLO}| market for | APOS, S</t>
  </si>
  <si>
    <t>Hydrobromic acid production</t>
  </si>
  <si>
    <t xml:space="preserve">n-butyl-lithium </t>
  </si>
  <si>
    <t>n-butyl-lithium</t>
  </si>
  <si>
    <t>Lithiumbromide</t>
  </si>
  <si>
    <t>Diethyl ether, without water, in 99.95% solution state {RER}| market for diethyl ether, without water, in 99.95% solution state | APOS, S</t>
  </si>
  <si>
    <t>Lithium {GLO}| market for | APOS, S</t>
  </si>
  <si>
    <t>ice bath (-20C, 30 mins)</t>
  </si>
  <si>
    <t>diethyl ether waste incineration (electricity)</t>
  </si>
  <si>
    <t>Assumed to be incinerated</t>
  </si>
  <si>
    <t>stirring, 1.25 hours, assumed to be stirred per liter</t>
  </si>
  <si>
    <t>n-butyl bromide. Lithium assumed to be recovered</t>
  </si>
  <si>
    <t>2-Ethoxyethanol</t>
  </si>
  <si>
    <t>2-ethoxyethanol</t>
  </si>
  <si>
    <t>Ethylene oxide {RER}| market for ethylene oxide | APOS, S</t>
  </si>
  <si>
    <t>molar mass 46.07 g/mol</t>
  </si>
  <si>
    <t>Ethylene oxide</t>
  </si>
  <si>
    <t>2-(2-ethoxyethoxy)ethyl acetate</t>
  </si>
  <si>
    <t>0.2% fugitive emissions, rest scrubbed</t>
  </si>
  <si>
    <t>2-ethoxyethanol, Diethylene glycol monoethyl ether and acetic acid</t>
  </si>
  <si>
    <t>water</t>
  </si>
  <si>
    <t>Diethylene glycol monoethyl ether</t>
  </si>
  <si>
    <t>Carbon paste</t>
  </si>
  <si>
    <t>Carbon black {GLO}| market for | APOS, S</t>
  </si>
  <si>
    <t>Graphite {GLO}| market for | APOS, S</t>
  </si>
  <si>
    <t>Pentyl benzene</t>
  </si>
  <si>
    <t>Transport, freight train {RER}| market group for transport, freight train | APOS, S</t>
  </si>
  <si>
    <t>Used as a proxy for 2-methylnaphtalene, as coal tar contains 1.5% 2-methylnaphtalene</t>
  </si>
  <si>
    <t xml:space="preserve"> [390]</t>
  </si>
  <si>
    <t>Coal tar {RoW}| coking | APOS, S</t>
  </si>
  <si>
    <t>TPO production</t>
  </si>
  <si>
    <t>TPO (sheet)</t>
  </si>
  <si>
    <t>Polyethylene, high density, granulate {RER}| production | APOS, S</t>
  </si>
  <si>
    <t>0.024 kg loss according to ecoinvent</t>
  </si>
  <si>
    <t>Extrusion, plastic film {RER}| extrusion, plastic film | APOS, S</t>
  </si>
  <si>
    <t>Waste plastic, mixture {DE}| market for waste plastic, mixture | APOS, S</t>
  </si>
  <si>
    <t>See SI word file</t>
  </si>
  <si>
    <t>Isobutylene</t>
  </si>
  <si>
    <t>Acetone, liquid {RER}| production | APOS, S</t>
  </si>
  <si>
    <t>byproduct</t>
  </si>
  <si>
    <t>Propylene oxide, liquid {RER}| market for propylene oxide, liquid | APOS, S</t>
  </si>
  <si>
    <t>1.36 kg tert-butyl-alcohol needed for 1 kg isobutylene. No Ecoinvent ata available, so propylene oxide used as proxy. 3-4 kg (assumed 3.5) tert-butylalcohol produced per kg propylene oxide as by-product (allocated as such)</t>
  </si>
  <si>
    <t>Zeolite, powder {GLO}| market for | APOS, S</t>
  </si>
  <si>
    <t>between 22-120 g, average assumed</t>
  </si>
  <si>
    <t>Phosphoric acid, industrial grade, without water, in 85% solution state {GLO}| market for | APOS, S</t>
  </si>
  <si>
    <t>Between 0.271 and 0.565 kg, average assumed</t>
  </si>
  <si>
    <t>Process steam from natural gas, heat plant, consumption mix, at plant, MJ DE S</t>
  </si>
  <si>
    <t>Tap water {Europe without Switzerland}| market for | APOS, S</t>
  </si>
  <si>
    <t>Isobutylene production</t>
  </si>
  <si>
    <t>Quicklime, milled, packed {RER}| market for quicklime, milled, packed | APOS, S</t>
  </si>
  <si>
    <t>PIB with desiccant</t>
  </si>
  <si>
    <t>Cooling to -100 C</t>
  </si>
  <si>
    <t>PIB with desiccant production</t>
  </si>
  <si>
    <t>FTO glass production (CVD)</t>
  </si>
  <si>
    <t>Flat glass, uncoated {RER}| market for flat glass, uncoated | APOS, S</t>
  </si>
  <si>
    <t>Tin tentachloride</t>
  </si>
  <si>
    <t>Estimate from stochiometric reaction</t>
  </si>
  <si>
    <t>Nitrogen, atmospheric</t>
  </si>
  <si>
    <t>Hydrogen fluoride</t>
  </si>
  <si>
    <t>Municipal solid waste {DE}| treatment of, incineration | APOS, S</t>
  </si>
  <si>
    <t>SnCl4, standard distance</t>
  </si>
  <si>
    <t>10% precursor efficiency, 700 nm thick layer</t>
  </si>
  <si>
    <t>More precursors possible, but SnCl4 found to be often used [177], [181], [184], [262], [310], Own synthesis</t>
  </si>
  <si>
    <t>(85.2225 m2 per hour), 5500 series atmospheric pressure CVD system, manufacturer; Gebr. Schmid. Based on 17 kWh/h for 3300 wafers (180 nm) throughput of 0.0258 cm2. Adjusted for thickness</t>
  </si>
  <si>
    <t>FTO glass cutting</t>
  </si>
  <si>
    <t>FTO glass (cut)</t>
  </si>
  <si>
    <t>Glass cullet, sorted {GLO}| market for | APOS, S</t>
  </si>
  <si>
    <t>Electricity, medium voltage {PL}| market for | APOS, S</t>
  </si>
  <si>
    <t>0.759 kWh electricity and 0.49 kWh compressed air per 43.24 kg glass)</t>
  </si>
  <si>
    <t>Flat glass represents float glass, as 95% of flat glass output in Europe was float glass, https://www.ferver.eu/sites/default/files/rapport_vlakglas_ovamhuisstijl_versie2.1.pdf</t>
  </si>
  <si>
    <t>FTO Glass Washing</t>
  </si>
  <si>
    <t>FTO glass, washed</t>
  </si>
  <si>
    <t>Water, ultrapure {RER}| water production, ultrapure | APOS, S</t>
  </si>
  <si>
    <t>0,85 kWh electricity &amp; 0,2 kWh compressed air per 34.12 kg glass</t>
  </si>
  <si>
    <t>30.85 kg per 34.12 kg glass</t>
  </si>
  <si>
    <t>Tkm</t>
  </si>
  <si>
    <t>Standard distances</t>
  </si>
  <si>
    <t>Standard distance</t>
  </si>
  <si>
    <t>c-TiO2 (Spray pyrolysis)</t>
  </si>
  <si>
    <t>c-TiO2 layer</t>
  </si>
  <si>
    <t>TAA (in isopropanol, 25 wt%)</t>
  </si>
  <si>
    <t>Ethanol, market for</t>
  </si>
  <si>
    <t>Typically, solvents will be caught away and burned to ash, but here modelled as air emission as conservative estimate</t>
  </si>
  <si>
    <t>TAA</t>
  </si>
  <si>
    <t>Modelled as titanium, isopropanol and isopropenyl acetate emissions (1:2:2 molar ratio)</t>
  </si>
  <si>
    <t>0,0001134 kg based on 39.5% MUE, 30 nm thick layer, density (rutile) TiO2 = 3.78 g/cm3</t>
  </si>
  <si>
    <t>53 ml per 3.4 g TAA in [271]</t>
  </si>
  <si>
    <t>Electricity use from [271], similar to [29]</t>
  </si>
  <si>
    <t>Laser Scribing</t>
  </si>
  <si>
    <t>P1</t>
  </si>
  <si>
    <t>P2</t>
  </si>
  <si>
    <t>P3</t>
  </si>
  <si>
    <t>P1 scribe</t>
  </si>
  <si>
    <t>x</t>
  </si>
  <si>
    <t>P2 scribe</t>
  </si>
  <si>
    <t>P3 scribe</t>
  </si>
  <si>
    <t>Tin oxide</t>
  </si>
  <si>
    <t>2.50E-05</t>
  </si>
  <si>
    <t>Fluorine</t>
  </si>
  <si>
    <t>3.80E-08</t>
  </si>
  <si>
    <t>Titanium oxide</t>
  </si>
  <si>
    <t>1.03E-06</t>
  </si>
  <si>
    <t>1.58E-05</t>
  </si>
  <si>
    <t>7.88E-06</t>
  </si>
  <si>
    <t>Lead iodide</t>
  </si>
  <si>
    <t>2.09E-05</t>
  </si>
  <si>
    <t>1.04E-05</t>
  </si>
  <si>
    <t>7.19E-06</t>
  </si>
  <si>
    <t>3.60E-06</t>
  </si>
  <si>
    <t>Carbon</t>
  </si>
  <si>
    <t>3.97E-04</t>
  </si>
  <si>
    <t>[171]</t>
  </si>
  <si>
    <t>From FTO</t>
  </si>
  <si>
    <t>From TiO2</t>
  </si>
  <si>
    <t>Perovskite layer, Modelled as lead and iodide</t>
  </si>
  <si>
    <t>Perovskite layer, odelled as Methylamine and iodide</t>
  </si>
  <si>
    <t>Carbon layer</t>
  </si>
  <si>
    <t>m-TiO2 Screen Printing</t>
  </si>
  <si>
    <t>m-TiO2 layer</t>
  </si>
  <si>
    <t>layer thickness 350nm, porosity of 52.3%</t>
  </si>
  <si>
    <t>TiO2 NP paste</t>
  </si>
  <si>
    <t>95% MUE</t>
  </si>
  <si>
    <t>Terpineol</t>
  </si>
  <si>
    <t>75 wt% of TiO2 paste</t>
  </si>
  <si>
    <t>Fibre, polyester {GLO}| market for fibre, polyester | APOS, S</t>
  </si>
  <si>
    <t>Screens for screen printing</t>
  </si>
  <si>
    <t>Curing at 450 C</t>
  </si>
  <si>
    <t xml:space="preserve">Compressed air for screen printing. </t>
  </si>
  <si>
    <t xml:space="preserve">Compressed air for annealing </t>
  </si>
  <si>
    <t>For cooling</t>
  </si>
  <si>
    <t>Modelled as a-pinene</t>
  </si>
  <si>
    <t>Municipal solid waste {DE}| market for municipal solid waste | APOS, S</t>
  </si>
  <si>
    <t>Screens</t>
  </si>
  <si>
    <t>Solvents used could be refluxed, but such small quantities that they are here considered to be evaporated (as conservative estimate)</t>
  </si>
  <si>
    <t>MAPbI3 Perovskite precursor solution</t>
  </si>
  <si>
    <t>MAPBI3 precursor solution (industrial)</t>
  </si>
  <si>
    <t>1 kg MAPbI3 in DMSO:DMF solution</t>
  </si>
  <si>
    <t>MAI</t>
  </si>
  <si>
    <t xml:space="preserve">PbI2 </t>
  </si>
  <si>
    <t>Nitrogen, liquid {RER}| market for | APOS, S</t>
  </si>
  <si>
    <t>Electricity, low voltage {DE}| market for | APOS, S</t>
  </si>
  <si>
    <t>Standard distances assumed</t>
  </si>
  <si>
    <t>Perovskite solvents ratio</t>
  </si>
  <si>
    <t>molar ratio</t>
  </si>
  <si>
    <t>Weight ratio</t>
  </si>
  <si>
    <t>Volume ratio</t>
  </si>
  <si>
    <t>Mixture density</t>
  </si>
  <si>
    <t>molar mass g/mol</t>
  </si>
  <si>
    <t>density g/cm3</t>
  </si>
  <si>
    <t>MAPbI3</t>
  </si>
  <si>
    <t>https://doi.org/10.1016/j.joule.2020.02.001</t>
  </si>
  <si>
    <t xml:space="preserve">https://doi.org/10.1016/j.joule.2020.02.001 &amp; </t>
  </si>
  <si>
    <t>Density N2 gas: 1,2506 kg/m3</t>
  </si>
  <si>
    <t>Perovskite layer (blade-coated)</t>
  </si>
  <si>
    <t>MAPbI3 precursor solution</t>
  </si>
  <si>
    <t>N,N-Diethylformamide</t>
  </si>
  <si>
    <t>Solvents are assumed to be evaporated, but in reality there likely needs to be a system in place to capture the (toxic) solvents</t>
  </si>
  <si>
    <t>Carbon electrode (slot-die coated)</t>
  </si>
  <si>
    <t>Carbon electrode layer</t>
  </si>
  <si>
    <t>20 um thick</t>
  </si>
  <si>
    <t>Compressed dry air for annealing</t>
  </si>
  <si>
    <t>Encapsulation</t>
  </si>
  <si>
    <t>Encapsulated PSM</t>
  </si>
  <si>
    <t>TPO</t>
  </si>
  <si>
    <t>Polyisobutylene with desiccant</t>
  </si>
  <si>
    <t>Encapsulation machine, includes vacuum, heating and cooling</t>
  </si>
  <si>
    <t>Waste plastic mixture, market for</t>
  </si>
  <si>
    <t>TPO waste</t>
  </si>
  <si>
    <t>PIB density 920 kg/m3</t>
  </si>
  <si>
    <t>Thickness</t>
  </si>
  <si>
    <t>Cell stack</t>
  </si>
  <si>
    <t>excluding FTO</t>
  </si>
  <si>
    <t>Encapsulant</t>
  </si>
  <si>
    <t>Backsheet glass</t>
  </si>
  <si>
    <t>Solar glass, low-iron {GLO}| market for | APOS, S</t>
  </si>
  <si>
    <t>Water, ultrapure {RER}| market for water, ultrapure | APOS, S</t>
  </si>
  <si>
    <t>Tempering, flat glass {RER}| processing | APOS, S</t>
  </si>
  <si>
    <t>Cutting and Washing</t>
  </si>
  <si>
    <t>Tempering of solar glass to provide extra strength</t>
  </si>
  <si>
    <t>Bus bar and junction box attachment</t>
  </si>
  <si>
    <t>Solder, bar, Sn95.5Ag3.9Cu0.6, for electronics industry {GLO}| market for | APOS, S</t>
  </si>
  <si>
    <t>Indium {GLO}| market for | APOS, S</t>
  </si>
  <si>
    <t>Copper {GLO}| market for | APOS, S</t>
  </si>
  <si>
    <t>Glass fibre reinforced plastic, polyamide, injection moulded {GLO}| market for | APOS, S</t>
  </si>
  <si>
    <t>Silicone product {RER}| market for silicone product | APOS, S</t>
  </si>
  <si>
    <t>Testing</t>
  </si>
  <si>
    <t>Bus bar and junction box (attached)</t>
  </si>
  <si>
    <t>0.08</t>
  </si>
  <si>
    <t>Type</t>
  </si>
  <si>
    <t>Spray pyrolysis</t>
  </si>
  <si>
    <t>0.2-0.5</t>
  </si>
  <si>
    <t>10, 8-15</t>
  </si>
  <si>
    <t>~5-20</t>
  </si>
  <si>
    <t>14-20</t>
  </si>
  <si>
    <t>(estimated), rest have sources</t>
  </si>
  <si>
    <t>Matteocci F, Mincuzzi G, Giordano F, Capasso A, Artuso E, Barolo C, Viscardi G, Brown T, Reale A, Di Carlo A. Blocking layer optimisation of poly (3‐hexylthiopene) based solid state dye sensitized solar cells. Organic Electronics 2013; 14(7):1882–1890.</t>
  </si>
  <si>
    <t>Cost</t>
  </si>
  <si>
    <t>Uncertainty</t>
  </si>
  <si>
    <t>Floorspace</t>
  </si>
  <si>
    <t>Electricity usage</t>
  </si>
  <si>
    <t>Equipment</t>
  </si>
  <si>
    <t>$M</t>
  </si>
  <si>
    <t>Source (electricity and cost)</t>
  </si>
  <si>
    <t>Source (throughput)</t>
  </si>
  <si>
    <t>Equipment/process</t>
  </si>
  <si>
    <t>Number</t>
  </si>
  <si>
    <t>Footprint (mxm)</t>
  </si>
  <si>
    <t>Unit price ($k)</t>
  </si>
  <si>
    <t>Power (kW)</t>
  </si>
  <si>
    <t>Operating time (min/module)</t>
  </si>
  <si>
    <t>Laser scribing</t>
  </si>
  <si>
    <t>6x2.5</t>
  </si>
  <si>
    <t>30-90</t>
  </si>
  <si>
    <t>Inkjet printing</t>
  </si>
  <si>
    <t>Annealing 10 mins 120 C</t>
  </si>
  <si>
    <r>
      <t xml:space="preserve">Difference between 200C, 100C and 120C assumed negligible (as </t>
    </r>
    <r>
      <rPr>
        <sz val="11"/>
        <color theme="1"/>
        <rFont val="Calibri"/>
        <family val="2"/>
        <scheme val="minor"/>
      </rPr>
      <t>the heating part of electricity consumption is quite low there). For electricity and compressed air, efficiency is assumed to drop by 10% based on the lower output than theoretically possible for perovskite an d carbon layer (to match the throughput of the m-tio2 process &lt;-- not yet implemented (Alternatively, can choose shorter heating length)</t>
    </r>
  </si>
  <si>
    <t>Same scaling used as for power output (65/35 from 15 to 35 length). For temperature related increase in CDA, linear scaling used.</t>
  </si>
  <si>
    <t>90% material utilisation efficiency used, based on the assumption that the amount of paste deposited is exactly enough to deposit 15 um of carbon</t>
  </si>
  <si>
    <t>Nitrocellulose</t>
  </si>
  <si>
    <t>Screens for screen printing, Siebe GmBH (made from polyester)</t>
  </si>
  <si>
    <t>Tap water</t>
  </si>
  <si>
    <t>cooling water</t>
  </si>
  <si>
    <t>Annealing, 30 mins 400 C</t>
  </si>
  <si>
    <t>Also sulfuric acid, but only used as catalyst, so not included</t>
  </si>
  <si>
    <t>Heating, 100 C 2 hours</t>
  </si>
  <si>
    <t>Electricity, medium voltage</t>
  </si>
  <si>
    <t>ZrO2 deposition</t>
  </si>
  <si>
    <t>m-ZrO2 layer</t>
  </si>
  <si>
    <t>Zirconium oxide {GLO}| market for | APOS, S</t>
  </si>
  <si>
    <t>5% material loss, density zro2 5.68 g/cm3</t>
  </si>
  <si>
    <t>Compressed dry air for screen printing</t>
  </si>
  <si>
    <t>Temperature</t>
  </si>
  <si>
    <t>Conveyor length</t>
  </si>
  <si>
    <t>oC</t>
  </si>
  <si>
    <t>14.1</t>
  </si>
  <si>
    <t>low estimate (exponential)</t>
  </si>
  <si>
    <t>high estimate (log)</t>
  </si>
  <si>
    <t>Normal (linear increase)</t>
  </si>
  <si>
    <t>Only heat</t>
  </si>
  <si>
    <t>Actual 
numbers</t>
  </si>
  <si>
    <t>Estimates</t>
  </si>
  <si>
    <t>Different temperatures</t>
  </si>
  <si>
    <t>Different Heating lenghts</t>
  </si>
  <si>
    <t>Heating length (m)</t>
  </si>
  <si>
    <t>850 C</t>
  </si>
  <si>
    <t>450 C</t>
  </si>
  <si>
    <t>500 C</t>
  </si>
  <si>
    <t>400 C</t>
  </si>
  <si>
    <t>4.7</t>
  </si>
  <si>
    <t>Lorentz Friedrich</t>
  </si>
  <si>
    <t>Actual data</t>
  </si>
  <si>
    <t>Units</t>
  </si>
  <si>
    <t>200 C, 10 min</t>
  </si>
  <si>
    <t>Temp and heating time</t>
  </si>
  <si>
    <t>Energy for heating (conveyor belt furnaces)</t>
  </si>
  <si>
    <t>Other machines used for PSM production</t>
  </si>
  <si>
    <t>Perovskite layer (slot-die coated)</t>
  </si>
  <si>
    <t xml:space="preserve">Cells/h </t>
  </si>
  <si>
    <t>Cells 0.025825m2</t>
  </si>
  <si>
    <t>Power increase from 200 to 850 C</t>
  </si>
  <si>
    <t>Energy use for production of chemicals</t>
  </si>
  <si>
    <t>Max capacity</t>
  </si>
  <si>
    <t>Power use</t>
  </si>
  <si>
    <t>Stirring on large scale</t>
  </si>
  <si>
    <t>Stirring (small scale)</t>
  </si>
  <si>
    <t>Capacity (L)</t>
  </si>
  <si>
    <t>Stirring Energy</t>
  </si>
  <si>
    <t>Miscellaneous</t>
  </si>
  <si>
    <t>Heat loss in chemical reactors</t>
  </si>
  <si>
    <t>Reactor size</t>
  </si>
  <si>
    <t>W/K/L (Watt per Kelvin per liter)</t>
  </si>
  <si>
    <t>Heat loss</t>
  </si>
  <si>
    <t>Standard chemical average assumptions from gendorf</t>
  </si>
  <si>
    <t xml:space="preserve">1600 nm thick </t>
  </si>
  <si>
    <t>Water, deionised {RER}| water production, deionised | APOS, S</t>
  </si>
  <si>
    <t>Methanol {RER}| market for | APOS, S</t>
  </si>
  <si>
    <t>Volume (m3)</t>
  </si>
  <si>
    <t>TiO2 related chemicals</t>
  </si>
  <si>
    <t>Carbon related chemicals</t>
  </si>
  <si>
    <t>Perovskite related chemicals</t>
  </si>
  <si>
    <t>Pumping, assumed that all liquid mass is transfered once.</t>
  </si>
  <si>
    <t>[1]</t>
  </si>
  <si>
    <r>
      <t xml:space="preserve">M. P. Tsang, G. W. Sonnemann, and D. M. Bassani, “A comparative human health, ecotoxicity, and product environmental assessment on the production of organic and silicon solar cells,” </t>
    </r>
    <r>
      <rPr>
        <i/>
        <sz val="11"/>
        <color theme="1"/>
        <rFont val="Calibri"/>
        <family val="2"/>
        <scheme val="minor"/>
      </rPr>
      <t>Prog. Photovolt. Res. Appl.</t>
    </r>
    <r>
      <rPr>
        <sz val="11"/>
        <color theme="1"/>
        <rFont val="Calibri"/>
        <family val="2"/>
        <scheme val="minor"/>
      </rPr>
      <t>, vol. 24, no. 5, pp. 645–655, 2016, doi: https://doi.org/10.1002/pip.2704.</t>
    </r>
  </si>
  <si>
    <t>[2]</t>
  </si>
  <si>
    <r>
      <t xml:space="preserve">M. Bohnet, </t>
    </r>
    <r>
      <rPr>
        <i/>
        <sz val="11"/>
        <color theme="1"/>
        <rFont val="Calibri"/>
        <family val="2"/>
        <scheme val="minor"/>
      </rPr>
      <t>Ullmann’s encyclopedia of industrial chemistry</t>
    </r>
    <r>
      <rPr>
        <sz val="11"/>
        <color theme="1"/>
        <rFont val="Calibri"/>
        <family val="2"/>
        <scheme val="minor"/>
      </rPr>
      <t>. Weinheim: Wiley-VCH, 2003.</t>
    </r>
  </si>
  <si>
    <t>Only low temperatures required (110-115 C) [3]</t>
  </si>
  <si>
    <r>
      <t xml:space="preserve">A. Pfennig, “Kirk-Othmer Encyclopedia of Chemical Technology, Vol. 1. Herausgeg. von J. I. Kroschwitz und M. Howe-Grant. John Wiley &amp; Sons, New York - Chichester - Toronto 1991.4. Aufl., XXXII, 1087 S., zahlr. Abb. u. Tab., geb., Subskriptionspreis US-$ 225,–,” </t>
    </r>
    <r>
      <rPr>
        <i/>
        <sz val="11"/>
        <color theme="1"/>
        <rFont val="Calibri"/>
        <family val="2"/>
        <scheme val="minor"/>
      </rPr>
      <t>Chem. Ing. Tech.</t>
    </r>
    <r>
      <rPr>
        <sz val="11"/>
        <color theme="1"/>
        <rFont val="Calibri"/>
        <family val="2"/>
        <scheme val="minor"/>
      </rPr>
      <t>, vol. 64, no. 12, pp. 1134–1134, 1992, doi: https://doi.org/10.1002/cite.330641225.</t>
    </r>
  </si>
  <si>
    <t>[4]</t>
  </si>
  <si>
    <r>
      <t xml:space="preserve">J.-A. Alberola-Borràs </t>
    </r>
    <r>
      <rPr>
        <i/>
        <sz val="11"/>
        <color theme="1"/>
        <rFont val="Calibri"/>
        <family val="2"/>
        <scheme val="minor"/>
      </rPr>
      <t>et al.</t>
    </r>
    <r>
      <rPr>
        <sz val="11"/>
        <color theme="1"/>
        <rFont val="Calibri"/>
        <family val="2"/>
        <scheme val="minor"/>
      </rPr>
      <t xml:space="preserve">, “Perovskite Photovoltaic Modules: Life Cycle Assessment of Pre-industrial Production Process,” </t>
    </r>
    <r>
      <rPr>
        <i/>
        <sz val="11"/>
        <color theme="1"/>
        <rFont val="Calibri"/>
        <family val="2"/>
        <scheme val="minor"/>
      </rPr>
      <t>iScience</t>
    </r>
    <r>
      <rPr>
        <sz val="11"/>
        <color theme="1"/>
        <rFont val="Calibri"/>
        <family val="2"/>
        <scheme val="minor"/>
      </rPr>
      <t>, vol. 9, pp. 542–551, Nov. 2018, doi: 10.1016/j.isci.2018.10.020.</t>
    </r>
  </si>
  <si>
    <t>[5]-[7]</t>
  </si>
  <si>
    <r>
      <t xml:space="preserve">M. A. Behnajady, H. Eskandarloo, N. Modirshahla, and M. Shokri, “Investigation of the effect of sol–gel synthesis variables on structural and photocatalytic properties of TiO2 nanoparticles,” </t>
    </r>
    <r>
      <rPr>
        <i/>
        <sz val="11"/>
        <color theme="1"/>
        <rFont val="Calibri"/>
        <family val="2"/>
        <scheme val="minor"/>
      </rPr>
      <t>Desalination</t>
    </r>
    <r>
      <rPr>
        <sz val="11"/>
        <color theme="1"/>
        <rFont val="Calibri"/>
        <family val="2"/>
        <scheme val="minor"/>
      </rPr>
      <t>, vol. 278, no. 1, pp. 10–17, Sep. 2011, doi: 10.1016/j.desal.2011.04.019.</t>
    </r>
  </si>
  <si>
    <r>
      <t xml:space="preserve">F. Wu, Z. Zhou, and A. L. Hicks, “Life Cycle Impact of Titanium Dioxide Nanoparticle Synthesis through Physical, Chemical, and Biological Routes,” </t>
    </r>
    <r>
      <rPr>
        <i/>
        <sz val="11"/>
        <color theme="1"/>
        <rFont val="Calibri"/>
        <family val="2"/>
        <scheme val="minor"/>
      </rPr>
      <t>Environ. Sci. Technol.</t>
    </r>
    <r>
      <rPr>
        <sz val="11"/>
        <color theme="1"/>
        <rFont val="Calibri"/>
        <family val="2"/>
        <scheme val="minor"/>
      </rPr>
      <t>, vol. 53, no. 8, pp. 4078–4087, Apr. 2019, doi: 10.1021/acs.est.8b06800.</t>
    </r>
  </si>
  <si>
    <r>
      <t xml:space="preserve">S. Middlemas, Z. Z. Fang, and P. Fan, “Life cycle assessment comparison of emerging and traditional Titanium dioxide manufacturing processes,” </t>
    </r>
    <r>
      <rPr>
        <i/>
        <sz val="11"/>
        <color theme="1"/>
        <rFont val="Calibri"/>
        <family val="2"/>
        <scheme val="minor"/>
      </rPr>
      <t>J. Clean. Prod.</t>
    </r>
    <r>
      <rPr>
        <sz val="11"/>
        <color theme="1"/>
        <rFont val="Calibri"/>
        <family val="2"/>
        <scheme val="minor"/>
      </rPr>
      <t>, vol. 89, pp. 137–147, Feb. 2015, doi: 10.1016/j.jclepro.2014.11.019.</t>
    </r>
  </si>
  <si>
    <t>[8],[9]</t>
  </si>
  <si>
    <r>
      <t xml:space="preserve">M. Dehara, “Synthesis of Ketene by the Pyrolysis of Acetone. I,” </t>
    </r>
    <r>
      <rPr>
        <i/>
        <sz val="11"/>
        <color theme="1"/>
        <rFont val="Calibri"/>
        <family val="2"/>
        <scheme val="minor"/>
      </rPr>
      <t>J. Synth. Org. Chem. Jpn.</t>
    </r>
    <r>
      <rPr>
        <sz val="11"/>
        <color theme="1"/>
        <rFont val="Calibri"/>
        <family val="2"/>
        <scheme val="minor"/>
      </rPr>
      <t>, vol. 20, no. 8, pp. 730–737, 1962, doi: 10.5059/yukigoseikyokaishi.20.730.</t>
    </r>
  </si>
  <si>
    <r>
      <t xml:space="preserve">C. D. Hurd, “KETENE,” </t>
    </r>
    <r>
      <rPr>
        <i/>
        <sz val="11"/>
        <color theme="1"/>
        <rFont val="Calibri"/>
        <family val="2"/>
        <scheme val="minor"/>
      </rPr>
      <t>Org. Synth.</t>
    </r>
    <r>
      <rPr>
        <sz val="11"/>
        <color theme="1"/>
        <rFont val="Calibri"/>
        <family val="2"/>
        <scheme val="minor"/>
      </rPr>
      <t>, vol. 4, p. 39, 1925, doi: 10.15227/orgsyn.004.0039.</t>
    </r>
  </si>
  <si>
    <t>Yield 90% based on acetone, 93% based on ketene [10]</t>
  </si>
  <si>
    <t>[10]</t>
  </si>
  <si>
    <r>
      <t xml:space="preserve">H. J. Hagemeyer and D. C. Hull, “Reactions of Isopropenyl Acetate,” </t>
    </r>
    <r>
      <rPr>
        <i/>
        <sz val="11"/>
        <color theme="1"/>
        <rFont val="Calibri"/>
        <family val="2"/>
        <scheme val="minor"/>
      </rPr>
      <t>Ind. Eng. Chem.</t>
    </r>
    <r>
      <rPr>
        <sz val="11"/>
        <color theme="1"/>
        <rFont val="Calibri"/>
        <family val="2"/>
        <scheme val="minor"/>
      </rPr>
      <t>, vol. 41, no. 12, pp. 2920–2924, Dec. 1949, doi: 10.1021/ie50480a063.</t>
    </r>
  </si>
  <si>
    <t xml:space="preserve">Heated to 68 C (ambient 20 C) Specific heat capacity of ketene ~1.24 kJ/kg/K, acetone 2.15 kJ/kg/K </t>
  </si>
  <si>
    <r>
      <t xml:space="preserve">F. Piccinno, R. Hischier, S. Seeger, and C. Som, “From laboratory to industrial scale: a scale-up framework for chemical processes in life cycle assessment studies,” </t>
    </r>
    <r>
      <rPr>
        <i/>
        <sz val="11"/>
        <color theme="1"/>
        <rFont val="Calibri"/>
        <family val="2"/>
        <scheme val="minor"/>
      </rPr>
      <t>J. Clean. Prod.</t>
    </r>
    <r>
      <rPr>
        <sz val="11"/>
        <color theme="1"/>
        <rFont val="Calibri"/>
        <family val="2"/>
        <scheme val="minor"/>
      </rPr>
      <t>, vol. 135, pp. 1085–1097, Nov. 2016, doi: 10.1016/j.jclepro.2016.06.164.</t>
    </r>
  </si>
  <si>
    <t>Distillation, energy from average of empirical values presented in [11]</t>
  </si>
  <si>
    <t>[12]</t>
  </si>
  <si>
    <t>H. Spes, G. Kunstle, and H. Siegl, “Process for continuously producing acetylacetone,” US3794686A, Feb. 26, 1974.</t>
  </si>
  <si>
    <t>Yield 82% [12]</t>
  </si>
  <si>
    <r>
      <t xml:space="preserve">L. Kavan and M. Grätzel, “Highly efficient semiconducting TiO2 photoelectrodes prepared by aerosol pyrolysis,” </t>
    </r>
    <r>
      <rPr>
        <i/>
        <sz val="11"/>
        <color theme="1"/>
        <rFont val="Calibri"/>
        <family val="2"/>
        <scheme val="minor"/>
      </rPr>
      <t>Electrochimica Acta</t>
    </r>
    <r>
      <rPr>
        <sz val="11"/>
        <color theme="1"/>
        <rFont val="Calibri"/>
        <family val="2"/>
        <scheme val="minor"/>
      </rPr>
      <t>, vol. 40, no. 5, pp. 643–652, Apr. 1995, doi: 10.1016/0013-4686(95)90400-W.</t>
    </r>
  </si>
  <si>
    <r>
      <t xml:space="preserve">J. Spiridonova, A. Katerski, M. Danilson, M. Krichevskaya, M. Krunks, and I. Oja Acik, “Effect of the Titanium Isopropoxide:Acetylacetone Molar Ratio on the Photocatalytic Activity of TiO2 Thin Films,” </t>
    </r>
    <r>
      <rPr>
        <i/>
        <sz val="11"/>
        <color theme="1"/>
        <rFont val="Calibri"/>
        <family val="2"/>
        <scheme val="minor"/>
      </rPr>
      <t>Molecules</t>
    </r>
    <r>
      <rPr>
        <sz val="11"/>
        <color theme="1"/>
        <rFont val="Calibri"/>
        <family val="2"/>
        <scheme val="minor"/>
      </rPr>
      <t>, vol. 24, no. 23, Art. no. 23, Jan. 2019, doi: 10.3390/molecules24234326.</t>
    </r>
  </si>
  <si>
    <r>
      <t xml:space="preserve">X. Ding </t>
    </r>
    <r>
      <rPr>
        <i/>
        <sz val="11"/>
        <color theme="1"/>
        <rFont val="Calibri"/>
        <family val="2"/>
        <scheme val="minor"/>
      </rPr>
      <t>et al.</t>
    </r>
    <r>
      <rPr>
        <sz val="11"/>
        <color theme="1"/>
        <rFont val="Calibri"/>
        <family val="2"/>
        <scheme val="minor"/>
      </rPr>
      <t xml:space="preserve">, “Sequential deposition method fabricating carbonbased fully-inorganic perovskite solar cells,” </t>
    </r>
    <r>
      <rPr>
        <i/>
        <sz val="11"/>
        <color theme="1"/>
        <rFont val="Calibri"/>
        <family val="2"/>
        <scheme val="minor"/>
      </rPr>
      <t>Sci. China Mater.</t>
    </r>
    <r>
      <rPr>
        <sz val="11"/>
        <color theme="1"/>
        <rFont val="Calibri"/>
        <family val="2"/>
        <scheme val="minor"/>
      </rPr>
      <t>, vol. 61, no. 1, pp. 73–79, Jan. 2018, doi: 10.1007/s40843-017-9117-4.</t>
    </r>
  </si>
  <si>
    <t>[13-15]</t>
  </si>
  <si>
    <t>1:2 molar TTIP: acetylacetone</t>
  </si>
  <si>
    <t>[5]</t>
  </si>
  <si>
    <t>Calcination</t>
  </si>
  <si>
    <t>[7]</t>
  </si>
  <si>
    <t>GreatcellSolar, “18NR-T Transparent Titania Paste.” https://www.greatcellsolarmaterials.com/18nr-t-transparent-titania-paste.html (accessed Jul. 23, 2021).</t>
  </si>
  <si>
    <r>
      <t xml:space="preserve">T. Umeyama and H. Imahori, “A chemical approach to perovskite solar cells: control of electron-transporting mesoporous TiO2 and utilization of nanocarbon materials,” </t>
    </r>
    <r>
      <rPr>
        <i/>
        <sz val="11"/>
        <color theme="1"/>
        <rFont val="Calibri"/>
        <family val="2"/>
        <scheme val="minor"/>
      </rPr>
      <t>Dalton Trans.</t>
    </r>
    <r>
      <rPr>
        <sz val="11"/>
        <color theme="1"/>
        <rFont val="Calibri"/>
        <family val="2"/>
        <scheme val="minor"/>
      </rPr>
      <t>, vol. 46, no. 45, pp. 15615–15627, Nov. 2017, doi: 10.1039/C7DT02421E.</t>
    </r>
  </si>
  <si>
    <t>Solaronix, “Solaronix - Ti-Nanoxide, Titanium Dioxide Pastes.” https://www.solaronix.com/materials/products/tinanoxide/ (accessed Jul. 23, 2021).</t>
  </si>
  <si>
    <r>
      <t xml:space="preserve">M. Rossberg </t>
    </r>
    <r>
      <rPr>
        <i/>
        <sz val="11"/>
        <color theme="1"/>
        <rFont val="Calibri"/>
        <family val="2"/>
        <scheme val="minor"/>
      </rPr>
      <t>et al.</t>
    </r>
    <r>
      <rPr>
        <sz val="11"/>
        <color theme="1"/>
        <rFont val="Calibri"/>
        <family val="2"/>
        <scheme val="minor"/>
      </rPr>
      <t xml:space="preserve">, “Chlorinated Hydrocarbons,” in </t>
    </r>
    <r>
      <rPr>
        <i/>
        <sz val="11"/>
        <color theme="1"/>
        <rFont val="Calibri"/>
        <family val="2"/>
        <scheme val="minor"/>
      </rPr>
      <t>Ullmann’s Encyclopedia of Industrial Chemistry</t>
    </r>
    <r>
      <rPr>
        <sz val="11"/>
        <color theme="1"/>
        <rFont val="Calibri"/>
        <family val="2"/>
        <scheme val="minor"/>
      </rPr>
      <t>, American Cancer Society, 2006.</t>
    </r>
  </si>
  <si>
    <t>[19]</t>
  </si>
  <si>
    <t>Urbanski, T., (1964). Chemistry and technology of explosives. Volume 1. (Pergamon).</t>
  </si>
  <si>
    <t>[20]</t>
  </si>
  <si>
    <t>[21]</t>
  </si>
  <si>
    <r>
      <t>秦旭</t>
    </r>
    <r>
      <rPr>
        <sz val="11"/>
        <color theme="1"/>
        <rFont val="Microsoft JhengHei"/>
        <family val="2"/>
      </rPr>
      <t>东</t>
    </r>
    <r>
      <rPr>
        <sz val="11"/>
        <color theme="1"/>
        <rFont val="Calibri"/>
        <family val="2"/>
        <scheme val="minor"/>
      </rPr>
      <t xml:space="preserve">, </t>
    </r>
    <r>
      <rPr>
        <sz val="11"/>
        <color theme="1"/>
        <rFont val="MS Gothic"/>
        <family val="3"/>
      </rPr>
      <t>秦怡生</t>
    </r>
    <r>
      <rPr>
        <sz val="11"/>
        <color theme="1"/>
        <rFont val="Calibri"/>
        <family val="2"/>
        <scheme val="minor"/>
      </rPr>
      <t xml:space="preserve">, </t>
    </r>
    <r>
      <rPr>
        <sz val="11"/>
        <color theme="1"/>
        <rFont val="Microsoft JhengHei"/>
        <family val="2"/>
      </rPr>
      <t>陈荣福</t>
    </r>
    <r>
      <rPr>
        <sz val="11"/>
        <color theme="1"/>
        <rFont val="Calibri"/>
        <family val="2"/>
        <scheme val="minor"/>
      </rPr>
      <t xml:space="preserve">, </t>
    </r>
    <r>
      <rPr>
        <sz val="11"/>
        <color theme="1"/>
        <rFont val="MS Gothic"/>
        <family val="3"/>
      </rPr>
      <t>王</t>
    </r>
    <r>
      <rPr>
        <sz val="11"/>
        <color theme="1"/>
        <rFont val="Microsoft JhengHei"/>
        <family val="2"/>
      </rPr>
      <t>伟</t>
    </r>
    <r>
      <rPr>
        <sz val="11"/>
        <color theme="1"/>
        <rFont val="Calibri"/>
        <family val="2"/>
        <scheme val="minor"/>
      </rPr>
      <t xml:space="preserve">, and </t>
    </r>
    <r>
      <rPr>
        <sz val="11"/>
        <color theme="1"/>
        <rFont val="MS Gothic"/>
        <family val="3"/>
      </rPr>
      <t>蒋大智</t>
    </r>
    <r>
      <rPr>
        <sz val="11"/>
        <color theme="1"/>
        <rFont val="Calibri"/>
        <family val="2"/>
        <scheme val="minor"/>
      </rPr>
      <t>, “Method for preparing ethylene glycol mono-n-butyl ether by continuous pipe reaction,” CN101337864A, Jan. 07, 2009 Accessed: Jun. 12, 2022. [Online]. Available: https://patents.google.com/patent/CN101337864A/en</t>
    </r>
  </si>
  <si>
    <r>
      <t xml:space="preserve">Y. Liu, Y. Wang, C. Zhai, W. Chen, and C. Qiao, “Kinetics Study of the Esterification Reaction of Diethylene Glycol Monobutyl Ether with Acetic Acid Catalyzed by Heteropolyanion-Based Ionic Liquids,” </t>
    </r>
    <r>
      <rPr>
        <i/>
        <sz val="11"/>
        <color theme="1"/>
        <rFont val="Calibri"/>
        <family val="2"/>
        <scheme val="minor"/>
      </rPr>
      <t>Ind. Eng. Chem. Res.</t>
    </r>
    <r>
      <rPr>
        <sz val="11"/>
        <color theme="1"/>
        <rFont val="Calibri"/>
        <family val="2"/>
        <scheme val="minor"/>
      </rPr>
      <t>, vol. 53, no. 38, pp. 14633–14640, Sep. 2014, doi: 10.1021/ie502352z.</t>
    </r>
  </si>
  <si>
    <t>[22]</t>
  </si>
  <si>
    <r>
      <t xml:space="preserve">S. Ito </t>
    </r>
    <r>
      <rPr>
        <i/>
        <sz val="11"/>
        <color theme="1"/>
        <rFont val="Calibri"/>
        <family val="2"/>
        <scheme val="minor"/>
      </rPr>
      <t>et al.</t>
    </r>
    <r>
      <rPr>
        <sz val="11"/>
        <color theme="1"/>
        <rFont val="Calibri"/>
        <family val="2"/>
        <scheme val="minor"/>
      </rPr>
      <t xml:space="preserve">, “Fabrication of screen-printing pastes from TiO2 powders for dye-sensitised solar cells,” </t>
    </r>
    <r>
      <rPr>
        <i/>
        <sz val="11"/>
        <color theme="1"/>
        <rFont val="Calibri"/>
        <family val="2"/>
        <scheme val="minor"/>
      </rPr>
      <t>Prog. Photovolt. Res. Appl.</t>
    </r>
    <r>
      <rPr>
        <sz val="11"/>
        <color theme="1"/>
        <rFont val="Calibri"/>
        <family val="2"/>
        <scheme val="minor"/>
      </rPr>
      <t>, vol. 15, no. 7, pp. 603–612, 2007, doi: https://doi.org/10.1002/pip.768.</t>
    </r>
  </si>
  <si>
    <t>[4],[23]</t>
  </si>
  <si>
    <t>W. Ruckelshaus, “Development document for effluent limitations guidelines new source performance standards and pretreatment standards for the inorganic chemicals manufacturing point source category.” Sep. 1983, Accessed: Jul. 23, 2021. [Online]. Available: https://nepis.epa.gov/Exe/ZyNET.exe/000013E5.TXT?ZyActionD=ZyDocument&amp;Client=EPA&amp;Index=1981+Thru+1985&amp;Docs=&amp;Query=&amp;Time=&amp;EndTime=&amp;SearchMethod=1&amp;TocRestrict=n&amp;Toc=&amp;TocEntry=&amp;QField=&amp;QFieldYear=&amp;QFieldMonth=&amp;QFieldDay=&amp;IntQFieldOp=0&amp;ExtQFieldOp=0&amp;XmlQuery=&amp;File=D%3A%5Czyfiles%5CIndex%20Data%5C81thru85%5CTxt%5C00000001%5C000013E5.txt&amp;User=ANONYMOUS&amp;Password=anonymous&amp;SortMethod=h%7C-&amp;MaximumDocuments=1&amp;FuzzyDegree=0&amp;ImageQuality=r75g8/r75g8/x150y150g16/i425&amp;Display=hpfr&amp;DefSeekPage=x&amp;SearchBack=ZyActionL&amp;Back=ZyActionS&amp;BackDesc=Results%20page&amp;MaximumPages=1&amp;ZyEntry=1&amp;SeekPage=x&amp;ZyPURL.</t>
  </si>
  <si>
    <t>IGN, “Iodine Global Network (IGN) - Iodate or iodide?” https://www.ign.org/iodate-or-iodide.htm (accessed Jul. 23, 2021).</t>
  </si>
  <si>
    <t>[24],[25]</t>
  </si>
  <si>
    <r>
      <t xml:space="preserve">D. S. Carr, “Lead Compounds,” in </t>
    </r>
    <r>
      <rPr>
        <i/>
        <sz val="11"/>
        <color theme="1"/>
        <rFont val="Calibri"/>
        <family val="2"/>
        <scheme val="minor"/>
      </rPr>
      <t>Ullmann’s Encyclopedia of Industrial Chemistry</t>
    </r>
    <r>
      <rPr>
        <sz val="11"/>
        <color theme="1"/>
        <rFont val="Calibri"/>
        <family val="2"/>
        <scheme val="minor"/>
      </rPr>
      <t>, American Cancer Society, 2000.</t>
    </r>
  </si>
  <si>
    <t>[26]</t>
  </si>
  <si>
    <t>PubChem, “Hydriodic acid.” https://pubchem.ncbi.nlm.nih.gov/compound/24841 (accessed Jul. 23, 2021).</t>
  </si>
  <si>
    <t>[27]</t>
  </si>
  <si>
    <t>[28-35]</t>
  </si>
  <si>
    <r>
      <t xml:space="preserve">H.-S. Kim </t>
    </r>
    <r>
      <rPr>
        <i/>
        <sz val="11"/>
        <color theme="1"/>
        <rFont val="Calibri"/>
        <family val="2"/>
        <scheme val="minor"/>
      </rPr>
      <t>et al.</t>
    </r>
    <r>
      <rPr>
        <sz val="11"/>
        <color theme="1"/>
        <rFont val="Calibri"/>
        <family val="2"/>
        <scheme val="minor"/>
      </rPr>
      <t xml:space="preserve">, “Lead Iodide Perovskite Sensitized All-Solid-State Submicron Thin Film Mesoscopic Solar Cell with Efficiency Exceeding 9%,” </t>
    </r>
    <r>
      <rPr>
        <i/>
        <sz val="11"/>
        <color theme="1"/>
        <rFont val="Calibri"/>
        <family val="2"/>
        <scheme val="minor"/>
      </rPr>
      <t>Sci. Rep.</t>
    </r>
    <r>
      <rPr>
        <sz val="11"/>
        <color theme="1"/>
        <rFont val="Calibri"/>
        <family val="2"/>
        <scheme val="minor"/>
      </rPr>
      <t>, vol. 2, no. 1, Art. no. 1, Aug. 2012, doi: 10.1038/srep00591.</t>
    </r>
  </si>
  <si>
    <r>
      <t xml:space="preserve">B. Cai, Y. Xing, Z. Yang, W.-H. Zhang, and J. Qiu, “High performance hybrid solar cells sensitized by organolead halide perovskites,” </t>
    </r>
    <r>
      <rPr>
        <i/>
        <sz val="11"/>
        <color theme="1"/>
        <rFont val="Calibri"/>
        <family val="2"/>
        <scheme val="minor"/>
      </rPr>
      <t>Energy Environ. Sci.</t>
    </r>
    <r>
      <rPr>
        <sz val="11"/>
        <color theme="1"/>
        <rFont val="Calibri"/>
        <family val="2"/>
        <scheme val="minor"/>
      </rPr>
      <t>, vol. 6, no. 5, pp. 1480–1485, Apr. 2013, doi: 10.1039/C3EE40343B.</t>
    </r>
  </si>
  <si>
    <r>
      <t xml:space="preserve">H.-S. Kim </t>
    </r>
    <r>
      <rPr>
        <i/>
        <sz val="11"/>
        <color theme="1"/>
        <rFont val="Calibri"/>
        <family val="2"/>
        <scheme val="minor"/>
      </rPr>
      <t>et al.</t>
    </r>
    <r>
      <rPr>
        <sz val="11"/>
        <color theme="1"/>
        <rFont val="Calibri"/>
        <family val="2"/>
        <scheme val="minor"/>
      </rPr>
      <t xml:space="preserve">, “High Efficiency Solid-State Sensitized Solar Cell-Based on Submicrometer Rutile TiO2 Nanorod and CH3NH3PbI3 Perovskite Sensitizer,” </t>
    </r>
    <r>
      <rPr>
        <i/>
        <sz val="11"/>
        <color theme="1"/>
        <rFont val="Calibri"/>
        <family val="2"/>
        <scheme val="minor"/>
      </rPr>
      <t>Nano Lett.</t>
    </r>
    <r>
      <rPr>
        <sz val="11"/>
        <color theme="1"/>
        <rFont val="Calibri"/>
        <family val="2"/>
        <scheme val="minor"/>
      </rPr>
      <t>, vol. 13, no. 6, pp. 2412–2417, Jun. 2013, doi: 10.1021/nl400286w.</t>
    </r>
  </si>
  <si>
    <r>
      <t xml:space="preserve">L. Etgar </t>
    </r>
    <r>
      <rPr>
        <i/>
        <sz val="11"/>
        <color theme="1"/>
        <rFont val="Calibri"/>
        <family val="2"/>
        <scheme val="minor"/>
      </rPr>
      <t>et al.</t>
    </r>
    <r>
      <rPr>
        <sz val="11"/>
        <color theme="1"/>
        <rFont val="Calibri"/>
        <family val="2"/>
        <scheme val="minor"/>
      </rPr>
      <t xml:space="preserve">, “Mesoscopic CH3NH3PbI3/TiO2 heterojunction solar cells,” </t>
    </r>
    <r>
      <rPr>
        <i/>
        <sz val="11"/>
        <color theme="1"/>
        <rFont val="Calibri"/>
        <family val="2"/>
        <scheme val="minor"/>
      </rPr>
      <t>J. Am. Chem. Soc.</t>
    </r>
    <r>
      <rPr>
        <sz val="11"/>
        <color theme="1"/>
        <rFont val="Calibri"/>
        <family val="2"/>
        <scheme val="minor"/>
      </rPr>
      <t>, vol. 134, no. 42, pp. 17396–17399, Oct. 2012, doi: 10.1021/ja307789s.</t>
    </r>
  </si>
  <si>
    <r>
      <t xml:space="preserve">J. H. Heo </t>
    </r>
    <r>
      <rPr>
        <i/>
        <sz val="11"/>
        <color theme="1"/>
        <rFont val="Calibri"/>
        <family val="2"/>
        <scheme val="minor"/>
      </rPr>
      <t>et al.</t>
    </r>
    <r>
      <rPr>
        <sz val="11"/>
        <color theme="1"/>
        <rFont val="Calibri"/>
        <family val="2"/>
        <scheme val="minor"/>
      </rPr>
      <t xml:space="preserve">, “Efficient inorganic–organic hybrid heterojunction solar cells containing perovskite compound and polymeric hole conductors,” </t>
    </r>
    <r>
      <rPr>
        <i/>
        <sz val="11"/>
        <color theme="1"/>
        <rFont val="Calibri"/>
        <family val="2"/>
        <scheme val="minor"/>
      </rPr>
      <t>Nat. Photonics</t>
    </r>
    <r>
      <rPr>
        <sz val="11"/>
        <color theme="1"/>
        <rFont val="Calibri"/>
        <family val="2"/>
        <scheme val="minor"/>
      </rPr>
      <t>, vol. 7, no. 6, Art. no. 6, Jun. 2013, doi: 10.1038/nphoton.2013.80.</t>
    </r>
  </si>
  <si>
    <r>
      <t xml:space="preserve">H. J. Snaith, “Perovskites: The Emergence of a New Era for Low-Cost, High-Efficiency Solar Cells,” </t>
    </r>
    <r>
      <rPr>
        <i/>
        <sz val="11"/>
        <color theme="1"/>
        <rFont val="Calibri"/>
        <family val="2"/>
        <scheme val="minor"/>
      </rPr>
      <t>J. Phys. Chem. Lett.</t>
    </r>
    <r>
      <rPr>
        <sz val="11"/>
        <color theme="1"/>
        <rFont val="Calibri"/>
        <family val="2"/>
        <scheme val="minor"/>
      </rPr>
      <t>, vol. 4, no. 21, pp. 3623–3630, Nov. 2013, doi: 10.1021/jz4020162.</t>
    </r>
  </si>
  <si>
    <r>
      <t xml:space="preserve">J. H. Noh, S. H. Im, J. H. Heo, T. N. Mandal, and S. I. Seok, “Chemical Management for Colorful, Efficient, and Stable Inorganic–Organic Hybrid Nanostructured Solar Cells,” </t>
    </r>
    <r>
      <rPr>
        <i/>
        <sz val="11"/>
        <color theme="1"/>
        <rFont val="Calibri"/>
        <family val="2"/>
        <scheme val="minor"/>
      </rPr>
      <t>Nano Lett.</t>
    </r>
    <r>
      <rPr>
        <sz val="11"/>
        <color theme="1"/>
        <rFont val="Calibri"/>
        <family val="2"/>
        <scheme val="minor"/>
      </rPr>
      <t>, vol. 13, no. 4, pp. 1764–1769, Apr. 2013, doi: 10.1021/nl400349b.</t>
    </r>
  </si>
  <si>
    <r>
      <t xml:space="preserve">J.-H. Im, C.-R. Lee, J.-W. Lee, S.-W. Park, and N.-G. Park, “6.5% efficient perovskite quantum-dot-sensitized solar cell,” </t>
    </r>
    <r>
      <rPr>
        <i/>
        <sz val="11"/>
        <color theme="1"/>
        <rFont val="Calibri"/>
        <family val="2"/>
        <scheme val="minor"/>
      </rPr>
      <t>Nanoscale</t>
    </r>
    <r>
      <rPr>
        <sz val="11"/>
        <color theme="1"/>
        <rFont val="Calibri"/>
        <family val="2"/>
        <scheme val="minor"/>
      </rPr>
      <t>, vol. 3, no. 10, pp. 4088–4093, 2011, doi: 10.1039/C1NR10867K.</t>
    </r>
  </si>
  <si>
    <r>
      <t xml:space="preserve">E. Klein, R. Lesyuk, and C. Klinke, “Insights into the formation mechanism of two-dimensional lead halide nanostructures,” </t>
    </r>
    <r>
      <rPr>
        <i/>
        <sz val="11"/>
        <color theme="1"/>
        <rFont val="Calibri"/>
        <family val="2"/>
        <scheme val="minor"/>
      </rPr>
      <t>Nanoscale</t>
    </r>
    <r>
      <rPr>
        <sz val="11"/>
        <color theme="1"/>
        <rFont val="Calibri"/>
        <family val="2"/>
        <scheme val="minor"/>
      </rPr>
      <t>, vol. 10, no. 9, pp. 4442–4451, Mar. 2018, doi: 10.1039/C7NR09564C.</t>
    </r>
  </si>
  <si>
    <t>[36]</t>
  </si>
  <si>
    <r>
      <t xml:space="preserve">A. Mehrkesh, “Optimization-based design and analysis of tailor-made ionic liquids,” </t>
    </r>
    <r>
      <rPr>
        <i/>
        <sz val="11"/>
        <color theme="1"/>
        <rFont val="Calibri"/>
        <family val="2"/>
        <scheme val="minor"/>
      </rPr>
      <t>ArXiv161206407 Cond-Mat Physicsphysics</t>
    </r>
    <r>
      <rPr>
        <sz val="11"/>
        <color theme="1"/>
        <rFont val="Calibri"/>
        <family val="2"/>
        <scheme val="minor"/>
      </rPr>
      <t>, Dec. 2016, Accessed: Jul. 23, 2021. [Online]. Available: http://arxiv.org/abs/1612.06407.</t>
    </r>
  </si>
  <si>
    <t>[37]</t>
  </si>
  <si>
    <r>
      <t xml:space="preserve">S. M. Gerber and D. Y. Curtin, “The Reaction of Diazomethane with Phenols in the Presence of Propanol,” </t>
    </r>
    <r>
      <rPr>
        <i/>
        <sz val="11"/>
        <color theme="1"/>
        <rFont val="Calibri"/>
        <family val="2"/>
        <scheme val="minor"/>
      </rPr>
      <t>J. Am. Chem. Soc.</t>
    </r>
    <r>
      <rPr>
        <sz val="11"/>
        <color theme="1"/>
        <rFont val="Calibri"/>
        <family val="2"/>
        <scheme val="minor"/>
      </rPr>
      <t>, vol. 71, no. 4, pp. 1499–1499, Apr. 1949, doi: 10.1021/ja01172a509.</t>
    </r>
  </si>
  <si>
    <t>[38]</t>
  </si>
  <si>
    <t>[39]</t>
  </si>
  <si>
    <r>
      <t xml:space="preserve">R. K. Brown and A. M. Eastham, “THE CHEMISTRY OF ETHYLENE OXIDE: VI. THE ACID-CATALYZED REACTION OF ETHYLENE OXIDE WITH ETHANOL–WATER MIXTURES,” </t>
    </r>
    <r>
      <rPr>
        <i/>
        <sz val="11"/>
        <color theme="1"/>
        <rFont val="Calibri"/>
        <family val="2"/>
        <scheme val="minor"/>
      </rPr>
      <t>Can. J. Chem.</t>
    </r>
    <r>
      <rPr>
        <sz val="11"/>
        <color theme="1"/>
        <rFont val="Calibri"/>
        <family val="2"/>
        <scheme val="minor"/>
      </rPr>
      <t>, Feb. 2011, doi: 10.1139/v60-277.</t>
    </r>
  </si>
  <si>
    <t>[40]</t>
  </si>
  <si>
    <r>
      <t xml:space="preserve">E. Browning, </t>
    </r>
    <r>
      <rPr>
        <i/>
        <sz val="11"/>
        <color theme="1"/>
        <rFont val="Calibri"/>
        <family val="2"/>
        <scheme val="minor"/>
      </rPr>
      <t>Toxicity and metabolism of industrial solvents.</t>
    </r>
    <r>
      <rPr>
        <sz val="11"/>
        <color theme="1"/>
        <rFont val="Calibri"/>
        <family val="2"/>
        <scheme val="minor"/>
      </rPr>
      <t xml:space="preserve"> Amsterdam; New York: Elsevier, 1965.</t>
    </r>
  </si>
  <si>
    <r>
      <t xml:space="preserve">S. Valastro </t>
    </r>
    <r>
      <rPr>
        <i/>
        <sz val="11"/>
        <color theme="1"/>
        <rFont val="Calibri"/>
        <family val="2"/>
        <scheme val="minor"/>
      </rPr>
      <t>et al.</t>
    </r>
    <r>
      <rPr>
        <sz val="11"/>
        <color theme="1"/>
        <rFont val="Calibri"/>
        <family val="2"/>
        <scheme val="minor"/>
      </rPr>
      <t xml:space="preserve">, “Improved Electrical and Structural Stability in HTL-Free Perovskite Solar Cells by Vacuum Curing Treatment,” </t>
    </r>
    <r>
      <rPr>
        <i/>
        <sz val="11"/>
        <color theme="1"/>
        <rFont val="Calibri"/>
        <family val="2"/>
        <scheme val="minor"/>
      </rPr>
      <t>Energies</t>
    </r>
    <r>
      <rPr>
        <sz val="11"/>
        <color theme="1"/>
        <rFont val="Calibri"/>
        <family val="2"/>
        <scheme val="minor"/>
      </rPr>
      <t>, vol. 13, no. 15, Art. no. 15, Jan. 2020, doi: 10.3390/en13153953.</t>
    </r>
  </si>
  <si>
    <t>[42]</t>
  </si>
  <si>
    <r>
      <t xml:space="preserve">“Preparation of nitrocellulose,” </t>
    </r>
    <r>
      <rPr>
        <i/>
        <sz val="11"/>
        <color theme="1"/>
        <rFont val="Calibri"/>
        <family val="2"/>
        <scheme val="minor"/>
      </rPr>
      <t>PrepChem.com</t>
    </r>
    <r>
      <rPr>
        <sz val="11"/>
        <color theme="1"/>
        <rFont val="Calibri"/>
        <family val="2"/>
        <scheme val="minor"/>
      </rPr>
      <t>, Nov. 22, 2019. https://prepchem.com/synthesis-of-nitrocellulose/ (accessed Jun. 12, 2022).</t>
    </r>
  </si>
  <si>
    <t>[43]</t>
  </si>
  <si>
    <t>Reaction is exothermic, no energy requiring inputs mentioned in [38], so no energy assumed to be required for formation</t>
  </si>
  <si>
    <t>J. Brown, “Transparent Conducting Oxides - An Industrial Perspective?,” Liverpool, Nov. 2018. Accessed: Jul. 20, 201AD. [Online]. Available: https://www.cdt-pv.org/media/resources/Presentation_Liverpool_University_-_TCO_Manufacturing.pdf</t>
  </si>
  <si>
    <r>
      <t xml:space="preserve">N. Noor, C. K. T. Chew, D. S. Bhachu, M. R. Waugh, C. J. Carmalt, and I. P. Parkin, “Influencing FTO thin film growth with thin seeding layers: a route to microstructural modification,” </t>
    </r>
    <r>
      <rPr>
        <i/>
        <sz val="11"/>
        <color theme="1"/>
        <rFont val="Calibri"/>
        <family val="2"/>
        <scheme val="minor"/>
      </rPr>
      <t>J. Mater. Chem. C</t>
    </r>
    <r>
      <rPr>
        <sz val="11"/>
        <color theme="1"/>
        <rFont val="Calibri"/>
        <family val="2"/>
        <scheme val="minor"/>
      </rPr>
      <t>, vol. 3, no. 36, pp. 9359–9368, Sep. 2015, doi: 10.1039/C5TC02144H.</t>
    </r>
  </si>
  <si>
    <r>
      <t xml:space="preserve">E. Syrrakou, S. Papaefthimiou, and P. Yianoulis, “Environmental assessment of electrochromic glazing production,” </t>
    </r>
    <r>
      <rPr>
        <i/>
        <sz val="11"/>
        <color theme="1"/>
        <rFont val="Calibri"/>
        <family val="2"/>
        <scheme val="minor"/>
      </rPr>
      <t>Sol. Energy Mater. Sol. Cells</t>
    </r>
    <r>
      <rPr>
        <sz val="11"/>
        <color theme="1"/>
        <rFont val="Calibri"/>
        <family val="2"/>
        <scheme val="minor"/>
      </rPr>
      <t>, vol. 85, no. 2, pp. 205–240, Jan. 2005, doi: 10.1016/j.solmat.2004.03.005.</t>
    </r>
  </si>
  <si>
    <t>M. J. Soubeyrand and A. C. Halliwell, “Method for forming tin oxide coating on glass,” US5698262A, Dec. 16, 1997 Accessed: Jul. 21, 2021. [Online]. Available: https://patents.google.com/patent/US5698262A/en</t>
  </si>
  <si>
    <t>HF used according to [44-47] ~1.5% wt ratio F:SnO2 [44]</t>
  </si>
  <si>
    <t>Flat glass represents float glass, as 95% of flat glass output in Europe was float glass [48]</t>
  </si>
  <si>
    <t>L. A. Hartle, “Atmospheric Pressure Chemical Vapor Deposition of Fluorine-Doped Tin Oxide and Tin-Germanium Oxide: Photovoltaic and Energy Storage Applications,” May 2018, Accessed: Jul. 25, 2021. [Online]. Available: https://dash.harvard.edu/handle/1/40050087</t>
  </si>
  <si>
    <r>
      <t xml:space="preserve">P. W.-K. Fong </t>
    </r>
    <r>
      <rPr>
        <i/>
        <sz val="11"/>
        <color theme="1"/>
        <rFont val="Calibri"/>
        <family val="2"/>
        <scheme val="minor"/>
      </rPr>
      <t>et al.</t>
    </r>
    <r>
      <rPr>
        <sz val="11"/>
        <color theme="1"/>
        <rFont val="Calibri"/>
        <family val="2"/>
        <scheme val="minor"/>
      </rPr>
      <t xml:space="preserve">, “Printing High-Efficiency Perovskite Solar Cells in High-Humidity Ambient Environment—An In Situ Guided Investigation,” </t>
    </r>
    <r>
      <rPr>
        <i/>
        <sz val="11"/>
        <color theme="1"/>
        <rFont val="Calibri"/>
        <family val="2"/>
        <scheme val="minor"/>
      </rPr>
      <t>Adv. Sci.</t>
    </r>
    <r>
      <rPr>
        <sz val="11"/>
        <color theme="1"/>
        <rFont val="Calibri"/>
        <family val="2"/>
        <scheme val="minor"/>
      </rPr>
      <t>, vol. 8, no. 6, p. 2003359, 2021, doi: https://doi.org/10.1002/advs.202003359.</t>
    </r>
  </si>
  <si>
    <r>
      <t xml:space="preserve">O. Shargaieva, H. Näsström, J. A. Smith, D. Többens, R. Munir, and E. Unger, “Hybrid perovskite crystallization from binary solvent mixtures: interplay of evaporation rate and binding strength of solvents,” </t>
    </r>
    <r>
      <rPr>
        <i/>
        <sz val="11"/>
        <color theme="1"/>
        <rFont val="Calibri"/>
        <family val="2"/>
        <scheme val="minor"/>
      </rPr>
      <t>Mater. Adv.</t>
    </r>
    <r>
      <rPr>
        <sz val="11"/>
        <color theme="1"/>
        <rFont val="Calibri"/>
        <family val="2"/>
        <scheme val="minor"/>
      </rPr>
      <t>, vol. 1, no. 9, pp. 3314–3321, 2020, doi: 10.1039/D0MA00815J.</t>
    </r>
  </si>
  <si>
    <t>ISO, “ISO 14044:2006. Environmental management - Life cycle assessment - Requirements and guidelines,” International Organization for Standardization, 2006. Accessed: Jul. 21, 2021. [Online]. Available: https://www.iso.org/cms/render/live/en/sites/isoorg/contents/data/standard/03/74/37456.html</t>
  </si>
  <si>
    <t>S. Nold, “Techno-ökonomische Bewertung neuer Produktionstechnologien entlang der PhotovoltaikWertschöpfungskette,” Albert-Ludwigs-Universität, Freiburg im Breisgau, 2018.</t>
  </si>
  <si>
    <t>Nitrogen used as carrier gas [45], [47], [48] [50-52] Amount based on [53]</t>
  </si>
  <si>
    <r>
      <t xml:space="preserve">M. Gassner </t>
    </r>
    <r>
      <rPr>
        <i/>
        <sz val="11"/>
        <color theme="1"/>
        <rFont val="Calibri"/>
        <family val="2"/>
        <scheme val="minor"/>
      </rPr>
      <t>et al.</t>
    </r>
    <r>
      <rPr>
        <sz val="11"/>
        <color theme="1"/>
        <rFont val="Calibri"/>
        <family val="2"/>
        <scheme val="minor"/>
      </rPr>
      <t xml:space="preserve">, “Energy consumption and material fluxes in hard coating deposition processes,” </t>
    </r>
    <r>
      <rPr>
        <i/>
        <sz val="11"/>
        <color theme="1"/>
        <rFont val="Calibri"/>
        <family val="2"/>
        <scheme val="minor"/>
      </rPr>
      <t>Surf. Coat. Technol.</t>
    </r>
    <r>
      <rPr>
        <sz val="11"/>
        <color theme="1"/>
        <rFont val="Calibri"/>
        <family val="2"/>
        <scheme val="minor"/>
      </rPr>
      <t>, vol. 299, pp. 49–55, Aug. 2016, doi: 10.1016/j.surfcoat.2016.04.062.</t>
    </r>
  </si>
  <si>
    <t>Unreacted HF, this is likely lower in reality, because emission gases are typically neutralized in industry, and not emitted [46] &amp; [54]</t>
  </si>
  <si>
    <t>Tin oxide and Chlorine. Non-reacting tin is oxidized into tin oxide and the halides are removed using a packed bed chemical scrubber [46]</t>
  </si>
  <si>
    <t>J. Fransisco, M. Peinado, M. Salido, and F. Barber, “Optimisation system for cutting continuous layers.” Oct. 2016. [Online]. Available: https://gps.blogs.upv.es/files/2016/09/EN107-web.pdf</t>
  </si>
  <si>
    <t>Intermac, “Float glass cutting tables.” Sep. 2019. [Online]. Available: https://www.intermac.com/downloads/4477/89/P5812P0678_IntGL_Cat_Genius%20RS-A_set19_ENG_Lr.pdf</t>
  </si>
  <si>
    <t>5% losses (Can range between 0 and 10% [55 &amp; 56])</t>
  </si>
  <si>
    <t>[57]</t>
  </si>
  <si>
    <r>
      <t xml:space="preserve">M. K. van der Hulst </t>
    </r>
    <r>
      <rPr>
        <i/>
        <sz val="11"/>
        <color theme="1"/>
        <rFont val="Calibri"/>
        <family val="2"/>
        <scheme val="minor"/>
      </rPr>
      <t>et al.</t>
    </r>
    <r>
      <rPr>
        <sz val="11"/>
        <color theme="1"/>
        <rFont val="Calibri"/>
        <family val="2"/>
        <scheme val="minor"/>
      </rPr>
      <t xml:space="preserve">, “A systematic approach to assess the environmental impact of emerging technologies: A case study for the GHG footprint of CIGS solar photovoltaic laminate,” </t>
    </r>
    <r>
      <rPr>
        <i/>
        <sz val="11"/>
        <color theme="1"/>
        <rFont val="Calibri"/>
        <family val="2"/>
        <scheme val="minor"/>
      </rPr>
      <t>J. Ind. Ecol.</t>
    </r>
    <r>
      <rPr>
        <sz val="11"/>
        <color theme="1"/>
        <rFont val="Calibri"/>
        <family val="2"/>
        <scheme val="minor"/>
      </rPr>
      <t>, vol. 24, no. 6, pp. 1234–1249, 2020, doi: https://doi.org/10.1111/jiec.13027.</t>
    </r>
  </si>
  <si>
    <t>[58]</t>
  </si>
  <si>
    <r>
      <t xml:space="preserve">J. Park, D. Hengevoss, and S. Wittkopf, “Industrial Data-Based Life Cycle Assessment of Architecturally Integrated Glass-Glass Photovoltaics,” </t>
    </r>
    <r>
      <rPr>
        <i/>
        <sz val="11"/>
        <color theme="1"/>
        <rFont val="Calibri"/>
        <family val="2"/>
        <scheme val="minor"/>
      </rPr>
      <t>Buildings</t>
    </r>
    <r>
      <rPr>
        <sz val="11"/>
        <color theme="1"/>
        <rFont val="Calibri"/>
        <family val="2"/>
        <scheme val="minor"/>
      </rPr>
      <t>, vol. 9, no. 1, Art. no. 1, Jan. 2019, doi: 10.3390/buildings9010008.</t>
    </r>
  </si>
  <si>
    <t>Screen printing. Based on smaller wafers (throughput 7200 wafers/h, area 0.0258 cm2), AIRON metallization line, ASYS [53]</t>
  </si>
  <si>
    <t>R. Frischknecht and N. Jungbluth, “Overview and Methodology. Data v2.0 (2007).,” ETH, Dübendorf, Dec. 2007. [Online]. Available: https://www.ecoinvent.org/files/200712_frischknecht_jungbluth_overview_methodology_ecoinvent2.pdf</t>
  </si>
  <si>
    <r>
      <t xml:space="preserve">443km from sigma aldrich (a terpineol), </t>
    </r>
    <r>
      <rPr>
        <b/>
        <sz val="11"/>
        <color theme="1"/>
        <rFont val="Calibri"/>
        <family val="2"/>
        <scheme val="minor"/>
      </rPr>
      <t>Standard transport assumed for paste</t>
    </r>
    <r>
      <rPr>
        <sz val="11"/>
        <color theme="1"/>
        <rFont val="Calibri"/>
        <family val="2"/>
        <scheme val="minor"/>
      </rPr>
      <t xml:space="preserve"> [59]</t>
    </r>
  </si>
  <si>
    <t>based on 600/700 km coming from train average from [59]</t>
  </si>
  <si>
    <t>based on 100/700 km coming from lorry average from [59] screens based on 140 km to isenmann siebe gmbh, 100km for solvent waste transport</t>
  </si>
  <si>
    <t>Butyrolactone {RER}| market for butyrolactone | APOS, S</t>
  </si>
  <si>
    <t>y-Butyrolactone</t>
  </si>
  <si>
    <t>at 20 C, wiki</t>
  </si>
  <si>
    <t>Electricity for compressed dry air</t>
  </si>
  <si>
    <t xml:space="preserve">1 M solution </t>
  </si>
  <si>
    <t>MRC, “Hot plates.” [Online]. Available: https://www.obrnutafaza.hr/pdf/mrc/proizvodi/Hotplates.pdf</t>
  </si>
  <si>
    <r>
      <t xml:space="preserve">Stirring, 60 </t>
    </r>
    <r>
      <rPr>
        <vertAlign val="superscript"/>
        <sz val="11"/>
        <color theme="1"/>
        <rFont val="Calibri"/>
        <family val="2"/>
        <scheme val="minor"/>
      </rPr>
      <t>o</t>
    </r>
    <r>
      <rPr>
        <sz val="11"/>
        <color theme="1"/>
        <rFont val="Calibri"/>
        <family val="2"/>
        <scheme val="minor"/>
      </rPr>
      <t>C. 2 Hot plate stirrers assumed to be continuously turned on [60].</t>
    </r>
  </si>
  <si>
    <t>“Technical specification for glove box with gas purification system.” [Online]. Available: https://etenders.dpsdae.gov.in/tender_document/tender_49061/tech_com_doc/Annexure_1_Glovebox_specifications.pdf</t>
  </si>
  <si>
    <t>Glovebox, electricity from [61]</t>
  </si>
  <si>
    <r>
      <t xml:space="preserve">H. Wang, X. Hu, and H. Chen, “The effect of carbon black in carbon counter electrode for CH3NH3PbI3/TiO2 heterojunction solar cells,” </t>
    </r>
    <r>
      <rPr>
        <i/>
        <sz val="11"/>
        <color theme="1"/>
        <rFont val="Calibri"/>
        <family val="2"/>
        <scheme val="minor"/>
      </rPr>
      <t>RSC Adv.</t>
    </r>
    <r>
      <rPr>
        <sz val="11"/>
        <color theme="1"/>
        <rFont val="Calibri"/>
        <family val="2"/>
        <scheme val="minor"/>
      </rPr>
      <t>, vol. 5, no. 38, pp. 30192–30196, Mar. 2015, doi: 10.1039/C5RA02325D.</t>
    </r>
  </si>
  <si>
    <t>CB: Graphite ratio of around 20% is optimal for trade-off between conductivity and porosity, according to [62]</t>
  </si>
  <si>
    <t>25 wt% carbon in carbon paste, rest assumed to be 1:3 nitrocellulose:terpineol based on [62]</t>
  </si>
  <si>
    <r>
      <t xml:space="preserve">K. Yasaroglu Ünal, </t>
    </r>
    <r>
      <rPr>
        <i/>
        <sz val="11"/>
        <color theme="1"/>
        <rFont val="Calibri"/>
        <family val="2"/>
        <scheme val="minor"/>
      </rPr>
      <t>Preparation of a TiO2 Porous Layer by Molding of Polymer Beads for Perovskite Solar Cells Application</t>
    </r>
    <r>
      <rPr>
        <sz val="11"/>
        <color theme="1"/>
        <rFont val="Calibri"/>
        <family val="2"/>
        <scheme val="minor"/>
      </rPr>
      <t>. Strasbourg, 2019.</t>
    </r>
  </si>
  <si>
    <t>ZrO2 paste mass ratio: ZrO2:ethyl cellulose:terpineol 0.3:0.1:0.6 [4]</t>
  </si>
  <si>
    <t>Curing at 450 C for 30 mins, can be done at 400C, together with carbon paste at once [12]</t>
  </si>
  <si>
    <t>Screen printing. Based on smaller wafers [53] (throughput 7200 wafers/h, area 0.0258 cm2)</t>
  </si>
  <si>
    <t>HDPE density 941 kg/m3, 5 mm cutting loss on each side [4]</t>
  </si>
  <si>
    <t>Standard transport distance (200 km) [59]</t>
  </si>
  <si>
    <t>Standard transport distance (100 km) [59]</t>
  </si>
  <si>
    <t>A. berk Özbilgin, “Cost analysis and life cycle assessment of organic solar cells,” Albert Ludwigs Universität, Freiburg im Breisgau, 2016.</t>
  </si>
  <si>
    <t>R. Frischknecht, P. Stolz, L. Krebs, M. de Wild-SCholten, and P. Sinha, “Life Cycle Inventories and Life Cycle Assessments of Photovoltaic Systems 2020,” IEA PVPS, Dec. 2020. Accessed: Jul. 26, 2021. [Online]. Available: https://iea-pvps.org/wp-content/uploads/2020/12/IEA-PVPS-LCI-report-2020.pdf</t>
  </si>
  <si>
    <t>3 mm thick, thickness roughly (small variations) used in many technologies (CdTe First Solar 4, CIGS, c-Si/PSC tandem) [64],[65] 5% losses</t>
  </si>
  <si>
    <r>
      <t xml:space="preserve">H. Ritchie and M. Roser, “Energy,” </t>
    </r>
    <r>
      <rPr>
        <i/>
        <sz val="11"/>
        <color theme="1"/>
        <rFont val="Calibri"/>
        <family val="2"/>
        <scheme val="minor"/>
      </rPr>
      <t>Our World in Data</t>
    </r>
    <r>
      <rPr>
        <sz val="11"/>
        <color theme="1"/>
        <rFont val="Calibri"/>
        <family val="2"/>
        <scheme val="minor"/>
      </rPr>
      <t>, Nov. 28, 2020. https://ourworldindata.org/energy-mix (accessed Jul. 29, 2021).</t>
    </r>
  </si>
  <si>
    <r>
      <t xml:space="preserve">K. Bekkelund, “A Comparative Life Cycle Assessment of PV Solar Systems,” </t>
    </r>
    <r>
      <rPr>
        <i/>
        <sz val="11"/>
        <color theme="1"/>
        <rFont val="Calibri"/>
        <family val="2"/>
        <scheme val="minor"/>
      </rPr>
      <t>241</t>
    </r>
    <r>
      <rPr>
        <sz val="11"/>
        <color theme="1"/>
        <rFont val="Calibri"/>
        <family val="2"/>
        <scheme val="minor"/>
      </rPr>
      <t>, 2013, Accessed: Jul. 26, 2021. [Online]. Available: https://ntnuopen.ntnu.no/ntnu-xmlui/handle/11250/235329</t>
    </r>
  </si>
  <si>
    <t>Based on material used for PSMs [617]. Often still tin-lead solder used in thin film (e.g. CdTe) [618], but Pb-free solder assumed here to omit Pb problems. Amount from [69]</t>
  </si>
  <si>
    <t>P. Sihna and L. De Rosa, “Alternatives assessment. Alternaties to SnPb solder for First Solar’s transition from Series 4 to Series 6 manufacturing.” 2019. Accessed: Jul. 26, 201AD. [Online]. Available: https://www.firstsolar.com/en-Emea/-/media/First-Solar/Sustainability-Documents/Alternatives-Assessment-to-SnPb-Solder.ashx</t>
  </si>
  <si>
    <t>C. Bailie, “Metal-halide perovskites: the next evolution in photovoltaics,” Stanford, 2016. [Online]. Available: https://site.ieee.org/scv-sust/files/slides/2016-September-Iris-PV-Perovskites-for-IEEE.pdf</t>
  </si>
  <si>
    <t>Based on material used for PSMs [67]. Often still tin-lead solder used in thin film (e.g. CdTe) [68], but Pb-free solder assumed here to omit Pb problems. Amount from [69]</t>
  </si>
  <si>
    <t>Indium solder. Amount from [69]</t>
  </si>
  <si>
    <t>First Solar, “First solar series 6, module datasheet.” Oct. 2020. [Online]. Available: https://www.firstsolar.com/-/media/First-Solar/Technical-Documents/Series-6-Datasheets/Series-6-Datasheet.ashx?la=en-Emea</t>
  </si>
  <si>
    <t>For bus bar, based on first solar current production of CdTe (Series 6 [70] same as [69])</t>
  </si>
  <si>
    <t>For junction box cables, amount from CdTe used [65]</t>
  </si>
  <si>
    <t>To attach junction box [69]</t>
  </si>
  <si>
    <t>Soldering, welding and attaching junction box to back glass [58]</t>
  </si>
  <si>
    <t>Pilkington, “Surface Coatings.” http://www.pilkington.com/en-gb/uk/architects/glass-information/energycontrolthermalsolarproperties/coatings (accessed Jul. 20, 2021).</t>
  </si>
  <si>
    <t>2 kW machine [72] (88.2 throughput assumed).</t>
  </si>
  <si>
    <t>Tested PSM</t>
  </si>
  <si>
    <t>Machines needed</t>
  </si>
  <si>
    <t>Assuming 2 lines</t>
  </si>
  <si>
    <t>Working and handling (additional space for handling equipment and working space)</t>
  </si>
  <si>
    <t>Machine</t>
  </si>
  <si>
    <t>Amount needed per line</t>
  </si>
  <si>
    <t>Throughput per machiine</t>
  </si>
  <si>
    <t>Height</t>
  </si>
  <si>
    <t>Area per machine</t>
  </si>
  <si>
    <t>Add to width</t>
  </si>
  <si>
    <t>Add to length</t>
  </si>
  <si>
    <t>Total Area including working space/handling</t>
  </si>
  <si>
    <t>Line total length 105m, assumed to consist of three parallel segments of 35m</t>
  </si>
  <si>
    <t>#</t>
  </si>
  <si>
    <t>m2/hour</t>
  </si>
  <si>
    <t>On outer most machines, an extra width and length (one side) of 3m is assumed --&gt; one segment of 35m total has this for width, all equipment next to the wall has this for length</t>
  </si>
  <si>
    <t>Glass washing</t>
  </si>
  <si>
    <t>Between parallel equipment in a cluster, 4m (2m on each side of equipment)</t>
  </si>
  <si>
    <t>TiO2 sputtering</t>
  </si>
  <si>
    <t>Between "series" connected equipment, 4m is assumed (2m on each side) for handling equipment (e.g. conveyor belts that connects them, where modules can also wait and rest between stages)</t>
  </si>
  <si>
    <t>Screen printer</t>
  </si>
  <si>
    <t>Slot die coater</t>
  </si>
  <si>
    <t>Conveyor oven, m-TiO2</t>
  </si>
  <si>
    <t>Conveyor oven, perovskite &amp; carbon</t>
  </si>
  <si>
    <t>Lamination machine</t>
  </si>
  <si>
    <t>Bus bar attach</t>
  </si>
  <si>
    <t>J-box attach</t>
  </si>
  <si>
    <t>Packing</t>
  </si>
  <si>
    <t>Total net manufacturing area</t>
  </si>
  <si>
    <t>Total gross manufacturing area per line</t>
  </si>
  <si>
    <t>Total gross manufacturing area(2 lines)</t>
  </si>
  <si>
    <t>Support area</t>
  </si>
  <si>
    <t>Logistics area</t>
  </si>
  <si>
    <t>Facility area</t>
  </si>
  <si>
    <t>Administration area</t>
  </si>
  <si>
    <t>Total building area</t>
  </si>
  <si>
    <t>Area</t>
  </si>
  <si>
    <t>Wh/m2/h</t>
  </si>
  <si>
    <t>Heating, ventilation and airconditioning</t>
  </si>
  <si>
    <t>Gross manufacturing area</t>
  </si>
  <si>
    <t>Support, logistic, administration and facility areas</t>
  </si>
  <si>
    <t>Lighting etc.</t>
  </si>
  <si>
    <t>For FTO glass and back sheet washing</t>
  </si>
  <si>
    <t>10% of gross [308]</t>
  </si>
  <si>
    <t>15% of gross [308]</t>
  </si>
  <si>
    <t xml:space="preserve">Throughput Based on 30 nm TiO2, can be up to 10 times faster on industrial machine </t>
  </si>
  <si>
    <t>Electricity use [53]</t>
  </si>
  <si>
    <t>(Rough) Assumptions, based on[53]</t>
  </si>
  <si>
    <t>Double glazing equpiment, “Automatic industrial glass washing machines , PLC flat glass washer.” https://www.doubleglazingequipment.com/sale-8617250-automatic-industrial-glass-washing-machines-plc-flat-glass-washer.html (accessed Jul. 25, 2021).</t>
  </si>
  <si>
    <t>[73]</t>
  </si>
  <si>
    <t>(T.Kroyer, personal communication, April 9, 2021) &amp; [53]</t>
  </si>
  <si>
    <r>
      <t xml:space="preserve">Z. Li </t>
    </r>
    <r>
      <rPr>
        <i/>
        <sz val="11"/>
        <color theme="1"/>
        <rFont val="Calibri"/>
        <family val="2"/>
        <scheme val="minor"/>
      </rPr>
      <t>et al.</t>
    </r>
    <r>
      <rPr>
        <sz val="11"/>
        <color theme="1"/>
        <rFont val="Calibri"/>
        <family val="2"/>
        <scheme val="minor"/>
      </rPr>
      <t xml:space="preserve">, “Cost Analysis of Perovskite Tandem Photovoltaics,” </t>
    </r>
    <r>
      <rPr>
        <i/>
        <sz val="11"/>
        <color theme="1"/>
        <rFont val="Calibri"/>
        <family val="2"/>
        <scheme val="minor"/>
      </rPr>
      <t>Joule</t>
    </r>
    <r>
      <rPr>
        <sz val="11"/>
        <color theme="1"/>
        <rFont val="Calibri"/>
        <family val="2"/>
        <scheme val="minor"/>
      </rPr>
      <t>, vol. 2, no. 8, pp. 1559–1572, Aug. 2018, doi: 10.1016/j.joule.2018.05.001.</t>
    </r>
  </si>
  <si>
    <r>
      <t xml:space="preserve">Z. Song </t>
    </r>
    <r>
      <rPr>
        <i/>
        <sz val="11"/>
        <color theme="1"/>
        <rFont val="Calibri"/>
        <family val="2"/>
        <scheme val="minor"/>
      </rPr>
      <t>et al.</t>
    </r>
    <r>
      <rPr>
        <sz val="11"/>
        <color theme="1"/>
        <rFont val="Calibri"/>
        <family val="2"/>
        <scheme val="minor"/>
      </rPr>
      <t xml:space="preserve">, “A technoeconomic analysis of perovskite solar module manufacturing with low-cost materials and techniques,” </t>
    </r>
    <r>
      <rPr>
        <i/>
        <sz val="11"/>
        <color theme="1"/>
        <rFont val="Calibri"/>
        <family val="2"/>
        <scheme val="minor"/>
      </rPr>
      <t>Energy Environ. Sci.</t>
    </r>
    <r>
      <rPr>
        <sz val="11"/>
        <color theme="1"/>
        <rFont val="Calibri"/>
        <family val="2"/>
        <scheme val="minor"/>
      </rPr>
      <t>, vol. 10, no. 6, pp. 1297–1305, Jun. 2017, doi: 10.1039/C7EE00757D.</t>
    </r>
  </si>
  <si>
    <t>[74],[75]</t>
  </si>
  <si>
    <t>[53]</t>
  </si>
  <si>
    <r>
      <t xml:space="preserve">N. Espinosa, M. Hösel, D. Angmo, and F. C. Krebs, “Solar cells with one-day energy payback for the factories of the future,” </t>
    </r>
    <r>
      <rPr>
        <i/>
        <sz val="11"/>
        <color theme="1"/>
        <rFont val="Calibri"/>
        <family val="2"/>
        <scheme val="minor"/>
      </rPr>
      <t>Energy Environ. Sci.</t>
    </r>
    <r>
      <rPr>
        <sz val="11"/>
        <color theme="1"/>
        <rFont val="Calibri"/>
        <family val="2"/>
        <scheme val="minor"/>
      </rPr>
      <t>, vol. 5, no. 1, pp. 5117–5132, Jan. 2012, doi: 10.1039/C1EE02728J.</t>
    </r>
  </si>
  <si>
    <t>Throughput from [76]</t>
  </si>
  <si>
    <t>Size based on blade coater from [75]</t>
  </si>
  <si>
    <r>
      <t xml:space="preserve">Ecoprogretti, “ECOLAM MAX 10 DS - Laminators | ECOPROGETTI - Specialist in photovoltaic production process,” </t>
    </r>
    <r>
      <rPr>
        <i/>
        <sz val="11"/>
        <color theme="1"/>
        <rFont val="Calibri"/>
        <family val="2"/>
        <scheme val="minor"/>
      </rPr>
      <t>Ecoprogetti | Specialist in Photovoltaic Production Process</t>
    </r>
    <r>
      <rPr>
        <sz val="11"/>
        <color theme="1"/>
        <rFont val="Calibri"/>
        <family val="2"/>
        <scheme val="minor"/>
      </rPr>
      <t>. https://ecoprogetti.com/product/ecolam-max-10ds/ (accessed Jul. 26, 2021).</t>
    </r>
  </si>
  <si>
    <t>[77]</t>
  </si>
  <si>
    <t>Scaled down from [77]</t>
  </si>
  <si>
    <t>M. Redlinger, M. Lokanc, R. Eggert, M. Woodhouse, and A. Goodrich, “The present, mid-term, and long-term supply curves for tellurium; and Updates in the results from NREL’s CdTe PV module manufacturing cost model,” Sep. 30, 2013. [Online]. Available: https://www.nrel.gov/docs/fy13osti/60430.pdf</t>
  </si>
  <si>
    <t>[78] throughput, [79] dimensions</t>
  </si>
  <si>
    <t>[78] throughput and dimensions</t>
  </si>
  <si>
    <t>Add 4 m width and length to total  [53]</t>
  </si>
  <si>
    <r>
      <t xml:space="preserve">A. Ibrahim, “An experimental study on using diethyl ether in a diesel engine operated with diesel-biodiesel fuel blend,” </t>
    </r>
    <r>
      <rPr>
        <i/>
        <sz val="11"/>
        <color theme="1"/>
        <rFont val="Calibri"/>
        <family val="2"/>
        <scheme val="minor"/>
      </rPr>
      <t>Eng. Sci. Technol. Int. J.</t>
    </r>
    <r>
      <rPr>
        <sz val="11"/>
        <color theme="1"/>
        <rFont val="Calibri"/>
        <family val="2"/>
        <scheme val="minor"/>
      </rPr>
      <t>, vol. 21, no. 5, pp. 1024–1033, Oct. 2018, doi: 10.1016/j.jestch.2018.07.004.</t>
    </r>
  </si>
  <si>
    <r>
      <t xml:space="preserve">S. McAllister, J.-Y. Chen, and A. C. Fernandez-Pello, </t>
    </r>
    <r>
      <rPr>
        <i/>
        <sz val="11"/>
        <color theme="1"/>
        <rFont val="Calibri"/>
        <family val="2"/>
        <scheme val="minor"/>
      </rPr>
      <t>Fundamentals of Combustion Processes</t>
    </r>
    <r>
      <rPr>
        <sz val="11"/>
        <color theme="1"/>
        <rFont val="Calibri"/>
        <family val="2"/>
        <scheme val="minor"/>
      </rPr>
      <t>. New York: Springer-Verlag, 2011. doi: 10.1007/978-1-4419-7943-8.</t>
    </r>
  </si>
  <si>
    <r>
      <t xml:space="preserve">A. (ORCID:0000000159823464) Ahmed </t>
    </r>
    <r>
      <rPr>
        <i/>
        <sz val="11"/>
        <color theme="1"/>
        <rFont val="Calibri"/>
        <family val="2"/>
        <scheme val="minor"/>
      </rPr>
      <t>et al.</t>
    </r>
    <r>
      <rPr>
        <sz val="11"/>
        <color theme="1"/>
        <rFont val="Calibri"/>
        <family val="2"/>
        <scheme val="minor"/>
      </rPr>
      <t xml:space="preserve">, “Small ester combustion chemistry: Computational kinetics and experimental study of methyl acetate and ethyl acetate,” </t>
    </r>
    <r>
      <rPr>
        <i/>
        <sz val="11"/>
        <color theme="1"/>
        <rFont val="Calibri"/>
        <family val="2"/>
        <scheme val="minor"/>
      </rPr>
      <t>Proc. Combust. Inst.</t>
    </r>
    <r>
      <rPr>
        <sz val="11"/>
        <color theme="1"/>
        <rFont val="Calibri"/>
        <family val="2"/>
        <scheme val="minor"/>
      </rPr>
      <t>, vol. 37, no. 1, Art. no. NREL/JA-2700-72197, Jul. 2018, doi: 10.1016/j.proci.2018.06.178.</t>
    </r>
  </si>
  <si>
    <t>[80]</t>
  </si>
  <si>
    <t>[81]</t>
  </si>
  <si>
    <t>[82]</t>
  </si>
  <si>
    <t>Roth &amp; Rau, “Roth &amp; Rau Calipso. Flexible heat treatment furnace.” Accessed: Jul. 24, 2021. [Online]. Available: https://www.lagerwerk.com/media/pdf/55/d1/a5/Produktblatt_CALiPSO.pdf</t>
  </si>
  <si>
    <t>[83]</t>
  </si>
  <si>
    <t>[84]</t>
  </si>
  <si>
    <t>6,5 l/m</t>
  </si>
  <si>
    <t>[76]</t>
  </si>
  <si>
    <r>
      <t xml:space="preserve">N. L. Chang, A. W. Y. Ho-Baillie, P. A. Basore, T. L. Young, R. Evans, and R. J. Egan, “A manufacturing cost estimation method with uncertainty analysis and its application to perovskite on glass photovoltaic modules,” </t>
    </r>
    <r>
      <rPr>
        <i/>
        <sz val="11"/>
        <color theme="1"/>
        <rFont val="Calibri"/>
        <family val="2"/>
        <scheme val="minor"/>
      </rPr>
      <t>Prog. Photovolt. Res. Appl.</t>
    </r>
    <r>
      <rPr>
        <sz val="11"/>
        <color theme="1"/>
        <rFont val="Calibri"/>
        <family val="2"/>
        <scheme val="minor"/>
      </rPr>
      <t>, vol. 25, no. 5, Art. no. 5, 2017, doi: 10.1002/pip.2871.</t>
    </r>
  </si>
  <si>
    <t>[85]</t>
  </si>
  <si>
    <t>[75]</t>
  </si>
  <si>
    <t>[86]</t>
  </si>
  <si>
    <t>[11]</t>
  </si>
  <si>
    <t>Gendorf, “Umwelterklärung 2017,” Gendorf, Burgkirchen, May 2017. [Online]. Available: https://www.gendorf.de/-/media/Internet/chemiepark_gendorf_de/Downloads/Nachbarschaft/Umwelterklaerung_2017_final.ashx?la=de-DE</t>
  </si>
  <si>
    <t>[87]</t>
  </si>
  <si>
    <t>DOEBTO, “Energy savings potential and R&amp;D opportunities for Non-Vapor-Compression HVAC technologies,” U.S. Department of Energy Building Technology Office, Burlington, Mar. 2014. [Online]. Available: https://www.energy.gov/sites/prod/files/2014/03/f12/Non-Vapor%20Compression%20HVAC%20Report.pdf</t>
  </si>
  <si>
    <t>[88]</t>
  </si>
  <si>
    <r>
      <t xml:space="preserve">J. Xu, J. Zhang, and K. Kuang, </t>
    </r>
    <r>
      <rPr>
        <i/>
        <sz val="11"/>
        <color theme="1"/>
        <rFont val="Calibri"/>
        <family val="2"/>
        <scheme val="minor"/>
      </rPr>
      <t>Conveyor Belt Furnace Thermal Processing</t>
    </r>
    <r>
      <rPr>
        <sz val="11"/>
        <color theme="1"/>
        <rFont val="Calibri"/>
        <family val="2"/>
        <scheme val="minor"/>
      </rPr>
      <t>. Cham: Springer International Publishing, 2018. doi: 10.1007/978-3-319-69730-7.</t>
    </r>
  </si>
  <si>
    <t>[89]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</si>
</sst>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
  </numFmts>
  <fonts count="23">
    <font>
      <sz val="11"/>
      <color theme="1"/>
      <name val="Calibri"/>
      <family val="2"/>
      <scheme val="minor"/>
    </font>
    <font>
      <b/>
      <sz val="11"/>
      <color theme="1"/>
      <name val="Calibri"/>
      <family val="2"/>
      <scheme val="minor"/>
    </font>
    <font>
      <sz val="10"/>
      <color theme="1"/>
      <name val="Calibri"/>
      <family val="2"/>
      <scheme val="minor"/>
    </font>
    <font>
      <sz val="11"/>
      <color theme="1"/>
      <name val="Calibri"/>
      <family val="2"/>
      <scheme val="minor"/>
    </font>
    <font>
      <u/>
      <sz val="11"/>
      <color theme="10"/>
      <name val="Calibri"/>
      <family val="2"/>
      <scheme val="minor"/>
    </font>
    <font>
      <sz val="8"/>
      <color rgb="FF444444"/>
      <name val="Open Sans"/>
      <family val="2"/>
    </font>
    <font>
      <sz val="12"/>
      <color rgb="FFBABABA"/>
      <name val="FontAwesome"/>
    </font>
    <font>
      <sz val="11"/>
      <color theme="1"/>
      <name val="Calibri"/>
      <family val="2"/>
      <charset val="1"/>
    </font>
    <font>
      <b/>
      <sz val="11"/>
      <color theme="1"/>
      <name val="Calibri"/>
      <family val="2"/>
      <charset val="1"/>
    </font>
    <font>
      <b/>
      <sz val="11"/>
      <color rgb="FF000000"/>
      <name val="Calibri"/>
      <family val="2"/>
    </font>
    <font>
      <sz val="11"/>
      <color rgb="FF000000"/>
      <name val="Calibri"/>
      <family val="2"/>
    </font>
    <font>
      <vertAlign val="subscript"/>
      <sz val="11"/>
      <color theme="1"/>
      <name val="Calibri"/>
      <family val="2"/>
      <scheme val="minor"/>
    </font>
    <font>
      <b/>
      <sz val="11"/>
      <color rgb="FF000000"/>
      <name val="Calibri"/>
      <family val="2"/>
      <scheme val="minor"/>
    </font>
    <font>
      <sz val="11"/>
      <color rgb="FF000000"/>
      <name val="Calibri"/>
      <family val="2"/>
      <scheme val="minor"/>
    </font>
    <font>
      <i/>
      <sz val="10"/>
      <color theme="1"/>
      <name val="Calibri"/>
      <family val="2"/>
      <scheme val="minor"/>
    </font>
    <font>
      <b/>
      <vertAlign val="superscript"/>
      <sz val="11"/>
      <color theme="1"/>
      <name val="Calibri"/>
      <family val="2"/>
      <scheme val="minor"/>
    </font>
    <font>
      <vertAlign val="superscript"/>
      <sz val="11"/>
      <color theme="1"/>
      <name val="Calibri"/>
      <family val="2"/>
      <scheme val="minor"/>
    </font>
    <font>
      <sz val="9"/>
      <color indexed="81"/>
      <name val="Tahoma"/>
      <family val="2"/>
    </font>
    <font>
      <b/>
      <sz val="9"/>
      <color indexed="81"/>
      <name val="Tahoma"/>
      <family val="2"/>
    </font>
    <font>
      <i/>
      <sz val="11"/>
      <color theme="1"/>
      <name val="Calibri"/>
      <family val="2"/>
      <scheme val="minor"/>
    </font>
    <font>
      <sz val="11"/>
      <color theme="1"/>
      <name val="MS Gothic"/>
      <family val="3"/>
    </font>
    <font>
      <sz val="11"/>
      <color theme="1"/>
      <name val="Microsoft JhengHei"/>
      <family val="2"/>
    </font>
    <font>
      <sz val="11"/>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4" tint="0.79998168889431442"/>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9" fontId="3" fillId="0" borderId="0" applyFont="0" applyFill="0" applyBorder="0" applyAlignment="0" applyProtection="0"/>
    <xf numFmtId="0" fontId="4" fillId="0" borderId="0" applyNumberFormat="0" applyFill="0" applyBorder="0" applyAlignment="0" applyProtection="0"/>
  </cellStyleXfs>
  <cellXfs count="145">
    <xf numFmtId="0" fontId="0" fillId="0" borderId="0" xfId="0"/>
    <xf numFmtId="0" fontId="0" fillId="0" borderId="6" xfId="0" applyBorder="1"/>
    <xf numFmtId="0" fontId="0" fillId="0" borderId="4" xfId="0" applyBorder="1"/>
    <xf numFmtId="0" fontId="1" fillId="0" borderId="0" xfId="0" applyFont="1"/>
    <xf numFmtId="0" fontId="1" fillId="0" borderId="7" xfId="0" applyFont="1" applyBorder="1"/>
    <xf numFmtId="0" fontId="1" fillId="0" borderId="8" xfId="0" applyFont="1" applyBorder="1"/>
    <xf numFmtId="0" fontId="0" fillId="0" borderId="10" xfId="0" applyBorder="1"/>
    <xf numFmtId="0" fontId="0" fillId="0" borderId="11" xfId="0" applyBorder="1"/>
    <xf numFmtId="0" fontId="0" fillId="0" borderId="5" xfId="0" applyBorder="1"/>
    <xf numFmtId="2" fontId="0" fillId="0" borderId="6" xfId="0" applyNumberFormat="1" applyBorder="1"/>
    <xf numFmtId="0" fontId="0" fillId="0" borderId="9" xfId="0" applyBorder="1"/>
    <xf numFmtId="0" fontId="0" fillId="0" borderId="12" xfId="0" applyBorder="1"/>
    <xf numFmtId="0" fontId="0" fillId="0" borderId="13" xfId="0" applyBorder="1"/>
    <xf numFmtId="0" fontId="1" fillId="0" borderId="10" xfId="0" applyFont="1" applyBorder="1"/>
    <xf numFmtId="11" fontId="0" fillId="0" borderId="6" xfId="0" applyNumberFormat="1" applyBorder="1"/>
    <xf numFmtId="0" fontId="1" fillId="0" borderId="12" xfId="0" applyFont="1" applyBorder="1"/>
    <xf numFmtId="0" fontId="1" fillId="0" borderId="11" xfId="0" applyFont="1" applyBorder="1"/>
    <xf numFmtId="0" fontId="0" fillId="0" borderId="2" xfId="0" applyBorder="1"/>
    <xf numFmtId="0" fontId="0" fillId="0" borderId="3" xfId="0" applyBorder="1"/>
    <xf numFmtId="0" fontId="1" fillId="0" borderId="5" xfId="0" applyFont="1" applyBorder="1"/>
    <xf numFmtId="0" fontId="10" fillId="0" borderId="0" xfId="0" applyFont="1" applyFill="1" applyBorder="1" applyAlignment="1"/>
    <xf numFmtId="0" fontId="10" fillId="0" borderId="10" xfId="0" applyFont="1" applyFill="1" applyBorder="1" applyAlignment="1"/>
    <xf numFmtId="0" fontId="9" fillId="0" borderId="5" xfId="0" applyFont="1" applyFill="1" applyBorder="1" applyAlignment="1"/>
    <xf numFmtId="0" fontId="10" fillId="0" borderId="6" xfId="0" quotePrefix="1" applyFont="1" applyFill="1" applyBorder="1" applyAlignment="1"/>
    <xf numFmtId="0" fontId="0" fillId="0" borderId="0" xfId="0" applyFill="1" applyBorder="1"/>
    <xf numFmtId="0" fontId="1" fillId="0" borderId="0" xfId="0" applyFont="1" applyFill="1"/>
    <xf numFmtId="0" fontId="0" fillId="0" borderId="0" xfId="0" applyFill="1"/>
    <xf numFmtId="0" fontId="0" fillId="0" borderId="0" xfId="0" applyBorder="1"/>
    <xf numFmtId="0" fontId="1" fillId="0" borderId="0" xfId="0" applyFont="1" applyBorder="1"/>
    <xf numFmtId="0" fontId="0" fillId="0" borderId="0" xfId="0" applyFont="1" applyBorder="1"/>
    <xf numFmtId="0" fontId="0" fillId="3" borderId="0" xfId="0" applyFill="1"/>
    <xf numFmtId="0" fontId="1" fillId="3" borderId="0" xfId="0" applyFont="1" applyFill="1"/>
    <xf numFmtId="0" fontId="1" fillId="0" borderId="0" xfId="0" applyFont="1" applyBorder="1" applyAlignment="1"/>
    <xf numFmtId="0" fontId="1" fillId="0" borderId="9" xfId="0" applyFont="1" applyFill="1" applyBorder="1"/>
    <xf numFmtId="0" fontId="0" fillId="0" borderId="12" xfId="0" applyFill="1" applyBorder="1"/>
    <xf numFmtId="2" fontId="0" fillId="0" borderId="0" xfId="0" applyNumberFormat="1" applyBorder="1"/>
    <xf numFmtId="3" fontId="0" fillId="0" borderId="0" xfId="0" applyNumberFormat="1" applyBorder="1"/>
    <xf numFmtId="0" fontId="0" fillId="0" borderId="2" xfId="0" applyFill="1" applyBorder="1"/>
    <xf numFmtId="11" fontId="0" fillId="0" borderId="0" xfId="0" applyNumberFormat="1" applyBorder="1"/>
    <xf numFmtId="0" fontId="12" fillId="0" borderId="11" xfId="0" applyFont="1" applyBorder="1"/>
    <xf numFmtId="16" fontId="0" fillId="0" borderId="0" xfId="0" applyNumberFormat="1" applyBorder="1"/>
    <xf numFmtId="17" fontId="0" fillId="0" borderId="0" xfId="0" applyNumberFormat="1" applyBorder="1"/>
    <xf numFmtId="9" fontId="0" fillId="0" borderId="0" xfId="1" applyFont="1" applyBorder="1"/>
    <xf numFmtId="0" fontId="4" fillId="0" borderId="0" xfId="2" applyBorder="1"/>
    <xf numFmtId="0" fontId="1" fillId="0" borderId="12" xfId="0" applyFont="1" applyBorder="1" applyAlignment="1">
      <alignment horizontal="center"/>
    </xf>
    <xf numFmtId="0" fontId="0" fillId="0" borderId="0" xfId="0" applyBorder="1" applyAlignment="1">
      <alignment horizontal="center"/>
    </xf>
    <xf numFmtId="0" fontId="5" fillId="0" borderId="0" xfId="0" applyFont="1" applyFill="1" applyBorder="1" applyAlignment="1">
      <alignment horizontal="center" vertical="center" wrapText="1"/>
    </xf>
    <xf numFmtId="17" fontId="5"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5" fillId="0" borderId="0" xfId="0" applyFont="1" applyFill="1" applyBorder="1" applyAlignment="1">
      <alignment vertical="center" wrapText="1"/>
    </xf>
    <xf numFmtId="0" fontId="1" fillId="0" borderId="9" xfId="0" applyFont="1" applyBorder="1"/>
    <xf numFmtId="0" fontId="9" fillId="0" borderId="10" xfId="0" applyFont="1" applyFill="1" applyBorder="1" applyAlignment="1"/>
    <xf numFmtId="0" fontId="1" fillId="0" borderId="0" xfId="0" applyFont="1" applyFill="1" applyBorder="1"/>
    <xf numFmtId="0" fontId="1" fillId="6" borderId="0" xfId="0" applyFont="1" applyFill="1"/>
    <xf numFmtId="0" fontId="0" fillId="6" borderId="0" xfId="0" applyFill="1"/>
    <xf numFmtId="0" fontId="0" fillId="6" borderId="0" xfId="0" applyFill="1" applyBorder="1"/>
    <xf numFmtId="0" fontId="1" fillId="7" borderId="0" xfId="0" applyFont="1" applyFill="1" applyBorder="1"/>
    <xf numFmtId="0" fontId="0" fillId="0" borderId="11" xfId="0" applyFill="1" applyBorder="1"/>
    <xf numFmtId="0" fontId="0" fillId="0" borderId="6" xfId="0" applyFill="1" applyBorder="1"/>
    <xf numFmtId="0" fontId="0" fillId="0" borderId="4" xfId="0" applyFill="1" applyBorder="1"/>
    <xf numFmtId="0" fontId="0" fillId="0" borderId="13" xfId="0" applyFill="1" applyBorder="1"/>
    <xf numFmtId="0" fontId="5" fillId="0" borderId="12" xfId="0" applyFont="1" applyFill="1" applyBorder="1" applyAlignment="1">
      <alignment horizontal="center" vertical="center" wrapText="1"/>
    </xf>
    <xf numFmtId="0" fontId="5" fillId="0" borderId="12" xfId="0" applyFont="1" applyFill="1" applyBorder="1" applyAlignment="1">
      <alignment vertical="center" wrapText="1"/>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6" fillId="0" borderId="12" xfId="0" applyFont="1" applyFill="1" applyBorder="1" applyAlignment="1">
      <alignment vertical="center" wrapText="1"/>
    </xf>
    <xf numFmtId="0" fontId="0" fillId="0" borderId="12" xfId="0" applyBorder="1" applyAlignment="1">
      <alignment horizontal="center"/>
    </xf>
    <xf numFmtId="0" fontId="0" fillId="0" borderId="13" xfId="0" applyBorder="1" applyAlignment="1">
      <alignment horizontal="center"/>
    </xf>
    <xf numFmtId="0" fontId="0" fillId="0" borderId="11" xfId="0" applyFont="1" applyBorder="1"/>
    <xf numFmtId="0" fontId="1" fillId="0" borderId="5" xfId="0" applyFont="1" applyFill="1" applyBorder="1"/>
    <xf numFmtId="0" fontId="1" fillId="0" borderId="13" xfId="0" applyFont="1" applyBorder="1"/>
    <xf numFmtId="0" fontId="1" fillId="0" borderId="6" xfId="0" applyFont="1" applyBorder="1" applyAlignment="1">
      <alignment horizontal="center" vertical="center"/>
    </xf>
    <xf numFmtId="0" fontId="1" fillId="8" borderId="0" xfId="0" applyFont="1" applyFill="1" applyBorder="1"/>
    <xf numFmtId="0" fontId="0" fillId="0" borderId="10" xfId="0" applyBorder="1" applyAlignment="1">
      <alignment horizontal="center" wrapText="1"/>
    </xf>
    <xf numFmtId="0" fontId="0" fillId="0" borderId="10" xfId="0" applyBorder="1" applyAlignment="1">
      <alignment horizontal="center"/>
    </xf>
    <xf numFmtId="9" fontId="0" fillId="0" borderId="11" xfId="1" applyFont="1" applyBorder="1"/>
    <xf numFmtId="0" fontId="0" fillId="0" borderId="5" xfId="0" applyFont="1" applyBorder="1"/>
    <xf numFmtId="0" fontId="1" fillId="0" borderId="12" xfId="0" applyFont="1" applyFill="1" applyBorder="1"/>
    <xf numFmtId="0" fontId="1" fillId="0" borderId="10" xfId="0" applyFont="1" applyFill="1" applyBorder="1"/>
    <xf numFmtId="9" fontId="0" fillId="0" borderId="11" xfId="0" applyNumberFormat="1" applyBorder="1"/>
    <xf numFmtId="9" fontId="0" fillId="0" borderId="4" xfId="0" applyNumberFormat="1" applyBorder="1"/>
    <xf numFmtId="0" fontId="0" fillId="0" borderId="10" xfId="0" applyFont="1" applyBorder="1"/>
    <xf numFmtId="0" fontId="2" fillId="0" borderId="12" xfId="0" applyFont="1" applyBorder="1"/>
    <xf numFmtId="0" fontId="7" fillId="0" borderId="13" xfId="0" applyFont="1" applyBorder="1"/>
    <xf numFmtId="0" fontId="10" fillId="0" borderId="6" xfId="0" applyFont="1" applyFill="1" applyBorder="1" applyAlignment="1"/>
    <xf numFmtId="0" fontId="0" fillId="0" borderId="11" xfId="0" applyBorder="1" applyAlignment="1">
      <alignment horizontal="left" vertical="center"/>
    </xf>
    <xf numFmtId="164" fontId="0" fillId="0" borderId="0" xfId="0" applyNumberFormat="1" applyBorder="1"/>
    <xf numFmtId="0" fontId="13" fillId="0" borderId="12" xfId="0" applyFont="1" applyBorder="1"/>
    <xf numFmtId="0" fontId="14" fillId="0" borderId="13" xfId="0" applyFont="1" applyBorder="1"/>
    <xf numFmtId="165" fontId="0" fillId="0" borderId="0" xfId="0" applyNumberFormat="1" applyBorder="1"/>
    <xf numFmtId="0" fontId="0" fillId="0" borderId="5" xfId="0" applyBorder="1" applyAlignment="1">
      <alignment horizontal="center" vertical="center"/>
    </xf>
    <xf numFmtId="0" fontId="0" fillId="0" borderId="6" xfId="0" applyBorder="1" applyAlignment="1">
      <alignment horizontal="center" vertical="center"/>
    </xf>
    <xf numFmtId="0" fontId="0" fillId="0" borderId="6" xfId="0" applyFill="1" applyBorder="1" applyAlignment="1">
      <alignment horizontal="center" vertical="center"/>
    </xf>
    <xf numFmtId="0" fontId="0" fillId="0" borderId="0" xfId="0" applyBorder="1" applyAlignment="1">
      <alignment horizontal="left" vertical="center"/>
    </xf>
    <xf numFmtId="0" fontId="0" fillId="0" borderId="0" xfId="0" quotePrefix="1" applyBorder="1"/>
    <xf numFmtId="0" fontId="0" fillId="0" borderId="0" xfId="0" applyBorder="1" applyAlignment="1">
      <alignment horizontal="left" vertical="top"/>
    </xf>
    <xf numFmtId="0" fontId="1" fillId="0" borderId="0" xfId="0" applyFont="1" applyBorder="1" applyAlignment="1">
      <alignment vertical="center"/>
    </xf>
    <xf numFmtId="0" fontId="0" fillId="9" borderId="0" xfId="0" applyFill="1"/>
    <xf numFmtId="0" fontId="1" fillId="9" borderId="0" xfId="0" applyFont="1" applyFill="1"/>
    <xf numFmtId="0" fontId="1" fillId="10" borderId="0" xfId="0" applyFont="1" applyFill="1"/>
    <xf numFmtId="0" fontId="0" fillId="10" borderId="0" xfId="0" applyFill="1"/>
    <xf numFmtId="0" fontId="0" fillId="0" borderId="0" xfId="0" applyAlignment="1">
      <alignment vertical="center"/>
    </xf>
    <xf numFmtId="0" fontId="0" fillId="0" borderId="12" xfId="0" applyFont="1" applyBorder="1"/>
    <xf numFmtId="0" fontId="0" fillId="0" borderId="11" xfId="0" applyBorder="1" applyAlignment="1">
      <alignment horizontal="left" vertical="top"/>
    </xf>
    <xf numFmtId="0" fontId="0" fillId="0" borderId="11" xfId="0" applyBorder="1" applyAlignment="1">
      <alignment horizontal="left"/>
    </xf>
    <xf numFmtId="0" fontId="20" fillId="0" borderId="0" xfId="0" applyFont="1"/>
    <xf numFmtId="0" fontId="22" fillId="0" borderId="12" xfId="2" applyFont="1" applyBorder="1"/>
    <xf numFmtId="0" fontId="0" fillId="0" borderId="0" xfId="0" applyFont="1" applyBorder="1" applyAlignment="1"/>
    <xf numFmtId="0" fontId="1" fillId="11" borderId="0" xfId="0" applyFont="1" applyFill="1"/>
    <xf numFmtId="0" fontId="0" fillId="11" borderId="0" xfId="0" applyFill="1"/>
    <xf numFmtId="0" fontId="1" fillId="2" borderId="0" xfId="0" applyFont="1" applyFill="1"/>
    <xf numFmtId="0" fontId="0" fillId="2" borderId="0" xfId="0" applyFill="1"/>
    <xf numFmtId="0" fontId="1" fillId="0" borderId="1" xfId="0" applyFont="1" applyBorder="1"/>
    <xf numFmtId="0" fontId="1" fillId="5" borderId="0" xfId="0" applyFont="1" applyFill="1"/>
    <xf numFmtId="0" fontId="0" fillId="5" borderId="0" xfId="0" applyFill="1"/>
    <xf numFmtId="0" fontId="1" fillId="0" borderId="10" xfId="0" applyFont="1" applyBorder="1" applyAlignment="1">
      <alignment horizontal="center"/>
    </xf>
    <xf numFmtId="0" fontId="1" fillId="0" borderId="0" xfId="0" applyFont="1" applyBorder="1" applyAlignment="1">
      <alignment horizontal="center"/>
    </xf>
    <xf numFmtId="0" fontId="1" fillId="0" borderId="9" xfId="0" applyFont="1" applyBorder="1" applyAlignment="1">
      <alignment horizontal="center"/>
    </xf>
    <xf numFmtId="0" fontId="1" fillId="0" borderId="12" xfId="0" applyFont="1" applyBorder="1" applyAlignment="1">
      <alignment horizontal="center"/>
    </xf>
    <xf numFmtId="0" fontId="12" fillId="0" borderId="9" xfId="0" applyFont="1" applyBorder="1" applyAlignment="1">
      <alignment horizontal="center"/>
    </xf>
    <xf numFmtId="0" fontId="12" fillId="0" borderId="12" xfId="0" applyFont="1" applyBorder="1" applyAlignment="1">
      <alignment horizont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0" fontId="8" fillId="0" borderId="9" xfId="0" applyFont="1" applyBorder="1" applyAlignment="1">
      <alignment horizontal="center"/>
    </xf>
    <xf numFmtId="0" fontId="8" fillId="0" borderId="12" xfId="0" applyFont="1" applyBorder="1" applyAlignment="1">
      <alignment horizontal="center"/>
    </xf>
    <xf numFmtId="0" fontId="1" fillId="0" borderId="9" xfId="0" applyFont="1" applyFill="1" applyBorder="1" applyAlignment="1">
      <alignment horizontal="center"/>
    </xf>
    <xf numFmtId="0" fontId="1" fillId="0" borderId="12" xfId="0" applyFont="1" applyFill="1" applyBorder="1" applyAlignment="1">
      <alignment horizont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xf>
    <xf numFmtId="0" fontId="1" fillId="0" borderId="10" xfId="0" applyFont="1" applyBorder="1" applyAlignment="1">
      <alignment horizont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2" borderId="0" xfId="0" applyFont="1" applyFill="1" applyBorder="1" applyAlignment="1">
      <alignment horizontal="center"/>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Border="1" applyAlignment="1">
      <alignment horizontal="center"/>
    </xf>
    <xf numFmtId="0" fontId="1" fillId="0" borderId="0" xfId="0" applyFont="1" applyBorder="1" applyAlignment="1">
      <alignment horizontal="center" vertical="center" wrapText="1"/>
    </xf>
    <xf numFmtId="0" fontId="1" fillId="0" borderId="6" xfId="0" applyFont="1" applyBorder="1" applyAlignment="1">
      <alignment horizontal="center" vertical="center"/>
    </xf>
    <xf numFmtId="0" fontId="1" fillId="4" borderId="12" xfId="0" applyFont="1" applyFill="1" applyBorder="1" applyAlignment="1">
      <alignment horizontal="center"/>
    </xf>
    <xf numFmtId="0" fontId="1" fillId="5" borderId="12" xfId="0" applyFont="1" applyFill="1" applyBorder="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24</xdr:col>
      <xdr:colOff>441960</xdr:colOff>
      <xdr:row>26</xdr:row>
      <xdr:rowOff>137160</xdr:rowOff>
    </xdr:from>
    <xdr:to>
      <xdr:col>34</xdr:col>
      <xdr:colOff>274320</xdr:colOff>
      <xdr:row>54</xdr:row>
      <xdr:rowOff>88900</xdr:rowOff>
    </xdr:to>
    <xdr:pic>
      <xdr:nvPicPr>
        <xdr:cNvPr id="3" name="Picture 2">
          <a:extLst>
            <a:ext uri="{FF2B5EF4-FFF2-40B4-BE49-F238E27FC236}">
              <a16:creationId xmlns:a16="http://schemas.microsoft.com/office/drawing/2014/main" id="{6E2EA794-51EA-4644-A523-AF297B10C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72360" y="4975860"/>
          <a:ext cx="5928360" cy="5107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04f4f6fac2faa5e/Documenten/SD/Thesis%20Fraunhofer/Data_van_Fraunhofer/Calculations_and_LCIs_Masterthesis_Peter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104f4f6fac2faa5e/Documenten/SD/Thesis%20Fraunhofer/Data_van_Fraunhofer/SUPPLEMENTARY_EXCEL_FILE_PAPER_PEROVSKITE_W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ground information"/>
      <sheetName val="Molar mass, density &amp; solvent"/>
      <sheetName val="FTO glass (lab scale)"/>
      <sheetName val="TiO2 (lab scale)"/>
      <sheetName val="Perovskite (lab scale)"/>
      <sheetName val="Electrode (lab scale)"/>
      <sheetName val="HTL (lab scale)"/>
      <sheetName val="EoL"/>
      <sheetName val="balance of module"/>
      <sheetName val="electricity consumption"/>
      <sheetName val="Large scale LCIs"/>
      <sheetName val="CdTe and Si results"/>
      <sheetName val="Overhead"/>
      <sheetName val="Results LCA"/>
      <sheetName val="Results EoL"/>
      <sheetName val="EPBT &amp; sensitivity"/>
      <sheetName val="Results absorber and solvent"/>
      <sheetName val="extra1"/>
      <sheetName val="extra2"/>
    </sheetNames>
    <sheetDataSet>
      <sheetData sheetId="0"/>
      <sheetData sheetId="1"/>
      <sheetData sheetId="2"/>
      <sheetData sheetId="3">
        <row r="144">
          <cell r="V144">
            <v>1</v>
          </cell>
        </row>
        <row r="145">
          <cell r="V145">
            <v>0.2</v>
          </cell>
        </row>
        <row r="192">
          <cell r="AD192">
            <v>7.0619850000000007E-4</v>
          </cell>
        </row>
      </sheetData>
      <sheetData sheetId="4"/>
      <sheetData sheetId="5"/>
      <sheetData sheetId="6"/>
      <sheetData sheetId="7"/>
      <sheetData sheetId="8"/>
      <sheetData sheetId="9">
        <row r="11">
          <cell r="Z11">
            <v>4.0000000000000001E-10</v>
          </cell>
        </row>
        <row r="43">
          <cell r="Y43">
            <v>55</v>
          </cell>
        </row>
        <row r="102">
          <cell r="I102">
            <v>2.7602169350845336</v>
          </cell>
        </row>
        <row r="103">
          <cell r="I103">
            <v>2.0618703577070905</v>
          </cell>
        </row>
        <row r="104">
          <cell r="I104">
            <v>0.23791270720837554</v>
          </cell>
        </row>
        <row r="120">
          <cell r="AB120">
            <v>88.179200000000009</v>
          </cell>
        </row>
        <row r="122">
          <cell r="AB122">
            <v>35</v>
          </cell>
        </row>
        <row r="123">
          <cell r="AB123">
            <v>2.4</v>
          </cell>
        </row>
      </sheetData>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lar mass, density &amp; solvent"/>
      <sheetName val="electricity consumption"/>
      <sheetName val="FTO glass (lab scale)"/>
      <sheetName val="TiO2 (lab scale)"/>
      <sheetName val="Perovskite (lab scale)"/>
      <sheetName val="Electrode (lab scale)"/>
      <sheetName val="HTL (lab scale)"/>
      <sheetName val="EoL"/>
      <sheetName val="balance of module"/>
      <sheetName val="Large scale LCIs"/>
      <sheetName val="CdTe and Si results"/>
      <sheetName val="Overhead"/>
      <sheetName val="Results LCA"/>
      <sheetName val="Results EoL"/>
      <sheetName val="EPBT &amp; sensitivity"/>
      <sheetName val="Results absorber and solvent"/>
      <sheetName val="extra1"/>
      <sheetName val="extra2"/>
    </sheetNames>
    <sheetDataSet>
      <sheetData sheetId="0"/>
      <sheetData sheetId="1">
        <row r="11">
          <cell r="Z11">
            <v>4.0000000000000001E-10</v>
          </cell>
        </row>
        <row r="43">
          <cell r="Y43">
            <v>55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prepchem.com/synthesis-of-nitrocellulose/"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hyperlink" Target="https://doi.org/10.1016/j.joule.2020.02.001%20&amp;" TargetMode="External"/><Relationship Id="rId2" Type="http://schemas.openxmlformats.org/officeDocument/2006/relationships/hyperlink" Target="https://doi-org.proxy.library.uu.nl/10.1016/j.joule.2020.02.001" TargetMode="External"/><Relationship Id="rId1" Type="http://schemas.openxmlformats.org/officeDocument/2006/relationships/hyperlink" Target="https://doi-org.proxy.library.uu.nl/10.1016/j.joule.2020.02.001" TargetMode="Externa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BC35D-44E4-4C1F-879D-0DDA02E035E2}">
  <dimension ref="A1:L211"/>
  <sheetViews>
    <sheetView tabSelected="1" workbookViewId="0">
      <selection activeCell="A2" sqref="A2:D2"/>
    </sheetView>
  </sheetViews>
  <sheetFormatPr defaultRowHeight="14.5"/>
  <sheetData>
    <row r="1" spans="1:7" ht="15" thickBot="1"/>
    <row r="2" spans="1:7">
      <c r="A2" s="119" t="s">
        <v>453</v>
      </c>
      <c r="B2" s="119"/>
      <c r="C2" s="119"/>
      <c r="D2" s="119"/>
      <c r="E2" s="34"/>
      <c r="F2" s="11"/>
      <c r="G2" s="12"/>
    </row>
    <row r="3" spans="1:7">
      <c r="A3" s="4" t="s">
        <v>588</v>
      </c>
      <c r="B3" s="3" t="s">
        <v>1</v>
      </c>
      <c r="C3" s="3" t="s">
        <v>3</v>
      </c>
      <c r="D3" s="3" t="s">
        <v>4</v>
      </c>
      <c r="E3" s="3" t="s">
        <v>5</v>
      </c>
      <c r="F3" s="3" t="s">
        <v>6</v>
      </c>
      <c r="G3" s="5" t="s">
        <v>7</v>
      </c>
    </row>
    <row r="4" spans="1:7">
      <c r="A4" s="6" t="s">
        <v>8</v>
      </c>
      <c r="B4" s="27" t="s">
        <v>107</v>
      </c>
      <c r="C4" s="27">
        <v>1</v>
      </c>
      <c r="D4" s="27" t="s">
        <v>146</v>
      </c>
      <c r="E4" s="27"/>
      <c r="F4" s="27"/>
      <c r="G4" s="7" t="s">
        <v>461</v>
      </c>
    </row>
    <row r="5" spans="1:7">
      <c r="A5" s="6" t="s">
        <v>11</v>
      </c>
      <c r="B5" s="27" t="s">
        <v>454</v>
      </c>
      <c r="C5" s="27">
        <v>5.5</v>
      </c>
      <c r="D5" s="27" t="s">
        <v>10</v>
      </c>
      <c r="E5" s="27"/>
      <c r="F5" s="27"/>
      <c r="G5" s="7" t="s">
        <v>762</v>
      </c>
    </row>
    <row r="6" spans="1:7">
      <c r="A6" s="6" t="s">
        <v>11</v>
      </c>
      <c r="B6" s="27" t="s">
        <v>15</v>
      </c>
      <c r="C6" s="27">
        <v>1.213073681965372E-3</v>
      </c>
      <c r="D6" s="27" t="s">
        <v>10</v>
      </c>
      <c r="E6" s="27"/>
      <c r="F6" s="27"/>
      <c r="G6" s="7" t="s">
        <v>761</v>
      </c>
    </row>
    <row r="7" spans="1:7">
      <c r="A7" s="6" t="s">
        <v>11</v>
      </c>
      <c r="B7" s="27" t="s">
        <v>455</v>
      </c>
      <c r="C7" s="27">
        <v>7.5675579859939779E-2</v>
      </c>
      <c r="D7" s="27" t="s">
        <v>10</v>
      </c>
      <c r="E7" s="27"/>
      <c r="F7" s="24" t="s">
        <v>61</v>
      </c>
      <c r="G7" s="7" t="s">
        <v>462</v>
      </c>
    </row>
    <row r="8" spans="1:7">
      <c r="A8" s="6" t="s">
        <v>11</v>
      </c>
      <c r="B8" s="27" t="s">
        <v>313</v>
      </c>
      <c r="C8" s="27">
        <v>1.0457162446771605E-2</v>
      </c>
      <c r="D8" s="27" t="s">
        <v>10</v>
      </c>
      <c r="E8" s="27"/>
      <c r="F8" s="27"/>
      <c r="G8" s="7" t="s">
        <v>456</v>
      </c>
    </row>
    <row r="9" spans="1:7">
      <c r="A9" s="6" t="s">
        <v>11</v>
      </c>
      <c r="B9" s="27" t="s">
        <v>229</v>
      </c>
      <c r="C9" s="27">
        <f>4.51031/85.2225</f>
        <v>5.2923934406993459E-2</v>
      </c>
      <c r="D9" s="27" t="s">
        <v>10</v>
      </c>
      <c r="E9" s="27"/>
      <c r="F9" s="27"/>
      <c r="G9" s="7" t="s">
        <v>768</v>
      </c>
    </row>
    <row r="10" spans="1:7">
      <c r="A10" s="6" t="s">
        <v>16</v>
      </c>
      <c r="B10" s="27" t="s">
        <v>43</v>
      </c>
      <c r="C10" s="27">
        <f>17/(3300*0.025825)*700/100</f>
        <v>1.3963448619789376</v>
      </c>
      <c r="D10" s="27" t="s">
        <v>44</v>
      </c>
      <c r="E10" s="27"/>
      <c r="F10" s="27"/>
      <c r="G10" s="7" t="s">
        <v>463</v>
      </c>
    </row>
    <row r="11" spans="1:7">
      <c r="A11" s="116" t="s">
        <v>35</v>
      </c>
      <c r="B11" s="117"/>
      <c r="C11" s="117"/>
      <c r="D11" s="117"/>
      <c r="E11" s="27"/>
      <c r="F11" s="27"/>
      <c r="G11" s="7"/>
    </row>
    <row r="12" spans="1:7">
      <c r="A12" s="6" t="s">
        <v>31</v>
      </c>
      <c r="B12" s="27" t="s">
        <v>46</v>
      </c>
      <c r="C12" s="27">
        <v>2.2110087464341857E-4</v>
      </c>
      <c r="D12" s="27" t="s">
        <v>10</v>
      </c>
      <c r="E12" s="27"/>
      <c r="F12" s="27"/>
      <c r="G12" s="7"/>
    </row>
    <row r="13" spans="1:7">
      <c r="A13" s="6" t="s">
        <v>31</v>
      </c>
      <c r="B13" s="27" t="s">
        <v>457</v>
      </c>
      <c r="C13" s="27">
        <f>C9</f>
        <v>5.2923934406993459E-2</v>
      </c>
      <c r="D13" s="27" t="s">
        <v>10</v>
      </c>
      <c r="E13" s="27"/>
      <c r="F13" s="27"/>
      <c r="G13" s="7"/>
    </row>
    <row r="14" spans="1:7">
      <c r="A14" s="6" t="s">
        <v>31</v>
      </c>
      <c r="B14" s="27" t="s">
        <v>458</v>
      </c>
      <c r="C14" s="27">
        <v>1.0917663137688348E-3</v>
      </c>
      <c r="D14" s="27" t="s">
        <v>10</v>
      </c>
      <c r="E14" s="27"/>
      <c r="F14" s="27"/>
      <c r="G14" s="7" t="s">
        <v>770</v>
      </c>
    </row>
    <row r="15" spans="1:7">
      <c r="A15" s="116" t="s">
        <v>30</v>
      </c>
      <c r="B15" s="117"/>
      <c r="C15" s="117"/>
      <c r="D15" s="117"/>
      <c r="E15" s="27"/>
      <c r="F15" s="27"/>
      <c r="G15" s="7"/>
    </row>
    <row r="16" spans="1:7">
      <c r="A16" s="6" t="s">
        <v>31</v>
      </c>
      <c r="B16" s="27" t="s">
        <v>47</v>
      </c>
      <c r="C16" s="27">
        <v>1.4523086662628144E-4</v>
      </c>
      <c r="D16" s="27" t="s">
        <v>10</v>
      </c>
      <c r="E16" s="27"/>
      <c r="F16" s="27"/>
      <c r="G16" s="7"/>
    </row>
    <row r="17" spans="1:7">
      <c r="A17" s="116" t="s">
        <v>19</v>
      </c>
      <c r="B17" s="117"/>
      <c r="C17" s="117"/>
      <c r="D17" s="117"/>
      <c r="E17" s="27"/>
      <c r="F17" s="27"/>
      <c r="G17" s="7"/>
    </row>
    <row r="18" spans="1:7">
      <c r="A18" s="6" t="s">
        <v>20</v>
      </c>
      <c r="B18" s="27" t="s">
        <v>459</v>
      </c>
      <c r="C18" s="27">
        <f>C7*0.9</f>
        <v>6.8108021873945809E-2</v>
      </c>
      <c r="D18" s="27" t="s">
        <v>10</v>
      </c>
      <c r="E18" s="27"/>
      <c r="F18" s="27"/>
      <c r="G18" s="7" t="s">
        <v>771</v>
      </c>
    </row>
    <row r="19" spans="1:7">
      <c r="A19" s="6" t="s">
        <v>20</v>
      </c>
      <c r="B19" s="27" t="s">
        <v>21</v>
      </c>
      <c r="C19" s="38">
        <f>SUM(C10)*3.6</f>
        <v>5.0268415031241753</v>
      </c>
      <c r="D19" s="27" t="s">
        <v>14</v>
      </c>
      <c r="E19" s="27"/>
      <c r="F19" s="27"/>
      <c r="G19" s="7"/>
    </row>
    <row r="20" spans="1:7">
      <c r="A20" s="116" t="s">
        <v>101</v>
      </c>
      <c r="B20" s="117"/>
      <c r="C20" s="117"/>
      <c r="D20" s="117"/>
      <c r="E20" s="27"/>
      <c r="F20" s="27"/>
      <c r="G20" s="7"/>
    </row>
    <row r="21" spans="1:7">
      <c r="A21" s="6" t="s">
        <v>16</v>
      </c>
      <c r="B21" s="27" t="s">
        <v>426</v>
      </c>
      <c r="C21" s="27">
        <f>C7*0.6</f>
        <v>4.5405347915963866E-2</v>
      </c>
      <c r="D21" s="27" t="s">
        <v>244</v>
      </c>
      <c r="E21" s="27"/>
      <c r="F21" s="27"/>
      <c r="G21" s="7" t="s">
        <v>460</v>
      </c>
    </row>
    <row r="22" spans="1:7" ht="15" thickBot="1">
      <c r="A22" s="8" t="s">
        <v>16</v>
      </c>
      <c r="B22" s="1" t="s">
        <v>362</v>
      </c>
      <c r="C22" s="1">
        <f>C7*0.1</f>
        <v>7.5675579859939782E-3</v>
      </c>
      <c r="D22" s="1" t="s">
        <v>244</v>
      </c>
      <c r="E22" s="1"/>
      <c r="F22" s="1"/>
      <c r="G22" s="2" t="s">
        <v>460</v>
      </c>
    </row>
    <row r="23" spans="1:7" ht="15" thickBot="1"/>
    <row r="24" spans="1:7">
      <c r="A24" s="118" t="s">
        <v>464</v>
      </c>
      <c r="B24" s="119"/>
      <c r="C24" s="119"/>
      <c r="D24" s="119"/>
      <c r="E24" s="34" t="s">
        <v>436</v>
      </c>
      <c r="F24" s="11"/>
      <c r="G24" s="12"/>
    </row>
    <row r="25" spans="1:7">
      <c r="A25" s="4" t="s">
        <v>588</v>
      </c>
      <c r="B25" s="3" t="s">
        <v>1</v>
      </c>
      <c r="C25" s="3" t="s">
        <v>3</v>
      </c>
      <c r="D25" s="3" t="s">
        <v>4</v>
      </c>
      <c r="E25" s="3" t="s">
        <v>5</v>
      </c>
      <c r="F25" s="3" t="s">
        <v>6</v>
      </c>
      <c r="G25" s="5" t="s">
        <v>7</v>
      </c>
    </row>
    <row r="26" spans="1:7">
      <c r="A26" s="6" t="s">
        <v>8</v>
      </c>
      <c r="B26" s="27" t="s">
        <v>465</v>
      </c>
      <c r="C26" s="27">
        <f>C5</f>
        <v>5.5</v>
      </c>
      <c r="D26" s="27" t="s">
        <v>10</v>
      </c>
      <c r="E26" s="27"/>
      <c r="F26" s="27"/>
      <c r="G26" s="7"/>
    </row>
    <row r="27" spans="1:7">
      <c r="A27" s="6" t="s">
        <v>8</v>
      </c>
      <c r="B27" s="27" t="s">
        <v>466</v>
      </c>
      <c r="C27" s="27">
        <f>C28-5.5</f>
        <v>0.28947368421052655</v>
      </c>
      <c r="D27" s="27" t="s">
        <v>10</v>
      </c>
      <c r="E27" s="27"/>
      <c r="F27" s="27"/>
      <c r="G27" s="7" t="s">
        <v>774</v>
      </c>
    </row>
    <row r="28" spans="1:7">
      <c r="A28" s="6" t="s">
        <v>11</v>
      </c>
      <c r="B28" s="27" t="s">
        <v>107</v>
      </c>
      <c r="C28" s="27">
        <f>C26/0.95</f>
        <v>5.7894736842105265</v>
      </c>
      <c r="D28" s="27" t="s">
        <v>10</v>
      </c>
      <c r="E28" s="27"/>
      <c r="F28" s="27"/>
      <c r="G28" s="7"/>
    </row>
    <row r="29" spans="1:7">
      <c r="A29" s="6" t="s">
        <v>16</v>
      </c>
      <c r="B29" s="27" t="s">
        <v>467</v>
      </c>
      <c r="C29" s="27">
        <f>(0.759+0.49)/43.24*C28</f>
        <v>0.16723063440284339</v>
      </c>
      <c r="D29" s="27" t="s">
        <v>44</v>
      </c>
      <c r="E29" s="24" t="s">
        <v>775</v>
      </c>
      <c r="F29" s="27"/>
      <c r="G29" s="7" t="s">
        <v>468</v>
      </c>
    </row>
    <row r="30" spans="1:7">
      <c r="A30" s="116" t="s">
        <v>19</v>
      </c>
      <c r="B30" s="117"/>
      <c r="C30" s="117"/>
      <c r="D30" s="117"/>
      <c r="E30" s="27"/>
      <c r="F30" s="27"/>
      <c r="G30" s="7"/>
    </row>
    <row r="31" spans="1:7" ht="15" thickBot="1">
      <c r="A31" s="8" t="s">
        <v>20</v>
      </c>
      <c r="B31" s="1" t="s">
        <v>21</v>
      </c>
      <c r="C31" s="1">
        <f>C29*3.6</f>
        <v>0.60203028385023616</v>
      </c>
      <c r="D31" s="1" t="s">
        <v>14</v>
      </c>
      <c r="E31" s="1"/>
      <c r="F31" s="1"/>
      <c r="G31" s="2"/>
    </row>
    <row r="32" spans="1:7" ht="15" thickBot="1"/>
    <row r="33" spans="1:7">
      <c r="A33" s="119" t="s">
        <v>470</v>
      </c>
      <c r="B33" s="119"/>
      <c r="C33" s="119"/>
      <c r="D33" s="119"/>
      <c r="E33" s="11"/>
      <c r="F33" s="11"/>
      <c r="G33" s="12"/>
    </row>
    <row r="34" spans="1:7">
      <c r="A34" s="13" t="s">
        <v>588</v>
      </c>
      <c r="B34" s="28" t="s">
        <v>1</v>
      </c>
      <c r="C34" s="28" t="s">
        <v>3</v>
      </c>
      <c r="D34" s="28" t="s">
        <v>4</v>
      </c>
      <c r="E34" s="28" t="s">
        <v>5</v>
      </c>
      <c r="F34" s="28" t="s">
        <v>6</v>
      </c>
      <c r="G34" s="16" t="s">
        <v>7</v>
      </c>
    </row>
    <row r="35" spans="1:7">
      <c r="A35" s="6" t="s">
        <v>8</v>
      </c>
      <c r="B35" s="27" t="s">
        <v>471</v>
      </c>
      <c r="C35" s="27">
        <v>1</v>
      </c>
      <c r="D35" s="27" t="s">
        <v>146</v>
      </c>
      <c r="E35" s="27"/>
      <c r="F35" s="27"/>
      <c r="G35" s="7"/>
    </row>
    <row r="36" spans="1:7">
      <c r="A36" s="6" t="s">
        <v>11</v>
      </c>
      <c r="B36" s="27" t="s">
        <v>43</v>
      </c>
      <c r="C36" s="27">
        <f>(0.85+0.2)/34.12*5.5</f>
        <v>0.16925556858147717</v>
      </c>
      <c r="D36" s="27" t="s">
        <v>44</v>
      </c>
      <c r="E36" s="27" t="s">
        <v>775</v>
      </c>
      <c r="F36" s="27"/>
      <c r="G36" s="7" t="s">
        <v>473</v>
      </c>
    </row>
    <row r="37" spans="1:7">
      <c r="A37" s="6" t="s">
        <v>11</v>
      </c>
      <c r="B37" s="27" t="s">
        <v>472</v>
      </c>
      <c r="C37" s="27">
        <f>2*1000/60/9.5</f>
        <v>3.5087719298245617</v>
      </c>
      <c r="D37" s="27"/>
      <c r="E37" s="27" t="s">
        <v>777</v>
      </c>
      <c r="F37" s="27"/>
      <c r="G37" s="7" t="s">
        <v>474</v>
      </c>
    </row>
    <row r="38" spans="1:7">
      <c r="A38" s="116" t="s">
        <v>35</v>
      </c>
      <c r="B38" s="117"/>
      <c r="C38" s="117"/>
      <c r="D38" s="117"/>
      <c r="E38" s="27"/>
      <c r="F38" s="27"/>
      <c r="G38" s="7"/>
    </row>
    <row r="39" spans="1:7">
      <c r="A39" s="6" t="s">
        <v>31</v>
      </c>
      <c r="B39" s="27" t="s">
        <v>59</v>
      </c>
      <c r="C39" s="27">
        <f>C36*3.6</f>
        <v>0.60932004689331787</v>
      </c>
      <c r="D39" s="27"/>
      <c r="E39" s="27"/>
      <c r="F39" s="27"/>
      <c r="G39" s="7"/>
    </row>
    <row r="40" spans="1:7">
      <c r="A40" s="116" t="s">
        <v>30</v>
      </c>
      <c r="B40" s="117"/>
      <c r="C40" s="117"/>
      <c r="D40" s="117"/>
      <c r="E40" s="27"/>
      <c r="F40" s="27"/>
      <c r="G40" s="7"/>
    </row>
    <row r="41" spans="1:7">
      <c r="A41" s="6" t="s">
        <v>31</v>
      </c>
      <c r="B41" s="27" t="s">
        <v>283</v>
      </c>
      <c r="C41" s="27">
        <f t="shared" ref="C41" si="0">C37</f>
        <v>3.5087719298245617</v>
      </c>
      <c r="D41" s="27"/>
      <c r="E41" s="27"/>
      <c r="F41" s="27"/>
      <c r="G41" s="7"/>
    </row>
    <row r="42" spans="1:7">
      <c r="A42" s="116" t="s">
        <v>101</v>
      </c>
      <c r="B42" s="117"/>
      <c r="C42" s="117"/>
      <c r="D42" s="117"/>
      <c r="E42" s="27"/>
      <c r="F42" s="27"/>
      <c r="G42" s="7"/>
    </row>
    <row r="43" spans="1:7">
      <c r="A43" s="6" t="s">
        <v>16</v>
      </c>
      <c r="B43" s="27" t="s">
        <v>426</v>
      </c>
      <c r="C43" s="27">
        <f>C26*0.6</f>
        <v>3.3</v>
      </c>
      <c r="D43" s="27" t="s">
        <v>244</v>
      </c>
      <c r="E43" s="27"/>
      <c r="F43" s="27"/>
      <c r="G43" s="7" t="s">
        <v>477</v>
      </c>
    </row>
    <row r="44" spans="1:7" ht="15" thickBot="1">
      <c r="A44" s="8" t="s">
        <v>16</v>
      </c>
      <c r="B44" s="1" t="s">
        <v>362</v>
      </c>
      <c r="C44" s="1">
        <f>C26*0.1</f>
        <v>0.55000000000000004</v>
      </c>
      <c r="D44" s="1" t="s">
        <v>475</v>
      </c>
      <c r="E44" s="1"/>
      <c r="F44" s="1"/>
      <c r="G44" s="2" t="s">
        <v>477</v>
      </c>
    </row>
    <row r="45" spans="1:7" ht="15" thickBot="1"/>
    <row r="46" spans="1:7">
      <c r="A46" s="118" t="s">
        <v>478</v>
      </c>
      <c r="B46" s="119"/>
      <c r="C46" s="119"/>
      <c r="D46" s="119"/>
      <c r="E46" s="11"/>
      <c r="F46" s="11"/>
      <c r="G46" s="12"/>
    </row>
    <row r="47" spans="1:7">
      <c r="A47" s="13" t="s">
        <v>588</v>
      </c>
      <c r="B47" s="28" t="s">
        <v>1</v>
      </c>
      <c r="C47" s="28" t="s">
        <v>3</v>
      </c>
      <c r="D47" s="28" t="s">
        <v>4</v>
      </c>
      <c r="E47" s="28" t="s">
        <v>5</v>
      </c>
      <c r="F47" s="28" t="s">
        <v>6</v>
      </c>
      <c r="G47" s="16" t="s">
        <v>7</v>
      </c>
    </row>
    <row r="48" spans="1:7">
      <c r="A48" s="6" t="s">
        <v>8</v>
      </c>
      <c r="B48" s="27" t="s">
        <v>479</v>
      </c>
      <c r="C48" s="27">
        <v>1</v>
      </c>
      <c r="D48" s="27" t="s">
        <v>146</v>
      </c>
      <c r="E48" s="27"/>
      <c r="F48" s="27"/>
      <c r="G48" s="7" t="s">
        <v>485</v>
      </c>
    </row>
    <row r="49" spans="1:9">
      <c r="A49" s="6" t="s">
        <v>11</v>
      </c>
      <c r="B49" s="27" t="s">
        <v>480</v>
      </c>
      <c r="C49" s="27">
        <f>((0.0001134/79.866*364.26)/0.395)*1.25</f>
        <v>1.6367242663106272E-3</v>
      </c>
      <c r="D49" s="27" t="s">
        <v>10</v>
      </c>
      <c r="E49" s="27"/>
      <c r="F49" s="24" t="s">
        <v>61</v>
      </c>
      <c r="G49" s="7"/>
    </row>
    <row r="50" spans="1:9">
      <c r="A50" s="6" t="s">
        <v>11</v>
      </c>
      <c r="B50" s="27" t="s">
        <v>481</v>
      </c>
      <c r="C50" s="27">
        <f>C49/1.25*53/3.4*0.789</f>
        <v>1.6104211445720353E-2</v>
      </c>
      <c r="D50" s="27"/>
      <c r="E50" s="27"/>
      <c r="F50" s="27"/>
      <c r="G50" s="7" t="s">
        <v>486</v>
      </c>
    </row>
    <row r="51" spans="1:9">
      <c r="A51" s="6" t="s">
        <v>16</v>
      </c>
      <c r="B51" s="27" t="s">
        <v>149</v>
      </c>
      <c r="C51" s="27">
        <f>'electricity consumption'!E90/'electricity consumption'!G90</f>
        <v>0.58823529411764708</v>
      </c>
      <c r="D51" s="27" t="s">
        <v>44</v>
      </c>
      <c r="E51" s="27"/>
      <c r="F51" s="27"/>
      <c r="G51" s="7" t="s">
        <v>487</v>
      </c>
    </row>
    <row r="52" spans="1:9">
      <c r="A52" s="116" t="s">
        <v>35</v>
      </c>
      <c r="B52" s="117"/>
      <c r="C52" s="117"/>
      <c r="D52" s="117"/>
      <c r="E52" s="27"/>
      <c r="F52" s="27"/>
      <c r="G52" s="7" t="s">
        <v>482</v>
      </c>
    </row>
    <row r="53" spans="1:9">
      <c r="A53" s="6" t="s">
        <v>31</v>
      </c>
      <c r="B53" s="27" t="s">
        <v>98</v>
      </c>
      <c r="C53" s="27">
        <f>C49*0.25</f>
        <v>4.091810665776568E-4</v>
      </c>
      <c r="D53" s="27" t="s">
        <v>10</v>
      </c>
      <c r="E53" s="27"/>
      <c r="F53" s="27"/>
      <c r="G53" s="7"/>
    </row>
    <row r="54" spans="1:9">
      <c r="A54" s="6" t="s">
        <v>31</v>
      </c>
      <c r="B54" s="27" t="s">
        <v>299</v>
      </c>
      <c r="C54" s="27">
        <f>C50</f>
        <v>1.6104211445720353E-2</v>
      </c>
      <c r="D54" s="27" t="s">
        <v>10</v>
      </c>
      <c r="E54" s="27"/>
      <c r="F54" s="27"/>
      <c r="G54" s="7"/>
    </row>
    <row r="55" spans="1:9">
      <c r="A55" s="6" t="s">
        <v>31</v>
      </c>
      <c r="B55" s="27" t="s">
        <v>483</v>
      </c>
      <c r="C55" s="27">
        <f>C49/1.25-0.0001134</f>
        <v>1.1959794130485017E-3</v>
      </c>
      <c r="D55" s="27" t="s">
        <v>10</v>
      </c>
      <c r="E55" s="27"/>
      <c r="F55" s="27"/>
      <c r="G55" s="7" t="s">
        <v>484</v>
      </c>
    </row>
    <row r="56" spans="1:9">
      <c r="A56" s="6" t="s">
        <v>31</v>
      </c>
      <c r="B56" s="27" t="s">
        <v>59</v>
      </c>
      <c r="C56" s="27">
        <f>C51*3.6</f>
        <v>2.1176470588235294</v>
      </c>
      <c r="D56" s="27" t="s">
        <v>14</v>
      </c>
      <c r="E56" s="27"/>
      <c r="F56" s="27"/>
      <c r="G56" s="7"/>
    </row>
    <row r="57" spans="1:9">
      <c r="A57" s="116" t="s">
        <v>101</v>
      </c>
      <c r="B57" s="117"/>
      <c r="C57" s="117"/>
      <c r="D57" s="117"/>
      <c r="E57" s="27"/>
      <c r="F57" s="27"/>
      <c r="G57" s="7"/>
    </row>
    <row r="58" spans="1:9">
      <c r="A58" s="6" t="s">
        <v>16</v>
      </c>
      <c r="B58" s="27" t="s">
        <v>426</v>
      </c>
      <c r="C58" s="27">
        <f>C49*0.6</f>
        <v>9.8203455978637623E-4</v>
      </c>
      <c r="D58" s="27" t="s">
        <v>244</v>
      </c>
      <c r="E58" s="27"/>
      <c r="F58" s="27"/>
      <c r="G58" s="7" t="s">
        <v>476</v>
      </c>
    </row>
    <row r="59" spans="1:9" ht="15" thickBot="1">
      <c r="A59" s="8" t="s">
        <v>16</v>
      </c>
      <c r="B59" s="1" t="s">
        <v>362</v>
      </c>
      <c r="C59" s="1">
        <f>C49*0.1</f>
        <v>1.6367242663106274E-4</v>
      </c>
      <c r="D59" s="1" t="s">
        <v>244</v>
      </c>
      <c r="E59" s="1"/>
      <c r="F59" s="1"/>
      <c r="G59" s="2" t="s">
        <v>476</v>
      </c>
    </row>
    <row r="60" spans="1:9" ht="15" thickBot="1"/>
    <row r="61" spans="1:9">
      <c r="A61" s="119" t="s">
        <v>488</v>
      </c>
      <c r="B61" s="119"/>
      <c r="C61" s="119"/>
      <c r="D61" s="119"/>
      <c r="E61" s="119"/>
      <c r="F61" s="119"/>
      <c r="G61" s="11"/>
      <c r="H61" s="11"/>
      <c r="I61" s="12"/>
    </row>
    <row r="62" spans="1:9">
      <c r="A62" s="13" t="s">
        <v>588</v>
      </c>
      <c r="B62" s="28" t="s">
        <v>1</v>
      </c>
      <c r="C62" s="28" t="s">
        <v>3</v>
      </c>
      <c r="D62" s="28" t="s">
        <v>4</v>
      </c>
      <c r="E62" s="28" t="s">
        <v>5</v>
      </c>
      <c r="F62" s="28" t="s">
        <v>6</v>
      </c>
      <c r="G62" s="28" t="s">
        <v>7</v>
      </c>
      <c r="H62" s="28" t="s">
        <v>6</v>
      </c>
      <c r="I62" s="16" t="s">
        <v>7</v>
      </c>
    </row>
    <row r="63" spans="1:9">
      <c r="A63" s="6"/>
      <c r="B63" s="27"/>
      <c r="C63" s="28" t="s">
        <v>489</v>
      </c>
      <c r="D63" s="28" t="s">
        <v>490</v>
      </c>
      <c r="E63" s="28" t="s">
        <v>491</v>
      </c>
      <c r="F63" s="27"/>
      <c r="G63" s="27"/>
      <c r="H63" s="27"/>
      <c r="I63" s="7"/>
    </row>
    <row r="64" spans="1:9">
      <c r="A64" s="6" t="s">
        <v>8</v>
      </c>
      <c r="B64" s="27" t="s">
        <v>492</v>
      </c>
      <c r="C64" s="27">
        <v>1</v>
      </c>
      <c r="D64" s="27" t="s">
        <v>493</v>
      </c>
      <c r="E64" s="27" t="s">
        <v>493</v>
      </c>
      <c r="F64" s="27" t="s">
        <v>146</v>
      </c>
      <c r="G64" s="27"/>
      <c r="H64" s="27"/>
      <c r="I64" s="7"/>
    </row>
    <row r="65" spans="1:9">
      <c r="A65" s="6" t="s">
        <v>8</v>
      </c>
      <c r="B65" s="27" t="s">
        <v>494</v>
      </c>
      <c r="C65" s="27" t="s">
        <v>493</v>
      </c>
      <c r="D65" s="27">
        <v>1</v>
      </c>
      <c r="E65" s="27" t="s">
        <v>493</v>
      </c>
      <c r="F65" s="27" t="s">
        <v>146</v>
      </c>
      <c r="G65" s="27"/>
      <c r="H65" s="27"/>
      <c r="I65" s="7"/>
    </row>
    <row r="66" spans="1:9">
      <c r="A66" s="6" t="s">
        <v>8</v>
      </c>
      <c r="B66" s="27" t="s">
        <v>495</v>
      </c>
      <c r="C66" s="27" t="s">
        <v>493</v>
      </c>
      <c r="D66" s="27" t="s">
        <v>493</v>
      </c>
      <c r="E66" s="27">
        <v>1</v>
      </c>
      <c r="F66" s="27" t="s">
        <v>146</v>
      </c>
      <c r="G66" s="27"/>
      <c r="H66" s="27"/>
      <c r="I66" s="7"/>
    </row>
    <row r="67" spans="1:9">
      <c r="A67" s="6" t="s">
        <v>11</v>
      </c>
      <c r="C67" s="27">
        <f>'electricity consumption'!F94/('electricity consumption'!E94*60)/0.72</f>
        <v>2.8935185185185185E-2</v>
      </c>
      <c r="D67" s="27">
        <f>'electricity consumption'!F94/('electricity consumption'!E94*60)/0.72</f>
        <v>2.8935185185185185E-2</v>
      </c>
      <c r="E67" s="27">
        <f>'electricity consumption'!F94/('electricity consumption'!E94*60)/0.72</f>
        <v>2.8935185185185185E-2</v>
      </c>
      <c r="F67" s="27" t="s">
        <v>44</v>
      </c>
      <c r="G67" s="27"/>
      <c r="H67" s="27" t="s">
        <v>511</v>
      </c>
      <c r="I67" s="7"/>
    </row>
    <row r="68" spans="1:9">
      <c r="A68" s="13" t="s">
        <v>35</v>
      </c>
      <c r="B68" t="s">
        <v>809</v>
      </c>
      <c r="C68" s="27"/>
      <c r="D68" s="27"/>
      <c r="E68" s="27"/>
      <c r="F68" s="27"/>
      <c r="G68" s="27"/>
      <c r="H68" s="27"/>
      <c r="I68" s="7"/>
    </row>
    <row r="69" spans="1:9">
      <c r="A69" s="6" t="s">
        <v>31</v>
      </c>
      <c r="B69" s="27" t="s">
        <v>43</v>
      </c>
      <c r="C69" s="27">
        <f>C67*3.6</f>
        <v>0.10416666666666667</v>
      </c>
      <c r="D69" s="27">
        <f>D67*3.6</f>
        <v>0.10416666666666667</v>
      </c>
      <c r="E69" s="27">
        <f>E67*3.6</f>
        <v>0.10416666666666667</v>
      </c>
      <c r="F69" s="27" t="s">
        <v>14</v>
      </c>
      <c r="G69" s="27"/>
      <c r="H69" s="27"/>
      <c r="I69" s="7"/>
    </row>
    <row r="70" spans="1:9">
      <c r="A70" s="6" t="s">
        <v>31</v>
      </c>
      <c r="B70" s="27" t="s">
        <v>496</v>
      </c>
      <c r="C70" s="27" t="s">
        <v>497</v>
      </c>
      <c r="D70" s="27" t="s">
        <v>493</v>
      </c>
      <c r="E70" s="27" t="s">
        <v>493</v>
      </c>
      <c r="F70" s="27" t="s">
        <v>10</v>
      </c>
      <c r="G70" s="27"/>
      <c r="H70" s="27"/>
      <c r="I70" s="7" t="s">
        <v>512</v>
      </c>
    </row>
    <row r="71" spans="1:9">
      <c r="A71" s="6" t="s">
        <v>31</v>
      </c>
      <c r="B71" s="27" t="s">
        <v>498</v>
      </c>
      <c r="C71" s="27" t="s">
        <v>499</v>
      </c>
      <c r="D71" s="27" t="s">
        <v>493</v>
      </c>
      <c r="E71" s="27" t="s">
        <v>493</v>
      </c>
      <c r="F71" s="27" t="s">
        <v>10</v>
      </c>
      <c r="G71" s="27"/>
      <c r="H71" s="27"/>
      <c r="I71" s="7" t="s">
        <v>512</v>
      </c>
    </row>
    <row r="72" spans="1:9">
      <c r="A72" s="6" t="s">
        <v>31</v>
      </c>
      <c r="B72" s="27" t="s">
        <v>500</v>
      </c>
      <c r="C72" s="27" t="s">
        <v>501</v>
      </c>
      <c r="D72" s="27" t="s">
        <v>502</v>
      </c>
      <c r="E72" s="27" t="s">
        <v>503</v>
      </c>
      <c r="F72" s="27"/>
      <c r="G72" s="27"/>
      <c r="H72" s="27"/>
      <c r="I72" s="7" t="s">
        <v>513</v>
      </c>
    </row>
    <row r="73" spans="1:9">
      <c r="A73" s="6" t="s">
        <v>31</v>
      </c>
      <c r="B73" s="27" t="s">
        <v>504</v>
      </c>
      <c r="C73" s="27" t="s">
        <v>493</v>
      </c>
      <c r="D73" s="27" t="s">
        <v>505</v>
      </c>
      <c r="E73" s="27" t="s">
        <v>506</v>
      </c>
      <c r="F73" s="27"/>
      <c r="G73" s="27"/>
      <c r="H73" s="27"/>
      <c r="I73" s="7" t="s">
        <v>514</v>
      </c>
    </row>
    <row r="74" spans="1:9">
      <c r="A74" s="6" t="s">
        <v>31</v>
      </c>
      <c r="B74" s="27" t="s">
        <v>330</v>
      </c>
      <c r="C74" s="27" t="s">
        <v>493</v>
      </c>
      <c r="D74" s="27" t="s">
        <v>507</v>
      </c>
      <c r="E74" s="27" t="s">
        <v>508</v>
      </c>
      <c r="F74" s="27"/>
      <c r="G74" s="27"/>
      <c r="H74" s="27"/>
      <c r="I74" s="7" t="s">
        <v>515</v>
      </c>
    </row>
    <row r="75" spans="1:9" ht="15" thickBot="1">
      <c r="A75" s="8" t="s">
        <v>31</v>
      </c>
      <c r="B75" s="1" t="s">
        <v>509</v>
      </c>
      <c r="C75" s="1" t="s">
        <v>493</v>
      </c>
      <c r="D75" s="1" t="s">
        <v>493</v>
      </c>
      <c r="E75" s="1" t="s">
        <v>510</v>
      </c>
      <c r="F75" s="1"/>
      <c r="G75" s="1"/>
      <c r="H75" s="1"/>
      <c r="I75" s="2" t="s">
        <v>516</v>
      </c>
    </row>
    <row r="76" spans="1:9" ht="15" thickBot="1"/>
    <row r="77" spans="1:9">
      <c r="A77" s="33"/>
      <c r="B77" s="15" t="s">
        <v>517</v>
      </c>
      <c r="C77" s="34"/>
      <c r="D77" s="34"/>
      <c r="E77" s="11"/>
      <c r="F77" s="11"/>
      <c r="G77" s="12"/>
      <c r="H77" s="27"/>
      <c r="I77" s="27"/>
    </row>
    <row r="78" spans="1:9">
      <c r="A78" s="13" t="s">
        <v>588</v>
      </c>
      <c r="B78" s="28" t="s">
        <v>1</v>
      </c>
      <c r="C78" s="28" t="s">
        <v>3</v>
      </c>
      <c r="D78" s="28" t="s">
        <v>4</v>
      </c>
      <c r="E78" s="28" t="s">
        <v>5</v>
      </c>
      <c r="F78" s="28" t="s">
        <v>6</v>
      </c>
      <c r="G78" s="16" t="s">
        <v>7</v>
      </c>
      <c r="H78" s="27"/>
      <c r="I78" s="27"/>
    </row>
    <row r="79" spans="1:9">
      <c r="A79" s="6" t="s">
        <v>8</v>
      </c>
      <c r="B79" s="27" t="s">
        <v>518</v>
      </c>
      <c r="C79" s="35">
        <v>1</v>
      </c>
      <c r="D79" s="27" t="s">
        <v>146</v>
      </c>
      <c r="E79" s="27"/>
      <c r="F79" s="27"/>
      <c r="G79" s="7" t="s">
        <v>519</v>
      </c>
      <c r="H79" s="27"/>
      <c r="I79" s="27"/>
    </row>
    <row r="80" spans="1:9">
      <c r="A80" s="6" t="s">
        <v>11</v>
      </c>
      <c r="B80" s="27" t="s">
        <v>520</v>
      </c>
      <c r="C80" s="38">
        <f>'[1]TiO2 (lab scale)'!$AD$192/0.95*'[1]TiO2 (lab scale)'!$V$144/'[1]TiO2 (lab scale)'!$V$145</f>
        <v>3.7168342105263165E-3</v>
      </c>
      <c r="D80" s="27" t="s">
        <v>10</v>
      </c>
      <c r="E80" s="27"/>
      <c r="F80" s="27" t="s">
        <v>61</v>
      </c>
      <c r="G80" s="7" t="s">
        <v>521</v>
      </c>
      <c r="H80" s="27"/>
      <c r="I80" s="27"/>
    </row>
    <row r="81" spans="1:9">
      <c r="A81" s="6" t="s">
        <v>11</v>
      </c>
      <c r="B81" s="27" t="s">
        <v>522</v>
      </c>
      <c r="C81" s="38">
        <f>C80*0.75</f>
        <v>2.7876256578947371E-3</v>
      </c>
      <c r="D81" s="27" t="s">
        <v>10</v>
      </c>
      <c r="E81" s="27"/>
      <c r="F81" s="27" t="s">
        <v>61</v>
      </c>
      <c r="G81" s="7" t="s">
        <v>523</v>
      </c>
      <c r="H81" s="27"/>
      <c r="I81" s="27"/>
    </row>
    <row r="82" spans="1:9">
      <c r="A82" s="6" t="s">
        <v>11</v>
      </c>
      <c r="B82" s="27" t="s">
        <v>524</v>
      </c>
      <c r="C82" s="38">
        <f>0.013331421/0.06237/1000</f>
        <v>2.1374733044733044E-4</v>
      </c>
      <c r="D82" s="27" t="s">
        <v>10</v>
      </c>
      <c r="E82" s="27"/>
      <c r="F82" s="27"/>
      <c r="G82" s="7" t="s">
        <v>525</v>
      </c>
      <c r="H82" s="27"/>
      <c r="I82" s="27"/>
    </row>
    <row r="83" spans="1:9">
      <c r="A83" s="6" t="s">
        <v>16</v>
      </c>
      <c r="B83" s="27" t="s">
        <v>43</v>
      </c>
      <c r="C83" s="35">
        <f>'electricity consumption'!F46</f>
        <v>0.44700977425191302</v>
      </c>
      <c r="D83" s="27" t="s">
        <v>44</v>
      </c>
      <c r="E83" s="27"/>
      <c r="F83" s="27"/>
      <c r="G83" s="7" t="s">
        <v>526</v>
      </c>
      <c r="H83" s="27"/>
      <c r="I83" s="27"/>
    </row>
    <row r="84" spans="1:9">
      <c r="A84" s="6" t="s">
        <v>16</v>
      </c>
      <c r="B84" s="27" t="s">
        <v>43</v>
      </c>
      <c r="C84" s="35">
        <f>'electricity consumption'!B80</f>
        <v>1.3445197375497472E-2</v>
      </c>
      <c r="D84" s="27" t="s">
        <v>44</v>
      </c>
      <c r="E84" s="27"/>
      <c r="F84" s="27"/>
      <c r="G84" s="7" t="s">
        <v>779</v>
      </c>
      <c r="H84" s="27"/>
      <c r="I84" s="27"/>
    </row>
    <row r="85" spans="1:9">
      <c r="A85" s="6" t="s">
        <v>16</v>
      </c>
      <c r="B85" s="27" t="s">
        <v>43</v>
      </c>
      <c r="C85" s="35">
        <f>'electricity consumption'!B84*'electricity consumption'!D2</f>
        <v>2.3441190941091487E-2</v>
      </c>
      <c r="D85" s="27" t="s">
        <v>44</v>
      </c>
      <c r="E85" s="27"/>
      <c r="F85" s="27"/>
      <c r="G85" s="7" t="s">
        <v>527</v>
      </c>
      <c r="H85" s="27"/>
      <c r="I85" s="27"/>
    </row>
    <row r="86" spans="1:9">
      <c r="A86" s="6" t="s">
        <v>16</v>
      </c>
      <c r="B86" s="27" t="s">
        <v>43</v>
      </c>
      <c r="C86" s="35">
        <f>'electricity consumption'!F47*'electricity consumption'!D2</f>
        <v>0.2005426016207548</v>
      </c>
      <c r="D86" s="27" t="s">
        <v>44</v>
      </c>
      <c r="E86" s="27"/>
      <c r="F86" s="27"/>
      <c r="G86" s="7" t="s">
        <v>528</v>
      </c>
      <c r="H86" s="27"/>
      <c r="I86" s="27"/>
    </row>
    <row r="87" spans="1:9">
      <c r="A87" s="6" t="s">
        <v>16</v>
      </c>
      <c r="B87" s="27" t="s">
        <v>447</v>
      </c>
      <c r="C87" s="35">
        <f>'electricity consumption'!F50</f>
        <v>18.185124568103294</v>
      </c>
      <c r="D87" s="27" t="s">
        <v>10</v>
      </c>
      <c r="E87" s="27"/>
      <c r="F87" s="27"/>
      <c r="G87" s="7" t="s">
        <v>529</v>
      </c>
      <c r="H87" s="27"/>
      <c r="I87" s="27"/>
    </row>
    <row r="88" spans="1:9">
      <c r="A88" s="116" t="s">
        <v>35</v>
      </c>
      <c r="B88" s="117"/>
      <c r="C88" s="117"/>
      <c r="D88" s="117"/>
      <c r="E88" s="117"/>
      <c r="F88" s="27"/>
      <c r="G88" s="39" t="s">
        <v>533</v>
      </c>
      <c r="H88" s="27"/>
      <c r="I88" s="27"/>
    </row>
    <row r="89" spans="1:9">
      <c r="A89" s="6" t="s">
        <v>31</v>
      </c>
      <c r="B89" s="27" t="s">
        <v>100</v>
      </c>
      <c r="C89" s="35">
        <f>(C83+C84)*3.6</f>
        <v>1.6576378978586779</v>
      </c>
      <c r="D89" s="27" t="s">
        <v>14</v>
      </c>
      <c r="E89" s="27"/>
      <c r="F89" s="27"/>
      <c r="G89" s="7"/>
      <c r="H89" s="27"/>
      <c r="I89" s="27"/>
    </row>
    <row r="90" spans="1:9">
      <c r="A90" s="6" t="s">
        <v>31</v>
      </c>
      <c r="B90" s="27" t="s">
        <v>522</v>
      </c>
      <c r="C90" s="38">
        <f>C80*Chemicals!C203</f>
        <v>1.8584171052631582E-3</v>
      </c>
      <c r="D90" s="27" t="s">
        <v>10</v>
      </c>
      <c r="E90" s="27"/>
      <c r="F90" s="27"/>
      <c r="G90" s="7" t="s">
        <v>530</v>
      </c>
      <c r="H90" s="27"/>
      <c r="I90" s="27"/>
    </row>
    <row r="91" spans="1:9">
      <c r="A91" s="6" t="s">
        <v>31</v>
      </c>
      <c r="B91" s="27" t="s">
        <v>257</v>
      </c>
      <c r="C91" s="38">
        <f>C80*Chemicals!C201</f>
        <v>3.7168342105263166E-4</v>
      </c>
      <c r="D91" s="27"/>
      <c r="E91" s="27"/>
      <c r="F91" s="27"/>
      <c r="G91" s="7"/>
      <c r="H91" s="27"/>
      <c r="I91" s="27"/>
    </row>
    <row r="92" spans="1:9">
      <c r="A92" s="6" t="s">
        <v>31</v>
      </c>
      <c r="B92" s="27" t="s">
        <v>264</v>
      </c>
      <c r="C92" s="38">
        <f>C80*Chemicals!C202</f>
        <v>7.4336684210526331E-4</v>
      </c>
      <c r="D92" s="27"/>
      <c r="E92" s="27"/>
      <c r="F92" s="27"/>
      <c r="G92" s="7"/>
      <c r="H92" s="27"/>
      <c r="I92" s="27"/>
    </row>
    <row r="93" spans="1:9">
      <c r="A93" s="116" t="s">
        <v>19</v>
      </c>
      <c r="B93" s="117"/>
      <c r="C93" s="117"/>
      <c r="D93" s="117"/>
      <c r="E93" s="117"/>
      <c r="F93" s="27"/>
      <c r="G93" s="7"/>
      <c r="H93" s="27"/>
      <c r="I93" s="27"/>
    </row>
    <row r="94" spans="1:9">
      <c r="A94" s="6" t="s">
        <v>20</v>
      </c>
      <c r="B94" s="27" t="s">
        <v>531</v>
      </c>
      <c r="C94" s="38">
        <f>C82</f>
        <v>2.1374733044733044E-4</v>
      </c>
      <c r="D94" s="27" t="s">
        <v>10</v>
      </c>
      <c r="E94" s="27"/>
      <c r="F94" s="27"/>
      <c r="G94" s="7" t="s">
        <v>532</v>
      </c>
      <c r="H94" s="27"/>
      <c r="I94" s="27"/>
    </row>
    <row r="95" spans="1:9">
      <c r="A95" s="116" t="s">
        <v>101</v>
      </c>
      <c r="B95" s="117"/>
      <c r="C95" s="117"/>
      <c r="D95" s="117"/>
      <c r="E95" s="27"/>
      <c r="F95" s="27"/>
      <c r="G95" s="7" t="s">
        <v>781</v>
      </c>
      <c r="H95" s="27"/>
      <c r="I95" s="27"/>
    </row>
    <row r="96" spans="1:9">
      <c r="A96" s="6" t="s">
        <v>16</v>
      </c>
      <c r="B96" s="27" t="s">
        <v>426</v>
      </c>
      <c r="C96" s="38">
        <f>(C81+C80+C82)*600/1000</f>
        <v>4.0309243193210305E-3</v>
      </c>
      <c r="D96" s="27" t="s">
        <v>244</v>
      </c>
      <c r="E96" s="27"/>
      <c r="F96" s="27"/>
      <c r="G96" s="7" t="s">
        <v>782</v>
      </c>
      <c r="H96" s="27"/>
      <c r="I96" s="27"/>
    </row>
    <row r="97" spans="1:9" ht="15" thickBot="1">
      <c r="A97" s="8" t="s">
        <v>16</v>
      </c>
      <c r="B97" s="1" t="s">
        <v>362</v>
      </c>
      <c r="C97" s="14">
        <f>(C82+C81+C80)*100/1000</f>
        <v>6.7182071988683846E-4</v>
      </c>
      <c r="D97" s="1" t="s">
        <v>244</v>
      </c>
      <c r="E97" s="1"/>
      <c r="F97" s="1"/>
      <c r="G97" s="2" t="s">
        <v>783</v>
      </c>
      <c r="H97" s="27"/>
      <c r="I97" s="27"/>
    </row>
    <row r="98" spans="1:9" ht="15" thickBot="1"/>
    <row r="99" spans="1:9">
      <c r="A99" s="118" t="s">
        <v>534</v>
      </c>
      <c r="B99" s="119"/>
      <c r="C99" s="119"/>
      <c r="D99" s="119"/>
      <c r="E99" s="11"/>
      <c r="F99" s="11"/>
      <c r="G99" s="12"/>
      <c r="H99" s="27"/>
      <c r="I99" s="27"/>
    </row>
    <row r="100" spans="1:9">
      <c r="A100" s="13" t="s">
        <v>588</v>
      </c>
      <c r="B100" s="28" t="s">
        <v>1</v>
      </c>
      <c r="C100" s="28" t="s">
        <v>3</v>
      </c>
      <c r="D100" s="28" t="s">
        <v>4</v>
      </c>
      <c r="E100" s="28" t="s">
        <v>5</v>
      </c>
      <c r="F100" s="28" t="s">
        <v>6</v>
      </c>
      <c r="G100" s="16" t="s">
        <v>7</v>
      </c>
      <c r="H100" s="27"/>
      <c r="I100" s="27"/>
    </row>
    <row r="101" spans="1:9">
      <c r="A101" s="6" t="s">
        <v>8</v>
      </c>
      <c r="B101" s="27" t="s">
        <v>535</v>
      </c>
      <c r="C101" s="35">
        <v>1</v>
      </c>
      <c r="D101" s="27" t="s">
        <v>10</v>
      </c>
      <c r="E101" s="27"/>
      <c r="F101" s="27"/>
      <c r="G101" s="7" t="s">
        <v>536</v>
      </c>
      <c r="H101" s="27"/>
      <c r="I101" s="27"/>
    </row>
    <row r="102" spans="1:9">
      <c r="A102" s="6" t="s">
        <v>11</v>
      </c>
      <c r="B102" s="27" t="s">
        <v>537</v>
      </c>
      <c r="C102" s="35">
        <f>C101/(158.97+461.01)*158.97</f>
        <v>0.25641149714506917</v>
      </c>
      <c r="D102" s="27" t="s">
        <v>10</v>
      </c>
      <c r="E102" s="27"/>
      <c r="F102" s="27" t="s">
        <v>61</v>
      </c>
      <c r="G102" s="7"/>
      <c r="H102" s="27"/>
      <c r="I102" s="27"/>
    </row>
    <row r="103" spans="1:9">
      <c r="A103" s="6" t="s">
        <v>11</v>
      </c>
      <c r="B103" s="27" t="s">
        <v>538</v>
      </c>
      <c r="C103" s="35">
        <f>C101/(158.97+461.01)*461.01</f>
        <v>0.74358850285493072</v>
      </c>
      <c r="D103" s="27" t="s">
        <v>10</v>
      </c>
      <c r="E103" s="27"/>
      <c r="F103" s="27" t="s">
        <v>61</v>
      </c>
      <c r="G103" s="7" t="s">
        <v>788</v>
      </c>
      <c r="H103" s="27"/>
      <c r="I103" s="27"/>
    </row>
    <row r="104" spans="1:9">
      <c r="A104" s="6" t="s">
        <v>11</v>
      </c>
      <c r="B104" t="s">
        <v>784</v>
      </c>
      <c r="C104" s="35">
        <f>1.2/((158.97+461.01)/1000)/'Chemicals &amp; Solvents background'!C15</f>
        <v>1.7134793802632946</v>
      </c>
      <c r="D104" s="27" t="s">
        <v>10</v>
      </c>
      <c r="E104" s="27"/>
      <c r="F104" s="27"/>
      <c r="G104" s="7"/>
      <c r="H104" s="27"/>
      <c r="I104" s="27"/>
    </row>
    <row r="105" spans="1:9">
      <c r="A105" s="6" t="s">
        <v>11</v>
      </c>
      <c r="B105" s="27" t="s">
        <v>539</v>
      </c>
      <c r="C105" s="35">
        <f>'electricity consumption'!B56/'electricity consumption'!I$38*1.2506/1/0.95</f>
        <v>5.8222824716749064E-3</v>
      </c>
      <c r="D105" s="27" t="s">
        <v>10</v>
      </c>
      <c r="E105" s="27"/>
      <c r="F105" s="27"/>
      <c r="G105" s="7" t="s">
        <v>552</v>
      </c>
      <c r="H105" s="27"/>
      <c r="I105" s="27"/>
    </row>
    <row r="106" spans="1:9" ht="16.5">
      <c r="A106" s="6" t="s">
        <v>16</v>
      </c>
      <c r="B106" s="27" t="s">
        <v>540</v>
      </c>
      <c r="C106" s="38">
        <f>'electricity consumption'!C102*2/1000/88.2/0.95</f>
        <v>2.884762927727482E-3</v>
      </c>
      <c r="D106" s="27" t="s">
        <v>44</v>
      </c>
      <c r="E106" s="27"/>
      <c r="F106" s="27"/>
      <c r="G106" s="7" t="s">
        <v>790</v>
      </c>
      <c r="H106" s="27"/>
      <c r="I106" s="27"/>
    </row>
    <row r="107" spans="1:9">
      <c r="A107" s="6" t="s">
        <v>16</v>
      </c>
      <c r="B107" s="27" t="s">
        <v>540</v>
      </c>
      <c r="C107" s="35">
        <f>'electricity consumption'!B54/'electricity consumption'!I$38/1000/0.95</f>
        <v>5.9687067865628659E-3</v>
      </c>
      <c r="D107" s="27" t="s">
        <v>44</v>
      </c>
      <c r="E107" s="27"/>
      <c r="F107" s="27"/>
      <c r="G107" s="7" t="s">
        <v>792</v>
      </c>
      <c r="H107" s="27"/>
      <c r="I107" s="27"/>
    </row>
    <row r="108" spans="1:9">
      <c r="A108" s="116" t="s">
        <v>326</v>
      </c>
      <c r="B108" s="117"/>
      <c r="C108" s="117"/>
      <c r="D108" s="117"/>
      <c r="E108" s="117"/>
      <c r="F108" s="27"/>
      <c r="G108" s="7"/>
      <c r="H108" s="27"/>
      <c r="I108" s="27"/>
    </row>
    <row r="109" spans="1:9">
      <c r="A109" s="6" t="s">
        <v>31</v>
      </c>
      <c r="B109" s="27" t="s">
        <v>59</v>
      </c>
      <c r="C109" s="35">
        <f>C106*3.6+C107*3.6</f>
        <v>3.1872490971445254E-2</v>
      </c>
      <c r="D109" s="27" t="s">
        <v>14</v>
      </c>
      <c r="E109" s="27"/>
      <c r="F109" s="27"/>
      <c r="G109" s="7"/>
      <c r="H109" s="27"/>
      <c r="I109" s="27"/>
    </row>
    <row r="110" spans="1:9">
      <c r="A110" s="116" t="s">
        <v>101</v>
      </c>
      <c r="B110" s="117"/>
      <c r="C110" s="117"/>
      <c r="D110" s="117"/>
      <c r="E110" s="117"/>
      <c r="F110" s="27"/>
      <c r="G110" s="7"/>
      <c r="H110" s="27"/>
      <c r="I110" s="27"/>
    </row>
    <row r="111" spans="1:9">
      <c r="A111" s="6" t="s">
        <v>16</v>
      </c>
      <c r="B111" s="27" t="s">
        <v>426</v>
      </c>
      <c r="C111" s="35">
        <f>SUM(C102:C103)*0.6</f>
        <v>0.59999999999999987</v>
      </c>
      <c r="D111" s="27" t="s">
        <v>244</v>
      </c>
      <c r="E111" s="27"/>
      <c r="F111" s="27"/>
      <c r="G111" s="7" t="s">
        <v>541</v>
      </c>
      <c r="H111" s="27"/>
      <c r="I111" s="27"/>
    </row>
    <row r="112" spans="1:9" ht="15" thickBot="1">
      <c r="A112" s="8" t="s">
        <v>16</v>
      </c>
      <c r="B112" s="1" t="s">
        <v>362</v>
      </c>
      <c r="C112" s="9">
        <f>SUM(C102:C103)*0.1</f>
        <v>9.9999999999999992E-2</v>
      </c>
      <c r="D112" s="1" t="s">
        <v>244</v>
      </c>
      <c r="E112" s="1"/>
      <c r="F112" s="1"/>
      <c r="G112" s="2" t="s">
        <v>541</v>
      </c>
      <c r="H112" s="27"/>
      <c r="I112" s="27"/>
    </row>
    <row r="113" spans="1:7" ht="15" thickBot="1"/>
    <row r="114" spans="1:7">
      <c r="A114" s="119" t="s">
        <v>656</v>
      </c>
      <c r="B114" s="119"/>
      <c r="C114" s="119"/>
      <c r="D114" s="119"/>
      <c r="E114" s="11"/>
      <c r="F114" s="11"/>
      <c r="G114" s="12"/>
    </row>
    <row r="115" spans="1:7">
      <c r="A115" s="13" t="s">
        <v>1</v>
      </c>
      <c r="B115" s="28" t="s">
        <v>2</v>
      </c>
      <c r="C115" s="32" t="s">
        <v>142</v>
      </c>
      <c r="D115" s="28" t="s">
        <v>4</v>
      </c>
      <c r="E115" s="28" t="s">
        <v>5</v>
      </c>
      <c r="F115" s="28" t="s">
        <v>6</v>
      </c>
      <c r="G115" s="16" t="s">
        <v>7</v>
      </c>
    </row>
    <row r="116" spans="1:7">
      <c r="A116" s="6" t="s">
        <v>8</v>
      </c>
      <c r="B116" s="27" t="s">
        <v>553</v>
      </c>
      <c r="C116" s="27">
        <v>1</v>
      </c>
      <c r="D116" s="27" t="s">
        <v>146</v>
      </c>
      <c r="E116" s="27"/>
      <c r="F116" s="27"/>
      <c r="G116" s="7"/>
    </row>
    <row r="117" spans="1:7">
      <c r="A117" s="6" t="s">
        <v>11</v>
      </c>
      <c r="B117" s="27" t="s">
        <v>554</v>
      </c>
      <c r="C117" s="7">
        <v>2.1259789000000001E-2</v>
      </c>
      <c r="D117" s="27" t="s">
        <v>10</v>
      </c>
      <c r="E117" s="27"/>
      <c r="F117" s="27" t="s">
        <v>248</v>
      </c>
      <c r="G117" s="7" t="s">
        <v>521</v>
      </c>
    </row>
    <row r="118" spans="1:7">
      <c r="A118" s="6" t="s">
        <v>16</v>
      </c>
      <c r="B118" s="27" t="s">
        <v>43</v>
      </c>
      <c r="C118" s="27">
        <f>'electricity consumption'!B74</f>
        <v>3.2268473701193928E-2</v>
      </c>
      <c r="D118" s="27" t="s">
        <v>44</v>
      </c>
      <c r="E118" s="27"/>
      <c r="F118" s="27"/>
      <c r="G118" s="7" t="s">
        <v>613</v>
      </c>
    </row>
    <row r="119" spans="1:7">
      <c r="A119" s="6" t="s">
        <v>16</v>
      </c>
      <c r="B119" s="27" t="s">
        <v>43</v>
      </c>
      <c r="C119" s="27">
        <f>'electricity consumption'!H46</f>
        <v>0.22681085788938884</v>
      </c>
      <c r="D119" s="27" t="s">
        <v>44</v>
      </c>
      <c r="E119" s="27"/>
      <c r="F119" s="27"/>
      <c r="G119" s="7" t="s">
        <v>614</v>
      </c>
    </row>
    <row r="120" spans="1:7">
      <c r="A120" s="6" t="s">
        <v>16</v>
      </c>
      <c r="B120" s="27" t="s">
        <v>43</v>
      </c>
      <c r="C120" s="27">
        <f>'electricity consumption'!I47*'electricity consumption'!D2</f>
        <v>3.6315561661706103E-2</v>
      </c>
      <c r="D120" s="27" t="s">
        <v>44</v>
      </c>
      <c r="E120" s="27"/>
      <c r="F120" s="27"/>
      <c r="G120" s="7" t="s">
        <v>787</v>
      </c>
    </row>
    <row r="121" spans="1:7">
      <c r="A121" s="116" t="s">
        <v>35</v>
      </c>
      <c r="B121" s="117"/>
      <c r="C121" s="117"/>
      <c r="D121" s="117"/>
      <c r="E121" s="117"/>
      <c r="F121" s="27"/>
      <c r="G121" s="7" t="s">
        <v>556</v>
      </c>
    </row>
    <row r="122" spans="1:7">
      <c r="A122" s="6" t="s">
        <v>31</v>
      </c>
      <c r="B122" s="27" t="s">
        <v>555</v>
      </c>
      <c r="C122" s="27">
        <f>C117*C104</f>
        <v>3.6428210080248408E-2</v>
      </c>
      <c r="D122" s="27" t="s">
        <v>10</v>
      </c>
      <c r="E122" s="27"/>
      <c r="F122" s="27"/>
      <c r="G122" s="7"/>
    </row>
    <row r="123" spans="1:7" ht="15" thickBot="1">
      <c r="A123" s="8" t="s">
        <v>31</v>
      </c>
      <c r="B123" s="1" t="s">
        <v>59</v>
      </c>
      <c r="C123" s="1">
        <f>SUM(C118:C120)*3.6</f>
        <v>1.0634216157082399</v>
      </c>
      <c r="D123" s="1" t="s">
        <v>14</v>
      </c>
      <c r="E123" s="1"/>
      <c r="F123" s="1"/>
      <c r="G123" s="2"/>
    </row>
    <row r="124" spans="1:7" ht="15" thickBot="1"/>
    <row r="125" spans="1:7">
      <c r="A125" s="118" t="s">
        <v>557</v>
      </c>
      <c r="B125" s="119"/>
      <c r="C125" s="119"/>
      <c r="D125" s="119"/>
      <c r="E125" s="11"/>
      <c r="F125" s="11"/>
      <c r="G125" s="12"/>
    </row>
    <row r="126" spans="1:7">
      <c r="A126" s="13" t="s">
        <v>588</v>
      </c>
      <c r="B126" s="28" t="s">
        <v>1</v>
      </c>
      <c r="C126" s="28" t="s">
        <v>3</v>
      </c>
      <c r="D126" s="28" t="s">
        <v>4</v>
      </c>
      <c r="E126" s="28" t="s">
        <v>5</v>
      </c>
      <c r="F126" s="28" t="s">
        <v>6</v>
      </c>
      <c r="G126" s="16" t="s">
        <v>7</v>
      </c>
    </row>
    <row r="127" spans="1:7">
      <c r="A127" s="6" t="s">
        <v>8</v>
      </c>
      <c r="B127" s="27" t="s">
        <v>558</v>
      </c>
      <c r="C127" s="35">
        <v>1</v>
      </c>
      <c r="D127" s="27" t="s">
        <v>146</v>
      </c>
      <c r="E127" s="27"/>
      <c r="F127" s="27"/>
      <c r="G127" s="27" t="s">
        <v>559</v>
      </c>
    </row>
    <row r="128" spans="1:7">
      <c r="A128" s="6" t="s">
        <v>11</v>
      </c>
      <c r="B128" s="27" t="s">
        <v>423</v>
      </c>
      <c r="C128" s="27">
        <f>(15*10^-3*2.15/0.9*(1-0.11*2.15))*0.2</f>
        <v>5.4717500000000009E-3</v>
      </c>
      <c r="D128" s="27" t="s">
        <v>10</v>
      </c>
      <c r="E128" s="27"/>
      <c r="F128" s="27"/>
      <c r="G128" s="7" t="s">
        <v>617</v>
      </c>
    </row>
    <row r="129" spans="1:7">
      <c r="A129" s="6" t="s">
        <v>11</v>
      </c>
      <c r="B129" s="27" t="s">
        <v>424</v>
      </c>
      <c r="C129" s="27">
        <f>(15*10^-3*2.15/0.9*(1-0.11*2.15))*0.8</f>
        <v>2.1887000000000004E-2</v>
      </c>
      <c r="D129" s="27" t="s">
        <v>10</v>
      </c>
      <c r="E129" s="27"/>
      <c r="F129" s="27"/>
      <c r="G129" s="7" t="s">
        <v>794</v>
      </c>
    </row>
    <row r="130" spans="1:7">
      <c r="A130" s="6" t="s">
        <v>11</v>
      </c>
      <c r="B130" s="27" t="s">
        <v>522</v>
      </c>
      <c r="C130" s="27">
        <f>SUM(C128:C129)*3*3/4</f>
        <v>6.1557187500000013E-2</v>
      </c>
      <c r="D130" s="27" t="s">
        <v>10</v>
      </c>
      <c r="E130" s="27"/>
      <c r="F130" s="27" t="s">
        <v>248</v>
      </c>
      <c r="G130" s="7" t="s">
        <v>795</v>
      </c>
    </row>
    <row r="131" spans="1:7">
      <c r="A131" s="6" t="s">
        <v>11</v>
      </c>
      <c r="B131" s="27" t="s">
        <v>618</v>
      </c>
      <c r="C131" s="27">
        <f>SUM(C128:C129)*3*1/4</f>
        <v>2.0519062500000004E-2</v>
      </c>
      <c r="D131" s="27" t="s">
        <v>10</v>
      </c>
      <c r="E131" s="27"/>
      <c r="F131" s="27" t="s">
        <v>248</v>
      </c>
      <c r="G131" s="7"/>
    </row>
    <row r="132" spans="1:7">
      <c r="A132" s="6" t="s">
        <v>11</v>
      </c>
      <c r="B132" s="27" t="s">
        <v>524</v>
      </c>
      <c r="C132" s="27">
        <v>2.1374733044733044E-4</v>
      </c>
      <c r="D132" s="27" t="s">
        <v>10</v>
      </c>
      <c r="E132" s="27"/>
      <c r="F132" s="27"/>
      <c r="G132" s="7" t="s">
        <v>619</v>
      </c>
    </row>
    <row r="133" spans="1:7">
      <c r="A133" s="6" t="s">
        <v>11</v>
      </c>
      <c r="B133" s="27" t="s">
        <v>620</v>
      </c>
      <c r="C133" s="27">
        <f>'electricity consumption'!K50</f>
        <v>14.548099654482634</v>
      </c>
      <c r="D133" s="27" t="s">
        <v>10</v>
      </c>
      <c r="E133" s="27"/>
      <c r="F133" s="27"/>
      <c r="G133" s="7" t="s">
        <v>621</v>
      </c>
    </row>
    <row r="134" spans="1:7">
      <c r="A134" s="6" t="s">
        <v>11</v>
      </c>
      <c r="B134" s="27" t="s">
        <v>43</v>
      </c>
      <c r="C134" s="35">
        <f>C84</f>
        <v>1.3445197375497472E-2</v>
      </c>
      <c r="D134" s="27" t="s">
        <v>44</v>
      </c>
      <c r="E134" s="27"/>
      <c r="F134" s="27"/>
      <c r="G134" s="7" t="s">
        <v>145</v>
      </c>
    </row>
    <row r="135" spans="1:7">
      <c r="A135" s="6" t="s">
        <v>16</v>
      </c>
      <c r="B135" s="27" t="s">
        <v>43</v>
      </c>
      <c r="C135" s="35">
        <f>C85</f>
        <v>2.3441190941091487E-2</v>
      </c>
      <c r="D135" s="27" t="s">
        <v>44</v>
      </c>
      <c r="E135" s="27"/>
      <c r="F135" s="27"/>
      <c r="G135" s="7" t="s">
        <v>630</v>
      </c>
    </row>
    <row r="136" spans="1:7">
      <c r="A136" s="6" t="s">
        <v>11</v>
      </c>
      <c r="B136" s="27" t="s">
        <v>43</v>
      </c>
      <c r="C136" s="35">
        <f>'electricity consumption'!K46</f>
        <v>0.41430445858304132</v>
      </c>
      <c r="D136" s="27" t="s">
        <v>44</v>
      </c>
      <c r="E136" s="27"/>
      <c r="F136" s="27"/>
      <c r="G136" s="7" t="s">
        <v>622</v>
      </c>
    </row>
    <row r="137" spans="1:7">
      <c r="A137" s="6" t="s">
        <v>11</v>
      </c>
      <c r="B137" s="27" t="s">
        <v>43</v>
      </c>
      <c r="C137" s="35">
        <f>'electricity consumption'!K48</f>
        <v>0.18399884575264425</v>
      </c>
      <c r="D137" s="27" t="s">
        <v>44</v>
      </c>
      <c r="E137" s="27"/>
      <c r="F137" s="27"/>
      <c r="G137" s="7" t="s">
        <v>560</v>
      </c>
    </row>
    <row r="138" spans="1:7">
      <c r="A138" s="116" t="s">
        <v>326</v>
      </c>
      <c r="B138" s="117"/>
      <c r="C138" s="117"/>
      <c r="D138" s="117"/>
      <c r="E138" s="32"/>
      <c r="F138" s="27"/>
      <c r="G138" s="7"/>
    </row>
    <row r="139" spans="1:7">
      <c r="A139" s="6" t="s">
        <v>31</v>
      </c>
      <c r="B139" s="27" t="s">
        <v>59</v>
      </c>
      <c r="C139" s="35">
        <f>SUM(C134:C137)*3.6</f>
        <v>2.2866828935481882</v>
      </c>
      <c r="D139" s="27" t="s">
        <v>14</v>
      </c>
      <c r="E139" s="27"/>
      <c r="F139" s="27"/>
      <c r="G139" s="7"/>
    </row>
    <row r="140" spans="1:7">
      <c r="A140" s="6" t="s">
        <v>31</v>
      </c>
      <c r="B140" s="27" t="s">
        <v>522</v>
      </c>
      <c r="C140" s="27">
        <f>C130</f>
        <v>6.1557187500000013E-2</v>
      </c>
      <c r="D140" s="27" t="s">
        <v>10</v>
      </c>
      <c r="E140" s="27"/>
      <c r="F140" s="27"/>
      <c r="G140" s="7"/>
    </row>
    <row r="141" spans="1:7">
      <c r="A141" s="6" t="s">
        <v>31</v>
      </c>
      <c r="B141" s="27" t="s">
        <v>618</v>
      </c>
      <c r="C141" s="27">
        <f>C131</f>
        <v>2.0519062500000004E-2</v>
      </c>
      <c r="D141" s="27" t="s">
        <v>10</v>
      </c>
      <c r="E141" s="28"/>
      <c r="F141" s="27"/>
      <c r="G141" s="7"/>
    </row>
    <row r="142" spans="1:7">
      <c r="A142" s="116" t="s">
        <v>19</v>
      </c>
      <c r="B142" s="117"/>
      <c r="C142" s="117"/>
      <c r="D142" s="117"/>
      <c r="E142" s="27"/>
      <c r="F142" s="27"/>
      <c r="G142" s="7"/>
    </row>
    <row r="143" spans="1:7">
      <c r="A143" s="6" t="s">
        <v>20</v>
      </c>
      <c r="B143" s="27" t="s">
        <v>531</v>
      </c>
      <c r="C143" s="27">
        <f>C132</f>
        <v>2.1374733044733044E-4</v>
      </c>
      <c r="D143" s="27" t="s">
        <v>10</v>
      </c>
      <c r="E143" s="27"/>
      <c r="F143" s="27"/>
      <c r="G143" s="27" t="s">
        <v>532</v>
      </c>
    </row>
    <row r="144" spans="1:7">
      <c r="A144" s="116" t="s">
        <v>101</v>
      </c>
      <c r="B144" s="117"/>
      <c r="C144" s="117"/>
      <c r="D144" s="117"/>
      <c r="E144" s="117"/>
      <c r="F144" s="27"/>
      <c r="G144" s="7"/>
    </row>
    <row r="145" spans="1:7">
      <c r="A145" s="6" t="s">
        <v>16</v>
      </c>
      <c r="B145" s="27" t="s">
        <v>426</v>
      </c>
      <c r="C145" s="27">
        <f>SUM(C128:C132)*0.6</f>
        <v>6.5789248398268413E-2</v>
      </c>
      <c r="D145" s="27" t="s">
        <v>244</v>
      </c>
      <c r="E145" s="27"/>
      <c r="F145" s="27"/>
      <c r="G145" s="7"/>
    </row>
    <row r="146" spans="1:7" ht="15" thickBot="1">
      <c r="A146" s="8" t="s">
        <v>16</v>
      </c>
      <c r="B146" s="1" t="s">
        <v>362</v>
      </c>
      <c r="C146" s="1">
        <f>SUM(C128:C132)*0.1</f>
        <v>1.0964874733044735E-2</v>
      </c>
      <c r="D146" s="1" t="s">
        <v>244</v>
      </c>
      <c r="E146" s="1"/>
      <c r="F146" s="1"/>
      <c r="G146" s="2"/>
    </row>
    <row r="147" spans="1:7" ht="15" thickBot="1">
      <c r="A147" s="6"/>
      <c r="B147" s="27"/>
      <c r="C147" s="27"/>
      <c r="D147" s="27"/>
      <c r="E147" s="27"/>
      <c r="F147" s="27"/>
      <c r="G147" s="7"/>
    </row>
    <row r="148" spans="1:7">
      <c r="A148" s="119" t="s">
        <v>626</v>
      </c>
      <c r="B148" s="119"/>
      <c r="C148" s="119"/>
      <c r="D148" s="119"/>
      <c r="E148" s="119"/>
      <c r="F148" s="11"/>
      <c r="G148" s="12"/>
    </row>
    <row r="149" spans="1:7">
      <c r="A149" s="13" t="s">
        <v>588</v>
      </c>
      <c r="B149" s="28" t="s">
        <v>1</v>
      </c>
      <c r="C149" s="28" t="s">
        <v>3</v>
      </c>
      <c r="D149" s="28" t="s">
        <v>4</v>
      </c>
      <c r="E149" s="28" t="s">
        <v>5</v>
      </c>
      <c r="F149" s="28" t="s">
        <v>6</v>
      </c>
      <c r="G149" s="16" t="s">
        <v>7</v>
      </c>
    </row>
    <row r="150" spans="1:7">
      <c r="A150" s="6" t="s">
        <v>8</v>
      </c>
      <c r="B150" s="27" t="s">
        <v>627</v>
      </c>
      <c r="C150" s="27">
        <v>1</v>
      </c>
      <c r="D150" s="27" t="s">
        <v>146</v>
      </c>
      <c r="E150" s="27"/>
      <c r="F150" s="27"/>
      <c r="G150" s="7" t="s">
        <v>673</v>
      </c>
    </row>
    <row r="151" spans="1:7">
      <c r="A151" s="6" t="s">
        <v>11</v>
      </c>
      <c r="B151" s="27" t="s">
        <v>628</v>
      </c>
      <c r="C151" s="27">
        <f>0.478*1.6*10^-6*5680/0.95</f>
        <v>4.5726989473684216E-3</v>
      </c>
      <c r="D151" s="27" t="s">
        <v>10</v>
      </c>
      <c r="E151" s="27"/>
      <c r="F151" s="27"/>
      <c r="G151" s="7" t="s">
        <v>629</v>
      </c>
    </row>
    <row r="152" spans="1:7">
      <c r="A152" s="6" t="s">
        <v>11</v>
      </c>
      <c r="B152" s="27" t="s">
        <v>257</v>
      </c>
      <c r="C152" s="27">
        <f>C151/3</f>
        <v>1.5242329824561405E-3</v>
      </c>
      <c r="D152" s="27" t="s">
        <v>10</v>
      </c>
      <c r="E152" s="27"/>
      <c r="F152" s="27"/>
      <c r="G152" s="7" t="s">
        <v>797</v>
      </c>
    </row>
    <row r="153" spans="1:7">
      <c r="A153" s="6" t="s">
        <v>11</v>
      </c>
      <c r="B153" s="27" t="s">
        <v>522</v>
      </c>
      <c r="C153" s="27">
        <f>C151*2</f>
        <v>9.1453978947368432E-3</v>
      </c>
      <c r="D153" s="27" t="s">
        <v>10</v>
      </c>
      <c r="E153" s="27"/>
      <c r="F153" s="27"/>
      <c r="G153" s="7"/>
    </row>
    <row r="154" spans="1:7">
      <c r="A154" s="6" t="s">
        <v>11</v>
      </c>
      <c r="B154" s="27" t="s">
        <v>524</v>
      </c>
      <c r="C154" s="27">
        <f>0.013331421/0.06237/1000</f>
        <v>2.1374733044733044E-4</v>
      </c>
      <c r="D154" s="27" t="s">
        <v>10</v>
      </c>
      <c r="E154" s="27"/>
      <c r="F154" s="27"/>
      <c r="G154" s="7" t="s">
        <v>619</v>
      </c>
    </row>
    <row r="155" spans="1:7">
      <c r="A155" s="6" t="s">
        <v>16</v>
      </c>
      <c r="B155" s="27" t="s">
        <v>43</v>
      </c>
      <c r="C155" s="27">
        <f>'electricity consumption'!F46</f>
        <v>0.44700977425191302</v>
      </c>
      <c r="D155" s="27" t="s">
        <v>44</v>
      </c>
      <c r="E155" s="27"/>
      <c r="F155" s="27"/>
      <c r="G155" s="7" t="s">
        <v>798</v>
      </c>
    </row>
    <row r="156" spans="1:7">
      <c r="A156" s="6" t="s">
        <v>16</v>
      </c>
      <c r="B156" s="27" t="s">
        <v>43</v>
      </c>
      <c r="C156" s="35">
        <f>C134</f>
        <v>1.3445197375497472E-2</v>
      </c>
      <c r="D156" s="27" t="s">
        <v>44</v>
      </c>
      <c r="E156" s="27"/>
      <c r="F156" s="27"/>
      <c r="G156" s="7" t="s">
        <v>799</v>
      </c>
    </row>
    <row r="157" spans="1:7">
      <c r="A157" s="6" t="s">
        <v>16</v>
      </c>
      <c r="B157" s="27" t="s">
        <v>43</v>
      </c>
      <c r="C157" s="35">
        <f>C135</f>
        <v>2.3441190941091487E-2</v>
      </c>
      <c r="D157" s="27" t="s">
        <v>44</v>
      </c>
      <c r="E157" s="27"/>
      <c r="F157" s="27"/>
      <c r="G157" s="7" t="s">
        <v>630</v>
      </c>
    </row>
    <row r="158" spans="1:7">
      <c r="A158" s="6" t="s">
        <v>16</v>
      </c>
      <c r="B158" s="27" t="s">
        <v>43</v>
      </c>
      <c r="C158" s="27">
        <f>'electricity consumption'!F48</f>
        <v>0.2005426016207548</v>
      </c>
      <c r="D158" s="27" t="s">
        <v>44</v>
      </c>
      <c r="E158" s="27"/>
      <c r="F158" s="27"/>
      <c r="G158" s="7" t="s">
        <v>230</v>
      </c>
    </row>
    <row r="159" spans="1:7">
      <c r="A159" s="6" t="s">
        <v>16</v>
      </c>
      <c r="B159" s="27" t="s">
        <v>447</v>
      </c>
      <c r="C159" s="27">
        <f>'electricity consumption'!F50</f>
        <v>18.185124568103294</v>
      </c>
      <c r="D159" s="27" t="s">
        <v>10</v>
      </c>
      <c r="E159" s="27"/>
      <c r="F159" s="27"/>
      <c r="G159" s="7" t="s">
        <v>529</v>
      </c>
    </row>
    <row r="160" spans="1:7">
      <c r="A160" s="116" t="s">
        <v>35</v>
      </c>
      <c r="B160" s="117"/>
      <c r="C160" s="117"/>
      <c r="D160" s="117"/>
      <c r="E160" s="117"/>
      <c r="F160" s="27"/>
      <c r="G160" s="7"/>
    </row>
    <row r="161" spans="1:12">
      <c r="A161" s="6" t="s">
        <v>31</v>
      </c>
      <c r="B161" s="27" t="s">
        <v>93</v>
      </c>
      <c r="C161" s="27">
        <f>SUM(C155:C156)*3.6</f>
        <v>1.6576378978586779</v>
      </c>
      <c r="D161" s="27" t="s">
        <v>14</v>
      </c>
      <c r="E161" s="27"/>
      <c r="F161" s="27"/>
      <c r="G161" s="7"/>
    </row>
    <row r="162" spans="1:12">
      <c r="A162" s="6" t="s">
        <v>31</v>
      </c>
      <c r="B162" s="27" t="s">
        <v>257</v>
      </c>
      <c r="C162" s="27">
        <f>C152</f>
        <v>1.5242329824561405E-3</v>
      </c>
      <c r="D162" s="27" t="s">
        <v>10</v>
      </c>
      <c r="E162" s="27"/>
      <c r="F162" s="27"/>
      <c r="G162" s="7"/>
    </row>
    <row r="163" spans="1:12">
      <c r="A163" s="6" t="s">
        <v>31</v>
      </c>
      <c r="B163" s="27" t="s">
        <v>522</v>
      </c>
      <c r="C163" s="27">
        <f>C153</f>
        <v>9.1453978947368432E-3</v>
      </c>
      <c r="D163" s="27" t="s">
        <v>10</v>
      </c>
      <c r="E163" s="27"/>
      <c r="F163" s="27"/>
      <c r="G163" s="7"/>
    </row>
    <row r="164" spans="1:12">
      <c r="A164" s="116" t="s">
        <v>19</v>
      </c>
      <c r="B164" s="117"/>
      <c r="C164" s="117"/>
      <c r="D164" s="117"/>
      <c r="E164" s="117"/>
      <c r="F164" s="27"/>
      <c r="G164" s="7"/>
    </row>
    <row r="165" spans="1:12">
      <c r="A165" s="6" t="s">
        <v>20</v>
      </c>
      <c r="B165" s="27" t="s">
        <v>531</v>
      </c>
      <c r="C165" s="27">
        <f>C153</f>
        <v>9.1453978947368432E-3</v>
      </c>
      <c r="D165" s="27" t="s">
        <v>10</v>
      </c>
      <c r="E165" s="27"/>
      <c r="F165" s="27"/>
      <c r="G165" s="7" t="s">
        <v>532</v>
      </c>
    </row>
    <row r="166" spans="1:12">
      <c r="A166" s="6" t="s">
        <v>16</v>
      </c>
      <c r="B166" s="27" t="s">
        <v>426</v>
      </c>
      <c r="C166" s="27">
        <f>SUM(C152:C154)*600/1000</f>
        <v>6.5300269245841891E-3</v>
      </c>
      <c r="D166" s="27" t="s">
        <v>244</v>
      </c>
      <c r="E166" s="27"/>
      <c r="F166" s="27"/>
      <c r="G166" s="7" t="s">
        <v>782</v>
      </c>
    </row>
    <row r="167" spans="1:12" ht="15" thickBot="1">
      <c r="A167" s="8" t="s">
        <v>16</v>
      </c>
      <c r="B167" s="1" t="s">
        <v>362</v>
      </c>
      <c r="C167" s="1">
        <f>SUM(C152:C154)*100/1000</f>
        <v>1.0883378207640316E-3</v>
      </c>
      <c r="D167" s="1" t="s">
        <v>244</v>
      </c>
      <c r="E167" s="1"/>
      <c r="F167" s="1"/>
      <c r="G167" s="2" t="s">
        <v>783</v>
      </c>
    </row>
    <row r="168" spans="1:12" ht="15" thickBot="1">
      <c r="A168" s="6"/>
      <c r="B168" s="27"/>
      <c r="C168" s="27"/>
      <c r="D168" s="27"/>
      <c r="E168" s="27"/>
    </row>
    <row r="169" spans="1:12" ht="15" thickBot="1">
      <c r="A169" s="118" t="s">
        <v>561</v>
      </c>
      <c r="B169" s="119"/>
      <c r="C169" s="119"/>
      <c r="D169" s="119"/>
      <c r="E169" s="11"/>
      <c r="F169" s="11"/>
      <c r="G169" s="12"/>
    </row>
    <row r="170" spans="1:12">
      <c r="A170" s="13" t="s">
        <v>588</v>
      </c>
      <c r="B170" s="28" t="s">
        <v>1</v>
      </c>
      <c r="C170" s="28" t="s">
        <v>3</v>
      </c>
      <c r="D170" s="28" t="s">
        <v>4</v>
      </c>
      <c r="E170" s="28" t="s">
        <v>5</v>
      </c>
      <c r="F170" s="28" t="s">
        <v>6</v>
      </c>
      <c r="G170" s="16" t="s">
        <v>7</v>
      </c>
      <c r="I170" s="10"/>
      <c r="J170" s="15" t="s">
        <v>569</v>
      </c>
      <c r="K170" s="11"/>
      <c r="L170" s="12"/>
    </row>
    <row r="171" spans="1:12">
      <c r="A171" s="6" t="s">
        <v>8</v>
      </c>
      <c r="B171" s="27" t="s">
        <v>562</v>
      </c>
      <c r="C171" s="27">
        <v>1</v>
      </c>
      <c r="D171" s="27" t="s">
        <v>146</v>
      </c>
      <c r="E171" s="27"/>
      <c r="F171" s="27"/>
      <c r="G171" s="7"/>
      <c r="I171" s="6" t="s">
        <v>570</v>
      </c>
      <c r="J171">
        <f>20*10^-3+500*10^-6+30*10^-6</f>
        <v>2.053E-2</v>
      </c>
      <c r="K171" t="s">
        <v>234</v>
      </c>
      <c r="L171" s="7" t="s">
        <v>571</v>
      </c>
    </row>
    <row r="172" spans="1:12">
      <c r="A172" s="6" t="s">
        <v>11</v>
      </c>
      <c r="B172" s="27" t="s">
        <v>563</v>
      </c>
      <c r="C172" s="27">
        <f>0.8*10^-3*941*((0.59*1.19)/(0.6*1.2))</f>
        <v>0.73408455555555563</v>
      </c>
      <c r="D172" s="27" t="s">
        <v>10</v>
      </c>
      <c r="E172" s="27"/>
      <c r="F172" s="24" t="s">
        <v>248</v>
      </c>
      <c r="G172" s="7" t="s">
        <v>800</v>
      </c>
      <c r="I172" s="6" t="s">
        <v>572</v>
      </c>
      <c r="J172">
        <v>0.8</v>
      </c>
      <c r="K172" t="s">
        <v>234</v>
      </c>
      <c r="L172" s="7"/>
    </row>
    <row r="173" spans="1:12" ht="15" thickBot="1">
      <c r="A173" s="6" t="s">
        <v>11</v>
      </c>
      <c r="B173" s="27" t="s">
        <v>564</v>
      </c>
      <c r="C173" s="27">
        <f>(0.024*J173*10^-3*1.2*920+0.024*0.58*J173*10^-3*920)/(0.6*1.2)</f>
        <v>4.4789997600000013E-2</v>
      </c>
      <c r="D173" s="27" t="s">
        <v>10</v>
      </c>
      <c r="E173" s="27"/>
      <c r="F173" s="24" t="s">
        <v>248</v>
      </c>
      <c r="G173" s="7" t="s">
        <v>568</v>
      </c>
      <c r="I173" s="8" t="s">
        <v>152</v>
      </c>
      <c r="J173" s="1">
        <f>SUM(J171:J172)</f>
        <v>0.82053000000000009</v>
      </c>
      <c r="K173" s="1" t="s">
        <v>234</v>
      </c>
      <c r="L173" s="2"/>
    </row>
    <row r="174" spans="1:12">
      <c r="A174" s="6" t="s">
        <v>16</v>
      </c>
      <c r="B174" s="27" t="s">
        <v>149</v>
      </c>
      <c r="C174" s="27">
        <f>'electricity consumption'!$B$69</f>
        <v>0.98621420996818687</v>
      </c>
      <c r="D174" s="27" t="s">
        <v>44</v>
      </c>
      <c r="E174" s="27"/>
      <c r="F174" s="27"/>
      <c r="G174" s="7" t="s">
        <v>565</v>
      </c>
    </row>
    <row r="175" spans="1:12">
      <c r="A175" s="116" t="s">
        <v>35</v>
      </c>
      <c r="B175" s="117"/>
      <c r="C175" s="117"/>
      <c r="D175" s="117"/>
      <c r="E175" s="27"/>
      <c r="F175" s="27"/>
      <c r="G175" s="7"/>
    </row>
    <row r="176" spans="1:12">
      <c r="A176" s="6" t="s">
        <v>31</v>
      </c>
      <c r="B176" s="27" t="s">
        <v>59</v>
      </c>
      <c r="C176" s="27">
        <f>C174*3.6</f>
        <v>3.5503711558854727</v>
      </c>
      <c r="D176" s="27" t="s">
        <v>14</v>
      </c>
      <c r="E176" s="27"/>
      <c r="F176" s="27"/>
      <c r="G176" s="7"/>
    </row>
    <row r="177" spans="1:7">
      <c r="A177" s="116" t="s">
        <v>19</v>
      </c>
      <c r="B177" s="117"/>
      <c r="C177" s="117"/>
      <c r="D177" s="117"/>
      <c r="E177" s="27"/>
      <c r="F177" s="27"/>
      <c r="G177" s="7"/>
    </row>
    <row r="178" spans="1:7">
      <c r="A178" s="6" t="s">
        <v>20</v>
      </c>
      <c r="B178" s="27" t="s">
        <v>566</v>
      </c>
      <c r="C178" s="27">
        <f>C172-0.8*10^-3*941*((0.58*1.18)/(0.6*1.2))</f>
        <v>1.8506333333333402E-2</v>
      </c>
      <c r="D178" s="27" t="s">
        <v>10</v>
      </c>
      <c r="E178" s="27"/>
      <c r="F178" s="27"/>
      <c r="G178" s="7" t="s">
        <v>567</v>
      </c>
    </row>
    <row r="179" spans="1:7">
      <c r="A179" s="116" t="s">
        <v>101</v>
      </c>
      <c r="B179" s="117"/>
      <c r="C179" s="117"/>
      <c r="D179" s="117"/>
      <c r="E179" s="27"/>
      <c r="F179" s="27"/>
      <c r="G179" s="7"/>
    </row>
    <row r="180" spans="1:7">
      <c r="A180" s="6" t="s">
        <v>16</v>
      </c>
      <c r="B180" s="27" t="s">
        <v>426</v>
      </c>
      <c r="C180" s="27">
        <f>C172*0.2</f>
        <v>0.14681691111111114</v>
      </c>
      <c r="D180" s="27" t="s">
        <v>244</v>
      </c>
      <c r="E180" s="27"/>
      <c r="F180" s="27"/>
      <c r="G180" s="7" t="s">
        <v>801</v>
      </c>
    </row>
    <row r="181" spans="1:7" ht="15" thickBot="1">
      <c r="A181" s="19" t="s">
        <v>16</v>
      </c>
      <c r="B181" s="1" t="s">
        <v>362</v>
      </c>
      <c r="C181" s="1">
        <f>C172*0.1</f>
        <v>7.3408455555555571E-2</v>
      </c>
      <c r="D181" s="1" t="s">
        <v>244</v>
      </c>
      <c r="E181" s="1"/>
      <c r="F181" s="1"/>
      <c r="G181" s="2" t="s">
        <v>802</v>
      </c>
    </row>
    <row r="182" spans="1:7" ht="15" thickBot="1"/>
    <row r="183" spans="1:7">
      <c r="A183" s="118" t="s">
        <v>573</v>
      </c>
      <c r="B183" s="119"/>
      <c r="C183" s="119"/>
      <c r="D183" s="119"/>
      <c r="E183" s="11"/>
      <c r="F183" s="11"/>
      <c r="G183" s="12"/>
    </row>
    <row r="184" spans="1:7">
      <c r="A184" s="13" t="s">
        <v>588</v>
      </c>
      <c r="B184" s="28" t="s">
        <v>1</v>
      </c>
      <c r="C184" s="28" t="s">
        <v>3</v>
      </c>
      <c r="D184" s="28" t="s">
        <v>4</v>
      </c>
      <c r="E184" s="28" t="s">
        <v>5</v>
      </c>
      <c r="F184" s="28" t="s">
        <v>6</v>
      </c>
      <c r="G184" s="16" t="s">
        <v>7</v>
      </c>
    </row>
    <row r="185" spans="1:7">
      <c r="A185" s="6" t="s">
        <v>8</v>
      </c>
      <c r="B185" s="27" t="s">
        <v>573</v>
      </c>
      <c r="C185" s="27">
        <v>1</v>
      </c>
      <c r="D185" s="27" t="s">
        <v>146</v>
      </c>
      <c r="E185" s="27"/>
      <c r="F185" s="27"/>
      <c r="G185" s="7"/>
    </row>
    <row r="186" spans="1:7">
      <c r="A186" s="6" t="s">
        <v>8</v>
      </c>
      <c r="B186" s="27" t="s">
        <v>466</v>
      </c>
      <c r="C186" s="27">
        <f>C187-7.5</f>
        <v>0.39473684210526372</v>
      </c>
      <c r="D186" s="27" t="s">
        <v>10</v>
      </c>
      <c r="E186" s="27"/>
      <c r="F186" s="27"/>
      <c r="G186" s="7"/>
    </row>
    <row r="187" spans="1:7">
      <c r="A187" s="6" t="s">
        <v>11</v>
      </c>
      <c r="B187" s="27" t="s">
        <v>574</v>
      </c>
      <c r="C187" s="27">
        <f>3*10^-3*2500/0.95</f>
        <v>7.8947368421052637</v>
      </c>
      <c r="D187" s="27" t="s">
        <v>10</v>
      </c>
      <c r="E187" s="27"/>
      <c r="F187" s="27"/>
      <c r="G187" s="7" t="s">
        <v>805</v>
      </c>
    </row>
    <row r="188" spans="1:7">
      <c r="A188" s="6" t="s">
        <v>11</v>
      </c>
      <c r="B188" s="27" t="s">
        <v>575</v>
      </c>
      <c r="C188" s="27">
        <f>C37</f>
        <v>3.5087719298245617</v>
      </c>
      <c r="D188" s="27" t="s">
        <v>10</v>
      </c>
      <c r="E188" s="27"/>
      <c r="F188" s="27"/>
      <c r="G188" s="7"/>
    </row>
    <row r="189" spans="1:7">
      <c r="A189" s="6" t="s">
        <v>16</v>
      </c>
      <c r="B189" s="27" t="s">
        <v>149</v>
      </c>
      <c r="C189" s="27">
        <f>C36+C29</f>
        <v>0.33648620298432053</v>
      </c>
      <c r="D189" s="27" t="s">
        <v>44</v>
      </c>
      <c r="E189" s="27"/>
      <c r="F189" s="27"/>
      <c r="G189" s="7" t="s">
        <v>577</v>
      </c>
    </row>
    <row r="190" spans="1:7">
      <c r="A190" s="6" t="s">
        <v>16</v>
      </c>
      <c r="B190" s="27" t="s">
        <v>576</v>
      </c>
      <c r="C190" s="27">
        <f>C187</f>
        <v>7.8947368421052637</v>
      </c>
      <c r="D190" s="27" t="s">
        <v>10</v>
      </c>
      <c r="E190" s="27"/>
      <c r="F190" s="27"/>
      <c r="G190" s="7" t="s">
        <v>578</v>
      </c>
    </row>
    <row r="191" spans="1:7">
      <c r="A191" s="116" t="s">
        <v>35</v>
      </c>
      <c r="B191" s="117"/>
      <c r="C191" s="117"/>
      <c r="D191" s="117"/>
      <c r="E191" s="27"/>
      <c r="F191" s="27"/>
      <c r="G191" s="7"/>
    </row>
    <row r="192" spans="1:7">
      <c r="A192" s="6" t="s">
        <v>31</v>
      </c>
      <c r="B192" s="27" t="s">
        <v>59</v>
      </c>
      <c r="C192" s="27">
        <f>C189*3.6</f>
        <v>1.211350330743554</v>
      </c>
      <c r="D192" s="27" t="s">
        <v>14</v>
      </c>
      <c r="E192" s="27"/>
      <c r="F192" s="27"/>
      <c r="G192" s="7"/>
    </row>
    <row r="193" spans="1:7">
      <c r="A193" s="116" t="s">
        <v>30</v>
      </c>
      <c r="B193" s="117"/>
      <c r="C193" s="117"/>
      <c r="D193" s="117"/>
      <c r="E193" s="27"/>
      <c r="F193" s="27"/>
      <c r="G193" s="7"/>
    </row>
    <row r="194" spans="1:7" ht="15" thickBot="1">
      <c r="A194" s="8" t="s">
        <v>31</v>
      </c>
      <c r="B194" s="1" t="s">
        <v>283</v>
      </c>
      <c r="C194" s="1">
        <f>C188</f>
        <v>3.5087719298245617</v>
      </c>
      <c r="D194" s="1" t="s">
        <v>10</v>
      </c>
      <c r="E194" s="1"/>
      <c r="F194" s="1"/>
      <c r="G194" s="2"/>
    </row>
    <row r="195" spans="1:7" ht="15" thickBot="1"/>
    <row r="196" spans="1:7">
      <c r="A196" s="119" t="s">
        <v>579</v>
      </c>
      <c r="B196" s="119"/>
      <c r="C196" s="119"/>
      <c r="D196" s="119"/>
      <c r="E196" s="119"/>
      <c r="F196" s="11"/>
      <c r="G196" s="12"/>
    </row>
    <row r="197" spans="1:7">
      <c r="A197" s="13" t="s">
        <v>588</v>
      </c>
      <c r="B197" s="28" t="s">
        <v>1</v>
      </c>
      <c r="C197" s="28" t="s">
        <v>3</v>
      </c>
      <c r="D197" s="28" t="s">
        <v>4</v>
      </c>
      <c r="E197" s="28" t="s">
        <v>5</v>
      </c>
      <c r="F197" s="28" t="s">
        <v>6</v>
      </c>
      <c r="G197" s="16" t="s">
        <v>7</v>
      </c>
    </row>
    <row r="198" spans="1:7">
      <c r="A198" s="6" t="s">
        <v>8</v>
      </c>
      <c r="B198" s="27" t="s">
        <v>586</v>
      </c>
      <c r="C198" s="27">
        <v>1</v>
      </c>
      <c r="D198" s="27" t="s">
        <v>146</v>
      </c>
      <c r="E198" s="27"/>
      <c r="F198" s="27"/>
      <c r="G198" s="7"/>
    </row>
    <row r="199" spans="1:7">
      <c r="A199" s="6" t="s">
        <v>11</v>
      </c>
      <c r="B199" s="27" t="s">
        <v>580</v>
      </c>
      <c r="C199" s="27">
        <f>0.00321/8.57</f>
        <v>3.7456242707117855E-4</v>
      </c>
      <c r="D199" s="27" t="s">
        <v>10</v>
      </c>
      <c r="E199" s="27"/>
      <c r="F199" s="27"/>
      <c r="G199" s="7" t="s">
        <v>811</v>
      </c>
    </row>
    <row r="200" spans="1:7">
      <c r="A200" s="6" t="s">
        <v>11</v>
      </c>
      <c r="B200" s="27" t="s">
        <v>581</v>
      </c>
      <c r="C200" s="38">
        <v>7.0500000000000001E-4</v>
      </c>
      <c r="D200" s="27" t="s">
        <v>10</v>
      </c>
      <c r="E200" s="27"/>
      <c r="F200" s="27"/>
      <c r="G200" s="7" t="s">
        <v>812</v>
      </c>
    </row>
    <row r="201" spans="1:7">
      <c r="A201" s="6" t="s">
        <v>11</v>
      </c>
      <c r="B201" s="27" t="s">
        <v>582</v>
      </c>
      <c r="C201" s="27">
        <f>0.00025*(30/0.845)</f>
        <v>8.8757396449704144E-3</v>
      </c>
      <c r="D201" s="27" t="s">
        <v>10</v>
      </c>
      <c r="E201" s="27"/>
      <c r="F201" s="27"/>
      <c r="G201" s="7" t="s">
        <v>814</v>
      </c>
    </row>
    <row r="202" spans="1:7">
      <c r="A202" s="6" t="s">
        <v>11</v>
      </c>
      <c r="B202" s="27" t="s">
        <v>583</v>
      </c>
      <c r="C202" s="27">
        <f>0.926/8.57</f>
        <v>0.10805134189031505</v>
      </c>
      <c r="D202" s="27" t="s">
        <v>10</v>
      </c>
      <c r="E202" s="27"/>
      <c r="F202" s="27"/>
      <c r="G202" s="7" t="s">
        <v>815</v>
      </c>
    </row>
    <row r="203" spans="1:7">
      <c r="A203" s="6" t="s">
        <v>11</v>
      </c>
      <c r="B203" s="27" t="s">
        <v>584</v>
      </c>
      <c r="C203" s="27">
        <f>0.0263/8.87</f>
        <v>2.9650507328072158E-3</v>
      </c>
      <c r="D203" s="27" t="s">
        <v>10</v>
      </c>
      <c r="E203" s="27"/>
      <c r="F203" s="27"/>
      <c r="G203" s="7" t="s">
        <v>816</v>
      </c>
    </row>
    <row r="204" spans="1:7" ht="15" thickBot="1">
      <c r="A204" s="8" t="s">
        <v>16</v>
      </c>
      <c r="B204" s="1" t="s">
        <v>149</v>
      </c>
      <c r="C204" s="1">
        <v>0.78700000000000003</v>
      </c>
      <c r="D204" s="1" t="s">
        <v>44</v>
      </c>
      <c r="E204" s="1"/>
      <c r="F204" s="1"/>
      <c r="G204" s="2" t="s">
        <v>817</v>
      </c>
    </row>
    <row r="205" spans="1:7" ht="15" thickBot="1"/>
    <row r="206" spans="1:7">
      <c r="A206" s="119" t="s">
        <v>585</v>
      </c>
      <c r="B206" s="119"/>
      <c r="C206" s="119"/>
      <c r="D206" s="119"/>
      <c r="E206" s="119"/>
      <c r="F206" s="11"/>
      <c r="G206" s="12"/>
    </row>
    <row r="207" spans="1:7">
      <c r="A207" s="13" t="s">
        <v>588</v>
      </c>
      <c r="B207" s="28" t="s">
        <v>1</v>
      </c>
      <c r="C207" s="28" t="s">
        <v>3</v>
      </c>
      <c r="D207" s="28" t="s">
        <v>4</v>
      </c>
      <c r="E207" s="28" t="s">
        <v>5</v>
      </c>
      <c r="F207" s="28" t="s">
        <v>6</v>
      </c>
      <c r="G207" s="16" t="s">
        <v>7</v>
      </c>
    </row>
    <row r="208" spans="1:7">
      <c r="A208" s="82" t="s">
        <v>8</v>
      </c>
      <c r="B208" s="29" t="s">
        <v>820</v>
      </c>
      <c r="C208" s="108">
        <v>1</v>
      </c>
      <c r="D208" s="29" t="s">
        <v>146</v>
      </c>
      <c r="E208" s="28"/>
      <c r="F208" s="28"/>
      <c r="G208" s="16"/>
    </row>
    <row r="209" spans="1:7">
      <c r="A209" s="6" t="s">
        <v>16</v>
      </c>
      <c r="B209" s="27" t="s">
        <v>43</v>
      </c>
      <c r="C209" s="27" t="s">
        <v>33</v>
      </c>
      <c r="D209" s="27" t="s">
        <v>44</v>
      </c>
      <c r="E209" s="27"/>
      <c r="F209" s="27"/>
      <c r="G209" s="27" t="s">
        <v>819</v>
      </c>
    </row>
    <row r="210" spans="1:7">
      <c r="A210" s="116" t="s">
        <v>35</v>
      </c>
      <c r="B210" s="117"/>
      <c r="C210" s="117"/>
      <c r="D210" s="117"/>
      <c r="E210" s="117"/>
      <c r="F210" s="27"/>
      <c r="G210" s="7"/>
    </row>
    <row r="211" spans="1:7" ht="15" thickBot="1">
      <c r="A211" s="8" t="s">
        <v>31</v>
      </c>
      <c r="B211" s="1" t="s">
        <v>59</v>
      </c>
      <c r="C211" s="1" t="s">
        <v>587</v>
      </c>
      <c r="D211" s="1" t="s">
        <v>14</v>
      </c>
      <c r="E211" s="1"/>
      <c r="F211" s="1"/>
      <c r="G211" s="2"/>
    </row>
  </sheetData>
  <mergeCells count="40">
    <mergeCell ref="A2:D2"/>
    <mergeCell ref="A33:D33"/>
    <mergeCell ref="A30:D30"/>
    <mergeCell ref="A24:D24"/>
    <mergeCell ref="A11:D11"/>
    <mergeCell ref="A15:D15"/>
    <mergeCell ref="A17:D17"/>
    <mergeCell ref="A20:D20"/>
    <mergeCell ref="A61:F61"/>
    <mergeCell ref="A38:D38"/>
    <mergeCell ref="A40:D40"/>
    <mergeCell ref="A42:D42"/>
    <mergeCell ref="A57:D57"/>
    <mergeCell ref="A46:D46"/>
    <mergeCell ref="A52:D52"/>
    <mergeCell ref="A164:E164"/>
    <mergeCell ref="A160:E160"/>
    <mergeCell ref="A148:E148"/>
    <mergeCell ref="A206:E206"/>
    <mergeCell ref="A210:E210"/>
    <mergeCell ref="A196:E196"/>
    <mergeCell ref="A169:D169"/>
    <mergeCell ref="A175:D175"/>
    <mergeCell ref="A177:D177"/>
    <mergeCell ref="A179:D179"/>
    <mergeCell ref="A183:D183"/>
    <mergeCell ref="A193:D193"/>
    <mergeCell ref="A191:D191"/>
    <mergeCell ref="A144:E144"/>
    <mergeCell ref="A95:D95"/>
    <mergeCell ref="A88:E88"/>
    <mergeCell ref="A93:E93"/>
    <mergeCell ref="A108:E108"/>
    <mergeCell ref="A110:E110"/>
    <mergeCell ref="A121:E121"/>
    <mergeCell ref="A125:D125"/>
    <mergeCell ref="A142:D142"/>
    <mergeCell ref="A138:D138"/>
    <mergeCell ref="A114:D114"/>
    <mergeCell ref="A99:D99"/>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3"/>
  <sheetViews>
    <sheetView zoomScaleNormal="100" workbookViewId="0">
      <selection activeCell="I339" sqref="I339"/>
    </sheetView>
  </sheetViews>
  <sheetFormatPr defaultRowHeight="14.5"/>
  <cols>
    <col min="2" max="2" width="57.1796875" bestFit="1" customWidth="1"/>
    <col min="3" max="3" width="12.26953125" bestFit="1" customWidth="1"/>
  </cols>
  <sheetData>
    <row r="1" spans="1:7" s="98" customFormat="1" ht="15" thickBot="1">
      <c r="A1" s="99" t="s">
        <v>677</v>
      </c>
    </row>
    <row r="2" spans="1:7">
      <c r="A2" s="118" t="s">
        <v>0</v>
      </c>
      <c r="B2" s="119"/>
      <c r="C2" s="119"/>
      <c r="D2" s="119"/>
      <c r="E2" s="83" t="s">
        <v>681</v>
      </c>
      <c r="F2" s="15"/>
      <c r="G2" s="71"/>
    </row>
    <row r="3" spans="1:7">
      <c r="A3" s="13" t="s">
        <v>588</v>
      </c>
      <c r="B3" s="28" t="s">
        <v>1</v>
      </c>
      <c r="C3" s="28" t="s">
        <v>3</v>
      </c>
      <c r="D3" s="28" t="s">
        <v>4</v>
      </c>
      <c r="E3" s="28" t="s">
        <v>5</v>
      </c>
      <c r="F3" s="28" t="s">
        <v>6</v>
      </c>
      <c r="G3" s="16" t="s">
        <v>7</v>
      </c>
    </row>
    <row r="4" spans="1:7">
      <c r="A4" s="6" t="s">
        <v>8</v>
      </c>
      <c r="B4" s="27" t="s">
        <v>9</v>
      </c>
      <c r="C4" s="27">
        <v>1</v>
      </c>
      <c r="D4" s="27" t="s">
        <v>10</v>
      </c>
      <c r="E4" s="27"/>
      <c r="F4" s="27"/>
      <c r="G4" s="7"/>
    </row>
    <row r="5" spans="1:7">
      <c r="A5" s="6" t="s">
        <v>11</v>
      </c>
      <c r="B5" s="27" t="s">
        <v>12</v>
      </c>
      <c r="C5" s="27">
        <v>0.46</v>
      </c>
      <c r="D5" s="27" t="s">
        <v>10</v>
      </c>
      <c r="E5" s="27"/>
      <c r="F5" s="27"/>
      <c r="G5" s="7"/>
    </row>
    <row r="6" spans="1:7">
      <c r="A6" s="6" t="s">
        <v>11</v>
      </c>
      <c r="B6" s="27" t="s">
        <v>13</v>
      </c>
      <c r="C6" s="27">
        <v>0.56999999999999995</v>
      </c>
      <c r="D6" s="27" t="s">
        <v>14</v>
      </c>
      <c r="E6" s="27"/>
      <c r="F6" s="27"/>
      <c r="G6" s="7"/>
    </row>
    <row r="7" spans="1:7">
      <c r="A7" s="6" t="s">
        <v>11</v>
      </c>
      <c r="B7" s="27" t="s">
        <v>15</v>
      </c>
      <c r="C7" s="27">
        <v>0.54</v>
      </c>
      <c r="D7" s="27" t="s">
        <v>10</v>
      </c>
      <c r="E7" s="27"/>
      <c r="F7" s="27"/>
      <c r="G7" s="7"/>
    </row>
    <row r="8" spans="1:7">
      <c r="A8" s="6" t="s">
        <v>16</v>
      </c>
      <c r="B8" s="27" t="s">
        <v>17</v>
      </c>
      <c r="C8" s="38">
        <f>0.0000000004</f>
        <v>4.0000000000000001E-10</v>
      </c>
      <c r="D8" s="27" t="s">
        <v>18</v>
      </c>
      <c r="E8" s="27"/>
      <c r="F8" s="27"/>
      <c r="G8" s="7"/>
    </row>
    <row r="9" spans="1:7">
      <c r="A9" s="116" t="s">
        <v>19</v>
      </c>
      <c r="B9" s="117"/>
      <c r="C9" s="117"/>
      <c r="D9" s="117"/>
      <c r="E9" s="27"/>
      <c r="F9" s="27"/>
      <c r="G9" s="7"/>
    </row>
    <row r="10" spans="1:7" ht="15" thickBot="1">
      <c r="A10" s="8" t="s">
        <v>20</v>
      </c>
      <c r="B10" s="1" t="s">
        <v>21</v>
      </c>
      <c r="C10" s="1">
        <v>0.56999999999999995</v>
      </c>
      <c r="D10" s="1" t="s">
        <v>14</v>
      </c>
      <c r="E10" s="1"/>
      <c r="F10" s="1"/>
      <c r="G10" s="2"/>
    </row>
    <row r="11" spans="1:7" ht="15" thickBot="1"/>
    <row r="12" spans="1:7">
      <c r="A12" s="118" t="s">
        <v>22</v>
      </c>
      <c r="B12" s="119"/>
      <c r="C12" s="119"/>
      <c r="D12" s="119"/>
      <c r="E12" s="11" t="s">
        <v>683</v>
      </c>
      <c r="F12" s="15"/>
      <c r="G12" s="71"/>
    </row>
    <row r="13" spans="1:7">
      <c r="A13" s="13" t="s">
        <v>588</v>
      </c>
      <c r="B13" s="28" t="s">
        <v>1</v>
      </c>
      <c r="C13" s="28" t="s">
        <v>3</v>
      </c>
      <c r="D13" s="28" t="s">
        <v>4</v>
      </c>
      <c r="E13" s="28" t="s">
        <v>5</v>
      </c>
      <c r="F13" s="28" t="s">
        <v>6</v>
      </c>
      <c r="G13" s="16" t="s">
        <v>7</v>
      </c>
    </row>
    <row r="14" spans="1:7">
      <c r="A14" s="6" t="s">
        <v>8</v>
      </c>
      <c r="B14" s="27" t="s">
        <v>23</v>
      </c>
      <c r="C14" s="27">
        <v>1</v>
      </c>
      <c r="D14" s="27" t="s">
        <v>10</v>
      </c>
      <c r="E14" s="27"/>
      <c r="F14" s="27"/>
      <c r="G14" s="7" t="s">
        <v>24</v>
      </c>
    </row>
    <row r="15" spans="1:7">
      <c r="A15" s="6" t="s">
        <v>11</v>
      </c>
      <c r="B15" s="27" t="s">
        <v>25</v>
      </c>
      <c r="C15" s="27">
        <v>0.48</v>
      </c>
      <c r="D15" s="27" t="s">
        <v>10</v>
      </c>
      <c r="E15" s="27"/>
      <c r="F15" s="27"/>
      <c r="G15" s="7" t="s">
        <v>26</v>
      </c>
    </row>
    <row r="16" spans="1:7">
      <c r="A16" s="6" t="s">
        <v>11</v>
      </c>
      <c r="B16" s="27" t="s">
        <v>27</v>
      </c>
      <c r="C16" s="27">
        <v>0.56999999999999995</v>
      </c>
      <c r="D16" s="27" t="s">
        <v>10</v>
      </c>
      <c r="E16" s="27"/>
      <c r="F16" s="27"/>
      <c r="G16" s="7" t="s">
        <v>28</v>
      </c>
    </row>
    <row r="17" spans="1:7">
      <c r="A17" s="6" t="s">
        <v>11</v>
      </c>
      <c r="B17" s="27" t="s">
        <v>29</v>
      </c>
      <c r="C17" s="27">
        <v>0.13</v>
      </c>
      <c r="D17" s="27" t="s">
        <v>14</v>
      </c>
      <c r="E17" s="27"/>
      <c r="F17" s="27"/>
      <c r="G17" s="7" t="s">
        <v>685</v>
      </c>
    </row>
    <row r="18" spans="1:7">
      <c r="A18" s="6" t="s">
        <v>16</v>
      </c>
      <c r="B18" s="27" t="s">
        <v>17</v>
      </c>
      <c r="C18" s="27">
        <f>0.0000000004</f>
        <v>4.0000000000000001E-10</v>
      </c>
      <c r="D18" s="27" t="s">
        <v>18</v>
      </c>
      <c r="E18" s="27"/>
      <c r="F18" s="27"/>
      <c r="G18" s="7"/>
    </row>
    <row r="19" spans="1:7">
      <c r="A19" s="116" t="s">
        <v>30</v>
      </c>
      <c r="B19" s="117"/>
      <c r="C19" s="117"/>
      <c r="D19" s="117"/>
      <c r="E19" s="27"/>
      <c r="F19" s="27"/>
      <c r="G19" s="7"/>
    </row>
    <row r="20" spans="1:7">
      <c r="A20" s="6" t="s">
        <v>31</v>
      </c>
      <c r="B20" s="27" t="s">
        <v>32</v>
      </c>
      <c r="C20" s="27">
        <v>0.02</v>
      </c>
      <c r="D20" s="27" t="s">
        <v>10</v>
      </c>
      <c r="E20" s="27"/>
      <c r="F20" s="27"/>
      <c r="G20" s="7"/>
    </row>
    <row r="21" spans="1:7">
      <c r="A21" s="6" t="s">
        <v>31</v>
      </c>
      <c r="B21" s="27" t="s">
        <v>34</v>
      </c>
      <c r="C21" s="27">
        <v>0.03</v>
      </c>
      <c r="D21" s="27" t="s">
        <v>10</v>
      </c>
      <c r="E21" s="27"/>
      <c r="F21" s="27"/>
      <c r="G21" s="7"/>
    </row>
    <row r="22" spans="1:7">
      <c r="A22" s="116" t="s">
        <v>35</v>
      </c>
      <c r="B22" s="117"/>
      <c r="C22" s="117"/>
      <c r="D22" s="117"/>
      <c r="E22" s="27"/>
      <c r="F22" s="27"/>
      <c r="G22" s="7"/>
    </row>
    <row r="23" spans="1:7">
      <c r="A23" s="6" t="s">
        <v>31</v>
      </c>
      <c r="B23" s="27" t="s">
        <v>32</v>
      </c>
      <c r="C23" s="38">
        <v>4.8000000000000001E-5</v>
      </c>
      <c r="D23" s="27" t="s">
        <v>10</v>
      </c>
      <c r="E23" s="27"/>
      <c r="F23" s="27"/>
      <c r="G23" s="7"/>
    </row>
    <row r="24" spans="1:7" ht="15" thickBot="1">
      <c r="A24" s="8" t="s">
        <v>31</v>
      </c>
      <c r="B24" s="1" t="s">
        <v>34</v>
      </c>
      <c r="C24" s="14">
        <v>5.7299999999999997E-5</v>
      </c>
      <c r="D24" s="1" t="s">
        <v>10</v>
      </c>
      <c r="E24" s="1"/>
      <c r="F24" s="1"/>
      <c r="G24" s="2"/>
    </row>
    <row r="25" spans="1:7" s="3" customFormat="1" ht="15" thickBot="1">
      <c r="A25"/>
      <c r="B25"/>
      <c r="C25"/>
      <c r="D25"/>
      <c r="E25"/>
      <c r="G25"/>
    </row>
    <row r="26" spans="1:7">
      <c r="A26" s="118" t="s">
        <v>36</v>
      </c>
      <c r="B26" s="119"/>
      <c r="C26" s="119"/>
      <c r="D26" s="119"/>
      <c r="E26" s="103" t="s">
        <v>687</v>
      </c>
      <c r="F26" s="15"/>
      <c r="G26" s="71"/>
    </row>
    <row r="27" spans="1:7">
      <c r="A27" s="13" t="s">
        <v>588</v>
      </c>
      <c r="B27" s="28" t="s">
        <v>1</v>
      </c>
      <c r="C27" s="28" t="s">
        <v>3</v>
      </c>
      <c r="D27" s="28" t="s">
        <v>4</v>
      </c>
      <c r="E27" s="28" t="s">
        <v>5</v>
      </c>
      <c r="F27" s="28" t="s">
        <v>6</v>
      </c>
      <c r="G27" s="16" t="s">
        <v>7</v>
      </c>
    </row>
    <row r="28" spans="1:7">
      <c r="A28" s="6" t="s">
        <v>8</v>
      </c>
      <c r="B28" s="27" t="s">
        <v>37</v>
      </c>
      <c r="C28" s="27">
        <v>1</v>
      </c>
      <c r="D28" s="27" t="s">
        <v>10</v>
      </c>
      <c r="E28" s="27"/>
      <c r="F28" s="27"/>
      <c r="G28" s="7"/>
    </row>
    <row r="29" spans="1:7">
      <c r="A29" s="6" t="s">
        <v>11</v>
      </c>
      <c r="B29" s="27" t="s">
        <v>38</v>
      </c>
      <c r="C29" s="27">
        <v>0.12</v>
      </c>
      <c r="D29" s="27" t="s">
        <v>10</v>
      </c>
      <c r="E29" s="27"/>
      <c r="F29" s="27"/>
      <c r="G29" s="7"/>
    </row>
    <row r="30" spans="1:7">
      <c r="A30" s="6" t="s">
        <v>11</v>
      </c>
      <c r="B30" s="27" t="s">
        <v>39</v>
      </c>
      <c r="C30" s="27">
        <v>0.55000000000000004</v>
      </c>
      <c r="D30" s="27" t="s">
        <v>10</v>
      </c>
      <c r="E30" s="27"/>
      <c r="F30" s="27"/>
      <c r="G30" s="7"/>
    </row>
    <row r="31" spans="1:7">
      <c r="A31" s="6" t="s">
        <v>11</v>
      </c>
      <c r="B31" s="27" t="s">
        <v>40</v>
      </c>
      <c r="C31" s="27">
        <v>0.03</v>
      </c>
      <c r="D31" s="27" t="s">
        <v>10</v>
      </c>
      <c r="E31" s="27"/>
      <c r="F31" s="27"/>
      <c r="G31" s="7"/>
    </row>
    <row r="32" spans="1:7">
      <c r="A32" s="6" t="s">
        <v>11</v>
      </c>
      <c r="B32" s="27" t="s">
        <v>41</v>
      </c>
      <c r="C32" s="27">
        <v>0.75</v>
      </c>
      <c r="D32" s="27" t="s">
        <v>10</v>
      </c>
      <c r="E32" s="27"/>
      <c r="F32" s="27"/>
      <c r="G32" s="7"/>
    </row>
    <row r="33" spans="1:7">
      <c r="A33" s="6" t="s">
        <v>11</v>
      </c>
      <c r="B33" s="27" t="s">
        <v>42</v>
      </c>
      <c r="C33" s="27">
        <v>0.34</v>
      </c>
      <c r="D33" s="27" t="s">
        <v>10</v>
      </c>
      <c r="E33" s="27"/>
      <c r="F33" s="27"/>
      <c r="G33" s="7"/>
    </row>
    <row r="34" spans="1:7">
      <c r="A34" s="6" t="s">
        <v>16</v>
      </c>
      <c r="B34" s="27" t="s">
        <v>43</v>
      </c>
      <c r="C34" s="27">
        <v>0.42</v>
      </c>
      <c r="D34" s="27" t="s">
        <v>44</v>
      </c>
      <c r="E34" s="27"/>
      <c r="F34" s="27"/>
      <c r="G34" s="7" t="s">
        <v>45</v>
      </c>
    </row>
    <row r="35" spans="1:7">
      <c r="A35" s="6" t="s">
        <v>16</v>
      </c>
      <c r="B35" s="27" t="s">
        <v>17</v>
      </c>
      <c r="C35" s="38">
        <v>4.0000000000000001E-10</v>
      </c>
      <c r="D35" s="27" t="s">
        <v>18</v>
      </c>
      <c r="E35" s="27"/>
      <c r="F35" s="27"/>
      <c r="G35" s="7"/>
    </row>
    <row r="36" spans="1:7">
      <c r="A36" s="116" t="s">
        <v>30</v>
      </c>
      <c r="B36" s="117"/>
      <c r="C36" s="117"/>
      <c r="D36" s="117"/>
      <c r="E36" s="27"/>
      <c r="F36" s="27"/>
      <c r="G36" s="7"/>
    </row>
    <row r="37" spans="1:7">
      <c r="A37" s="6" t="s">
        <v>31</v>
      </c>
      <c r="B37" s="27" t="s">
        <v>46</v>
      </c>
      <c r="C37" s="27">
        <v>0.24</v>
      </c>
      <c r="D37" s="27" t="s">
        <v>10</v>
      </c>
      <c r="E37" s="27"/>
      <c r="F37" s="27"/>
      <c r="G37" s="7"/>
    </row>
    <row r="38" spans="1:7">
      <c r="A38" s="6" t="s">
        <v>31</v>
      </c>
      <c r="B38" s="27" t="s">
        <v>47</v>
      </c>
      <c r="C38" s="27">
        <v>0.12</v>
      </c>
      <c r="D38" s="27" t="s">
        <v>10</v>
      </c>
      <c r="E38" s="27"/>
      <c r="F38" s="27"/>
      <c r="G38" s="7"/>
    </row>
    <row r="39" spans="1:7">
      <c r="A39" s="6" t="s">
        <v>31</v>
      </c>
      <c r="B39" s="27" t="s">
        <v>48</v>
      </c>
      <c r="C39" s="27">
        <v>0.43</v>
      </c>
      <c r="D39" s="27" t="s">
        <v>10</v>
      </c>
      <c r="E39" s="27"/>
      <c r="F39" s="27"/>
      <c r="G39" s="7"/>
    </row>
    <row r="40" spans="1:7">
      <c r="A40" s="116" t="s">
        <v>19</v>
      </c>
      <c r="B40" s="117"/>
      <c r="C40" s="117"/>
      <c r="D40" s="117"/>
      <c r="E40" s="27"/>
      <c r="F40" s="27"/>
      <c r="G40" s="7"/>
    </row>
    <row r="41" spans="1:7" ht="15" thickBot="1">
      <c r="A41" s="8" t="s">
        <v>20</v>
      </c>
      <c r="B41" s="1" t="s">
        <v>21</v>
      </c>
      <c r="C41" s="1">
        <v>1.51</v>
      </c>
      <c r="D41" s="1" t="s">
        <v>14</v>
      </c>
      <c r="E41" s="1"/>
      <c r="F41" s="1"/>
      <c r="G41" s="2"/>
    </row>
    <row r="42" spans="1:7" ht="15" thickBot="1"/>
    <row r="43" spans="1:7">
      <c r="A43" s="118" t="s">
        <v>49</v>
      </c>
      <c r="B43" s="119"/>
      <c r="C43" s="119"/>
      <c r="D43" s="119"/>
      <c r="E43" s="11" t="s">
        <v>689</v>
      </c>
      <c r="F43" s="15"/>
      <c r="G43" s="71"/>
    </row>
    <row r="44" spans="1:7">
      <c r="A44" s="13" t="s">
        <v>588</v>
      </c>
      <c r="B44" s="28" t="s">
        <v>1</v>
      </c>
      <c r="C44" s="28" t="s">
        <v>3</v>
      </c>
      <c r="D44" s="28" t="s">
        <v>4</v>
      </c>
      <c r="E44" s="28" t="s">
        <v>5</v>
      </c>
      <c r="F44" s="28" t="s">
        <v>6</v>
      </c>
      <c r="G44" s="16" t="s">
        <v>7</v>
      </c>
    </row>
    <row r="45" spans="1:7">
      <c r="A45" s="6" t="s">
        <v>8</v>
      </c>
      <c r="B45" s="27" t="s">
        <v>50</v>
      </c>
      <c r="C45" s="35">
        <v>1</v>
      </c>
      <c r="D45" s="27" t="s">
        <v>10</v>
      </c>
      <c r="E45" s="27"/>
      <c r="F45" s="27"/>
      <c r="G45" s="7"/>
    </row>
    <row r="46" spans="1:7">
      <c r="A46" s="6" t="s">
        <v>8</v>
      </c>
      <c r="B46" s="27" t="s">
        <v>51</v>
      </c>
      <c r="C46" s="35">
        <f>C47/189.7*53.491*4</f>
        <v>0.94101400323692919</v>
      </c>
      <c r="D46" s="27" t="s">
        <v>10</v>
      </c>
      <c r="E46" s="27"/>
      <c r="F46" s="27"/>
      <c r="G46" s="7"/>
    </row>
    <row r="47" spans="1:7">
      <c r="A47" s="6" t="s">
        <v>11</v>
      </c>
      <c r="B47" s="27" t="s">
        <v>52</v>
      </c>
      <c r="C47" s="35">
        <f>C45/284.22*189.7/0.8</f>
        <v>0.83430089367391447</v>
      </c>
      <c r="D47" s="27" t="s">
        <v>10</v>
      </c>
      <c r="E47" s="27"/>
      <c r="F47" s="27"/>
      <c r="G47" s="7"/>
    </row>
    <row r="48" spans="1:7">
      <c r="A48" s="6" t="s">
        <v>11</v>
      </c>
      <c r="B48" s="27" t="s">
        <v>53</v>
      </c>
      <c r="C48" s="35">
        <f>(C45/284.22*60.1*4)/0.8</f>
        <v>1.0572795721624093</v>
      </c>
      <c r="D48" s="27" t="s">
        <v>10</v>
      </c>
      <c r="E48" s="27"/>
      <c r="F48" s="27"/>
      <c r="G48" s="7"/>
    </row>
    <row r="49" spans="1:7">
      <c r="A49" s="6" t="s">
        <v>11</v>
      </c>
      <c r="B49" s="27" t="s">
        <v>12</v>
      </c>
      <c r="C49" s="35">
        <f>(C45/284.22*17.031*4/0.8)/17.031*(17.031+18.10528)</f>
        <v>0.61811765533741458</v>
      </c>
      <c r="D49" s="27" t="s">
        <v>10</v>
      </c>
      <c r="E49" s="27"/>
      <c r="F49" s="27"/>
      <c r="G49" s="7" t="s">
        <v>54</v>
      </c>
    </row>
    <row r="50" spans="1:7">
      <c r="A50" s="6" t="s">
        <v>11</v>
      </c>
      <c r="B50" s="27" t="s">
        <v>55</v>
      </c>
      <c r="C50" s="35">
        <v>1.6</v>
      </c>
      <c r="D50" s="27" t="s">
        <v>10</v>
      </c>
      <c r="E50" s="27"/>
      <c r="F50" s="27"/>
      <c r="G50" s="7"/>
    </row>
    <row r="51" spans="1:7">
      <c r="A51" s="6" t="s">
        <v>16</v>
      </c>
      <c r="B51" s="27" t="s">
        <v>43</v>
      </c>
      <c r="C51" s="35">
        <f>0.03/3.6</f>
        <v>8.3333333333333332E-3</v>
      </c>
      <c r="D51" s="27" t="s">
        <v>44</v>
      </c>
      <c r="E51" s="27"/>
      <c r="F51" s="27"/>
      <c r="G51" s="7" t="s">
        <v>56</v>
      </c>
    </row>
    <row r="52" spans="1:7">
      <c r="A52" s="6" t="s">
        <v>16</v>
      </c>
      <c r="B52" s="27" t="s">
        <v>17</v>
      </c>
      <c r="C52" s="38">
        <f>'[2]electricity consumption'!$Z$11</f>
        <v>4.0000000000000001E-10</v>
      </c>
      <c r="D52" s="27" t="s">
        <v>18</v>
      </c>
      <c r="E52" s="27"/>
      <c r="F52" s="27"/>
      <c r="G52" s="7"/>
    </row>
    <row r="53" spans="1:7">
      <c r="A53" s="117" t="s">
        <v>35</v>
      </c>
      <c r="B53" s="117"/>
      <c r="C53" s="117"/>
      <c r="D53" s="117"/>
      <c r="E53" s="28"/>
      <c r="F53" s="27"/>
      <c r="G53" s="7"/>
    </row>
    <row r="54" spans="1:7">
      <c r="A54" s="27" t="s">
        <v>31</v>
      </c>
      <c r="B54" s="27" t="s">
        <v>57</v>
      </c>
      <c r="C54" s="35">
        <f>C49*0.2*0.002</f>
        <v>2.4724706213496582E-4</v>
      </c>
      <c r="D54" s="27" t="s">
        <v>10</v>
      </c>
      <c r="E54" s="27"/>
      <c r="F54" s="27"/>
      <c r="G54" s="7" t="s">
        <v>58</v>
      </c>
    </row>
    <row r="55" spans="1:7">
      <c r="A55" s="27" t="s">
        <v>31</v>
      </c>
      <c r="B55" s="27" t="s">
        <v>59</v>
      </c>
      <c r="C55" s="35">
        <f>C51*3.6</f>
        <v>0.03</v>
      </c>
      <c r="D55" s="27" t="s">
        <v>14</v>
      </c>
      <c r="E55" s="27"/>
      <c r="F55" s="27"/>
      <c r="G55" s="7"/>
    </row>
    <row r="56" spans="1:7">
      <c r="A56" s="117" t="s">
        <v>19</v>
      </c>
      <c r="B56" s="117"/>
      <c r="C56" s="117"/>
      <c r="D56" s="117"/>
      <c r="E56" s="28"/>
      <c r="F56" s="27"/>
      <c r="G56" s="7"/>
    </row>
    <row r="57" spans="1:7">
      <c r="A57" s="6" t="s">
        <v>20</v>
      </c>
      <c r="B57" s="27" t="s">
        <v>60</v>
      </c>
      <c r="C57" s="35">
        <f>C48*0.2</f>
        <v>0.21145591443248188</v>
      </c>
      <c r="D57" s="27" t="s">
        <v>10</v>
      </c>
      <c r="E57" s="27"/>
      <c r="F57" s="27" t="s">
        <v>61</v>
      </c>
      <c r="G57" s="7" t="s">
        <v>62</v>
      </c>
    </row>
    <row r="58" spans="1:7">
      <c r="A58" s="6" t="s">
        <v>20</v>
      </c>
      <c r="B58" s="27" t="s">
        <v>63</v>
      </c>
      <c r="C58" s="35">
        <f>C50</f>
        <v>1.6</v>
      </c>
      <c r="D58" s="27" t="s">
        <v>10</v>
      </c>
      <c r="E58" s="27"/>
      <c r="F58" s="27" t="s">
        <v>61</v>
      </c>
      <c r="G58" s="7" t="s">
        <v>64</v>
      </c>
    </row>
    <row r="59" spans="1:7" ht="15" thickBot="1">
      <c r="A59" s="8" t="s">
        <v>20</v>
      </c>
      <c r="B59" s="1" t="s">
        <v>65</v>
      </c>
      <c r="C59" s="9">
        <f>C47*0.2</f>
        <v>0.1668601787347829</v>
      </c>
      <c r="D59" s="1" t="s">
        <v>10</v>
      </c>
      <c r="E59" s="1"/>
      <c r="F59" s="1"/>
      <c r="G59" s="2" t="s">
        <v>66</v>
      </c>
    </row>
    <row r="60" spans="1:7" ht="15" thickBot="1"/>
    <row r="61" spans="1:7">
      <c r="A61" s="118" t="s">
        <v>67</v>
      </c>
      <c r="B61" s="119"/>
      <c r="C61" s="119"/>
      <c r="D61" s="119"/>
      <c r="E61" s="11" t="s">
        <v>693</v>
      </c>
      <c r="F61" s="11"/>
      <c r="G61" s="12"/>
    </row>
    <row r="62" spans="1:7">
      <c r="A62" s="13" t="s">
        <v>588</v>
      </c>
      <c r="B62" s="28" t="s">
        <v>1</v>
      </c>
      <c r="C62" s="28" t="s">
        <v>3</v>
      </c>
      <c r="D62" s="28" t="s">
        <v>4</v>
      </c>
      <c r="E62" s="28" t="s">
        <v>5</v>
      </c>
      <c r="F62" s="28" t="s">
        <v>6</v>
      </c>
      <c r="G62" s="16" t="s">
        <v>7</v>
      </c>
    </row>
    <row r="63" spans="1:7">
      <c r="A63" s="6" t="s">
        <v>8</v>
      </c>
      <c r="B63" s="28" t="s">
        <v>68</v>
      </c>
      <c r="C63" s="35">
        <v>1</v>
      </c>
      <c r="D63" s="27" t="s">
        <v>10</v>
      </c>
      <c r="E63" s="27"/>
      <c r="F63" s="27"/>
      <c r="G63" s="7" t="s">
        <v>69</v>
      </c>
    </row>
    <row r="64" spans="1:7">
      <c r="A64" s="6" t="s">
        <v>8</v>
      </c>
      <c r="B64" s="27" t="s">
        <v>70</v>
      </c>
      <c r="C64" s="35">
        <f>C63/42.04*16.04/0.657</f>
        <v>0.58073270799571908</v>
      </c>
      <c r="D64" s="27" t="s">
        <v>71</v>
      </c>
      <c r="E64" s="27"/>
      <c r="F64" s="27"/>
      <c r="G64" s="7" t="s">
        <v>72</v>
      </c>
    </row>
    <row r="65" spans="1:7">
      <c r="A65" s="6" t="s">
        <v>11</v>
      </c>
      <c r="B65" s="27" t="s">
        <v>41</v>
      </c>
      <c r="C65" s="35">
        <f>(C63+C64*0.657)/0.9</f>
        <v>1.5350459879479859</v>
      </c>
      <c r="D65" s="27" t="s">
        <v>10</v>
      </c>
      <c r="E65" s="27"/>
      <c r="F65" s="27"/>
      <c r="G65" s="7" t="s">
        <v>73</v>
      </c>
    </row>
    <row r="66" spans="1:7">
      <c r="A66" s="6" t="s">
        <v>16</v>
      </c>
      <c r="B66" s="27" t="s">
        <v>43</v>
      </c>
      <c r="C66" s="38">
        <f>C65*'[2]electricity consumption'!$Y$43/3600000</f>
        <v>2.3452091482538672E-5</v>
      </c>
      <c r="D66" s="27" t="s">
        <v>44</v>
      </c>
      <c r="E66" s="27"/>
      <c r="F66" s="27"/>
      <c r="G66" s="7" t="s">
        <v>74</v>
      </c>
    </row>
    <row r="67" spans="1:7">
      <c r="A67" s="6" t="s">
        <v>16</v>
      </c>
      <c r="B67" s="27" t="s">
        <v>75</v>
      </c>
      <c r="C67" s="35">
        <f>C65*680*2.15/1000/'electricity consumption'!C120</f>
        <v>2.9923163125066066</v>
      </c>
      <c r="D67" s="27" t="s">
        <v>14</v>
      </c>
      <c r="E67" s="27"/>
      <c r="F67" s="27"/>
      <c r="G67" s="7" t="s">
        <v>76</v>
      </c>
    </row>
    <row r="68" spans="1:7">
      <c r="A68" s="6" t="s">
        <v>16</v>
      </c>
      <c r="B68" s="27" t="s">
        <v>17</v>
      </c>
      <c r="C68" s="38">
        <f>'[2]electricity consumption'!$Z$11</f>
        <v>4.0000000000000001E-10</v>
      </c>
      <c r="D68" s="27" t="s">
        <v>18</v>
      </c>
      <c r="E68" s="27"/>
      <c r="F68" s="27"/>
      <c r="G68" s="7"/>
    </row>
    <row r="69" spans="1:7">
      <c r="A69" s="116" t="s">
        <v>35</v>
      </c>
      <c r="B69" s="117"/>
      <c r="C69" s="117"/>
      <c r="D69" s="117"/>
      <c r="E69" s="117"/>
      <c r="F69" s="27"/>
      <c r="G69" s="7"/>
    </row>
    <row r="70" spans="1:7">
      <c r="A70" s="6" t="s">
        <v>31</v>
      </c>
      <c r="B70" s="27" t="s">
        <v>59</v>
      </c>
      <c r="C70" s="38">
        <f>C66*3.6</f>
        <v>8.4427529337139222E-5</v>
      </c>
      <c r="D70" s="27" t="s">
        <v>14</v>
      </c>
      <c r="E70" s="27"/>
      <c r="F70" s="27"/>
      <c r="G70" s="7"/>
    </row>
    <row r="71" spans="1:7">
      <c r="A71" s="6" t="s">
        <v>31</v>
      </c>
      <c r="B71" s="27" t="s">
        <v>77</v>
      </c>
      <c r="C71" s="38">
        <f>C65*0.1*0.002</f>
        <v>3.070091975895972E-4</v>
      </c>
      <c r="D71" s="27" t="s">
        <v>10</v>
      </c>
      <c r="E71" s="27"/>
      <c r="F71" s="27"/>
      <c r="G71" s="7" t="s">
        <v>58</v>
      </c>
    </row>
    <row r="72" spans="1:7">
      <c r="A72" s="116" t="s">
        <v>19</v>
      </c>
      <c r="B72" s="117"/>
      <c r="C72" s="117"/>
      <c r="D72" s="117"/>
      <c r="E72" s="117"/>
      <c r="F72" s="27"/>
      <c r="G72" s="7"/>
    </row>
    <row r="73" spans="1:7" ht="15" thickBot="1">
      <c r="A73" s="8" t="s">
        <v>20</v>
      </c>
      <c r="B73" s="1" t="s">
        <v>65</v>
      </c>
      <c r="C73" s="9">
        <f>C71/0.002</f>
        <v>0.15350459879479861</v>
      </c>
      <c r="D73" s="1" t="s">
        <v>10</v>
      </c>
      <c r="E73" s="1"/>
      <c r="F73" s="1"/>
      <c r="G73" s="2"/>
    </row>
    <row r="74" spans="1:7" ht="15" thickBot="1"/>
    <row r="75" spans="1:7">
      <c r="A75" s="118" t="s">
        <v>78</v>
      </c>
      <c r="B75" s="119"/>
      <c r="C75" s="119"/>
      <c r="D75" s="119"/>
      <c r="E75" s="11" t="s">
        <v>697</v>
      </c>
      <c r="F75" s="11"/>
      <c r="G75" s="12"/>
    </row>
    <row r="76" spans="1:7">
      <c r="A76" s="13" t="s">
        <v>588</v>
      </c>
      <c r="B76" s="28" t="s">
        <v>1</v>
      </c>
      <c r="C76" s="28" t="s">
        <v>3</v>
      </c>
      <c r="D76" s="28" t="s">
        <v>4</v>
      </c>
      <c r="E76" s="28" t="s">
        <v>5</v>
      </c>
      <c r="F76" s="28" t="s">
        <v>6</v>
      </c>
      <c r="G76" s="16" t="s">
        <v>7</v>
      </c>
    </row>
    <row r="77" spans="1:7">
      <c r="A77" s="6" t="s">
        <v>8</v>
      </c>
      <c r="B77" s="27" t="s">
        <v>78</v>
      </c>
      <c r="C77" s="35">
        <v>1</v>
      </c>
      <c r="D77" s="27" t="s">
        <v>10</v>
      </c>
      <c r="E77" s="27"/>
      <c r="F77" s="27"/>
      <c r="G77" s="7" t="s">
        <v>696</v>
      </c>
    </row>
    <row r="78" spans="1:7">
      <c r="A78" s="6" t="s">
        <v>8</v>
      </c>
      <c r="B78" s="27" t="s">
        <v>79</v>
      </c>
      <c r="C78" s="35">
        <f>C79*0.1/42.04*102.09</f>
        <v>0.11329737648155548</v>
      </c>
      <c r="D78" s="27" t="s">
        <v>10</v>
      </c>
      <c r="E78" s="27"/>
      <c r="F78" s="27"/>
      <c r="G78" s="7" t="s">
        <v>80</v>
      </c>
    </row>
    <row r="79" spans="1:7">
      <c r="A79" s="6" t="s">
        <v>81</v>
      </c>
      <c r="B79" s="27" t="s">
        <v>68</v>
      </c>
      <c r="C79" s="35">
        <f>1/100.12/0.9*42.04</f>
        <v>0.46655124961157718</v>
      </c>
      <c r="D79" s="27" t="s">
        <v>10</v>
      </c>
      <c r="E79" s="27"/>
      <c r="F79" s="27"/>
      <c r="G79" s="7"/>
    </row>
    <row r="80" spans="1:7">
      <c r="A80" s="6" t="s">
        <v>11</v>
      </c>
      <c r="B80" s="27" t="s">
        <v>41</v>
      </c>
      <c r="C80" s="35">
        <f>C77/100.12/0.93*58.08</f>
        <v>0.62376760790277475</v>
      </c>
      <c r="D80" s="27" t="s">
        <v>10</v>
      </c>
      <c r="E80" s="27"/>
      <c r="F80" s="27"/>
      <c r="G80" s="7"/>
    </row>
    <row r="81" spans="1:7">
      <c r="A81" s="6" t="s">
        <v>11</v>
      </c>
      <c r="B81" s="27" t="s">
        <v>82</v>
      </c>
      <c r="C81" s="35">
        <f>C78/102.09*60.052</f>
        <v>6.6644471079149475E-2</v>
      </c>
      <c r="D81" s="27" t="s">
        <v>10</v>
      </c>
      <c r="E81" s="27"/>
      <c r="F81" s="27"/>
      <c r="G81" s="7" t="s">
        <v>83</v>
      </c>
    </row>
    <row r="82" spans="1:7">
      <c r="A82" s="6" t="s">
        <v>16</v>
      </c>
      <c r="B82" s="27" t="s">
        <v>75</v>
      </c>
      <c r="C82" s="35">
        <f>(C80*2.15+C79*1.24)*48/'electricity consumption'!C120/1000</f>
        <v>0.12285593001659657</v>
      </c>
      <c r="D82" s="27" t="s">
        <v>14</v>
      </c>
      <c r="E82" s="27"/>
      <c r="F82" s="27"/>
      <c r="G82" s="7" t="s">
        <v>699</v>
      </c>
    </row>
    <row r="83" spans="1:7">
      <c r="A83" s="6" t="s">
        <v>16</v>
      </c>
      <c r="B83" s="27" t="s">
        <v>84</v>
      </c>
      <c r="C83" s="35">
        <f>SUM(C79:C80)*'electricity consumption'!C111</f>
        <v>1.6681878519969584</v>
      </c>
      <c r="D83" s="27" t="s">
        <v>10</v>
      </c>
      <c r="E83" s="27"/>
      <c r="F83" s="27"/>
      <c r="G83" t="s">
        <v>701</v>
      </c>
    </row>
    <row r="84" spans="1:7">
      <c r="A84" s="6" t="s">
        <v>16</v>
      </c>
      <c r="B84" s="27" t="s">
        <v>43</v>
      </c>
      <c r="C84" s="38">
        <f>SUM(C80,C81)*'electricity consumption'!$B$113/3600000</f>
        <v>1.0547962317779398E-5</v>
      </c>
      <c r="D84" s="27" t="s">
        <v>44</v>
      </c>
      <c r="E84" s="27"/>
      <c r="F84" s="27"/>
      <c r="G84" s="7" t="s">
        <v>74</v>
      </c>
    </row>
    <row r="85" spans="1:7">
      <c r="A85" s="6" t="s">
        <v>16</v>
      </c>
      <c r="B85" s="27" t="s">
        <v>17</v>
      </c>
      <c r="C85" s="38">
        <f>0.0000000004</f>
        <v>4.0000000000000001E-10</v>
      </c>
      <c r="D85" s="27" t="s">
        <v>18</v>
      </c>
      <c r="E85" s="27"/>
      <c r="F85" s="27"/>
      <c r="G85" s="7"/>
    </row>
    <row r="86" spans="1:7">
      <c r="A86" s="116" t="s">
        <v>35</v>
      </c>
      <c r="B86" s="117"/>
      <c r="C86" s="117"/>
      <c r="D86" s="117"/>
      <c r="E86" s="117"/>
      <c r="F86" s="27"/>
      <c r="G86" s="7"/>
    </row>
    <row r="87" spans="1:7">
      <c r="A87" s="6" t="s">
        <v>31</v>
      </c>
      <c r="B87" s="27" t="s">
        <v>59</v>
      </c>
      <c r="C87" s="38">
        <f>C84*3.6</f>
        <v>3.7972664344005834E-5</v>
      </c>
      <c r="D87" s="27" t="s">
        <v>14</v>
      </c>
      <c r="E87" s="27"/>
      <c r="F87" s="27"/>
      <c r="G87" s="7"/>
    </row>
    <row r="88" spans="1:7">
      <c r="A88" s="6" t="s">
        <v>31</v>
      </c>
      <c r="B88" s="27" t="s">
        <v>77</v>
      </c>
      <c r="C88" s="38">
        <f>C80*0.07*0.002</f>
        <v>8.7327465106388474E-5</v>
      </c>
      <c r="D88" s="27" t="s">
        <v>10</v>
      </c>
      <c r="E88" s="27"/>
      <c r="F88" s="27"/>
      <c r="G88" s="7"/>
    </row>
    <row r="89" spans="1:7">
      <c r="A89" s="6" t="s">
        <v>31</v>
      </c>
      <c r="B89" s="27" t="s">
        <v>68</v>
      </c>
      <c r="C89" s="38">
        <f>C79*0.1*0.002</f>
        <v>9.331024992231544E-5</v>
      </c>
      <c r="D89" s="27" t="s">
        <v>10</v>
      </c>
      <c r="E89" s="27"/>
      <c r="F89" s="27"/>
      <c r="G89" s="7" t="s">
        <v>85</v>
      </c>
    </row>
    <row r="90" spans="1:7">
      <c r="A90" s="116" t="s">
        <v>19</v>
      </c>
      <c r="B90" s="117"/>
      <c r="C90" s="117"/>
      <c r="D90" s="117"/>
      <c r="E90" s="117"/>
      <c r="F90" s="27"/>
      <c r="G90" s="7"/>
    </row>
    <row r="91" spans="1:7" ht="15" thickBot="1">
      <c r="A91" s="8" t="s">
        <v>20</v>
      </c>
      <c r="B91" s="1" t="s">
        <v>86</v>
      </c>
      <c r="C91" s="9">
        <f>C88/0.002</f>
        <v>4.3663732553194237E-2</v>
      </c>
      <c r="D91" s="1" t="s">
        <v>10</v>
      </c>
      <c r="E91" s="1"/>
      <c r="F91" s="1" t="s">
        <v>61</v>
      </c>
      <c r="G91" s="2"/>
    </row>
    <row r="92" spans="1:7" ht="15" thickBot="1"/>
    <row r="93" spans="1:7">
      <c r="A93" s="118" t="s">
        <v>87</v>
      </c>
      <c r="B93" s="119"/>
      <c r="C93" s="119"/>
      <c r="D93" s="119"/>
      <c r="E93" s="11" t="s">
        <v>702</v>
      </c>
      <c r="F93" s="11"/>
      <c r="G93" s="12"/>
    </row>
    <row r="94" spans="1:7">
      <c r="A94" s="13" t="s">
        <v>588</v>
      </c>
      <c r="B94" s="28" t="s">
        <v>1</v>
      </c>
      <c r="C94" s="28" t="s">
        <v>3</v>
      </c>
      <c r="D94" s="28" t="s">
        <v>4</v>
      </c>
      <c r="E94" s="28" t="s">
        <v>5</v>
      </c>
      <c r="F94" s="28" t="s">
        <v>6</v>
      </c>
      <c r="G94" s="16" t="s">
        <v>7</v>
      </c>
    </row>
    <row r="95" spans="1:7">
      <c r="A95" s="6" t="s">
        <v>8</v>
      </c>
      <c r="B95" s="27" t="s">
        <v>88</v>
      </c>
      <c r="C95" s="35">
        <v>1</v>
      </c>
      <c r="D95" s="27" t="s">
        <v>10</v>
      </c>
      <c r="E95" s="27"/>
      <c r="F95" s="27"/>
      <c r="G95" s="7" t="s">
        <v>704</v>
      </c>
    </row>
    <row r="96" spans="1:7">
      <c r="A96" s="6" t="s">
        <v>11</v>
      </c>
      <c r="B96" s="27" t="s">
        <v>78</v>
      </c>
      <c r="C96" s="35">
        <f>C95/100.13/0.82*100.12</f>
        <v>1.2193904022331945</v>
      </c>
      <c r="D96" s="27" t="s">
        <v>10</v>
      </c>
      <c r="E96" s="27"/>
      <c r="F96" s="27"/>
      <c r="G96" s="7"/>
    </row>
    <row r="97" spans="1:7">
      <c r="A97" s="6" t="s">
        <v>16</v>
      </c>
      <c r="B97" s="27" t="s">
        <v>89</v>
      </c>
      <c r="C97" s="35">
        <f>'electricity consumption'!$B$126</f>
        <v>2.7602169350845336</v>
      </c>
      <c r="D97" s="27" t="s">
        <v>14</v>
      </c>
      <c r="E97" s="27"/>
      <c r="F97" s="27"/>
      <c r="G97" s="7"/>
    </row>
    <row r="98" spans="1:7">
      <c r="A98" s="6" t="s">
        <v>16</v>
      </c>
      <c r="B98" s="27" t="s">
        <v>43</v>
      </c>
      <c r="C98" s="35">
        <f>'electricity consumption'!$B$127/3.6</f>
        <v>0.57274176602974736</v>
      </c>
      <c r="D98" s="27" t="s">
        <v>44</v>
      </c>
      <c r="E98" s="27"/>
      <c r="F98" s="27"/>
      <c r="G98" s="7"/>
    </row>
    <row r="99" spans="1:7">
      <c r="A99" s="6" t="s">
        <v>16</v>
      </c>
      <c r="B99" s="27" t="s">
        <v>84</v>
      </c>
      <c r="C99" s="35">
        <f>'electricity consumption'!$B$128/2.75</f>
        <v>8.6513711712136565E-2</v>
      </c>
      <c r="D99" s="27" t="s">
        <v>10</v>
      </c>
      <c r="E99" s="27"/>
      <c r="F99" s="27"/>
      <c r="G99" s="7"/>
    </row>
    <row r="100" spans="1:7">
      <c r="A100" s="6" t="s">
        <v>16</v>
      </c>
      <c r="B100" s="27" t="s">
        <v>17</v>
      </c>
      <c r="C100" s="38">
        <f>0.0000000004</f>
        <v>4.0000000000000001E-10</v>
      </c>
      <c r="D100" s="27" t="s">
        <v>18</v>
      </c>
      <c r="E100" s="27"/>
      <c r="F100" s="27"/>
      <c r="G100" s="7"/>
    </row>
    <row r="101" spans="1:7">
      <c r="A101" s="116" t="s">
        <v>35</v>
      </c>
      <c r="B101" s="117"/>
      <c r="C101" s="117"/>
      <c r="D101" s="117"/>
      <c r="E101" s="32"/>
      <c r="F101" s="27"/>
      <c r="G101" s="7"/>
    </row>
    <row r="102" spans="1:7">
      <c r="A102" s="6" t="s">
        <v>8</v>
      </c>
      <c r="B102" s="27" t="s">
        <v>90</v>
      </c>
      <c r="C102" s="35">
        <f>C95/0.285*12.6/3/1000</f>
        <v>1.4736842105263158E-2</v>
      </c>
      <c r="D102" s="27" t="s">
        <v>10</v>
      </c>
      <c r="E102" s="27"/>
      <c r="F102" s="27"/>
      <c r="G102" s="7" t="s">
        <v>91</v>
      </c>
    </row>
    <row r="103" spans="1:7">
      <c r="A103" s="6" t="s">
        <v>8</v>
      </c>
      <c r="B103" s="27" t="s">
        <v>77</v>
      </c>
      <c r="C103" s="35">
        <f>C95/0.285*12.6/3/1000*2</f>
        <v>2.9473684210526315E-2</v>
      </c>
      <c r="D103" s="27" t="s">
        <v>10</v>
      </c>
      <c r="E103" s="27"/>
      <c r="F103" s="27"/>
      <c r="G103" s="7" t="s">
        <v>92</v>
      </c>
    </row>
    <row r="104" spans="1:7">
      <c r="A104" s="116" t="s">
        <v>19</v>
      </c>
      <c r="B104" s="117"/>
      <c r="C104" s="117"/>
      <c r="D104" s="117"/>
      <c r="E104" s="32"/>
      <c r="F104" s="27"/>
      <c r="G104" s="7"/>
    </row>
    <row r="105" spans="1:7">
      <c r="A105" s="6" t="s">
        <v>20</v>
      </c>
      <c r="B105" s="27" t="s">
        <v>93</v>
      </c>
      <c r="C105" s="35">
        <f>C98*3.6</f>
        <v>2.0618703577070905</v>
      </c>
      <c r="D105" s="27" t="s">
        <v>14</v>
      </c>
      <c r="E105" s="27"/>
      <c r="F105" s="27"/>
      <c r="G105" s="7"/>
    </row>
    <row r="106" spans="1:7" ht="15" thickBot="1">
      <c r="A106" s="8" t="s">
        <v>20</v>
      </c>
      <c r="B106" s="1" t="s">
        <v>65</v>
      </c>
      <c r="C106" s="9">
        <f>C96-C102-C103-C95</f>
        <v>0.17517987591740503</v>
      </c>
      <c r="D106" s="1" t="s">
        <v>10</v>
      </c>
      <c r="E106" s="1"/>
      <c r="F106" s="1"/>
      <c r="G106" s="2" t="s">
        <v>94</v>
      </c>
    </row>
    <row r="107" spans="1:7" ht="15" thickBot="1"/>
    <row r="108" spans="1:7">
      <c r="A108" s="124" t="s">
        <v>95</v>
      </c>
      <c r="B108" s="125"/>
      <c r="C108" s="125"/>
      <c r="D108" s="125"/>
      <c r="E108" s="11" t="s">
        <v>708</v>
      </c>
      <c r="F108" s="11"/>
      <c r="G108" s="84"/>
    </row>
    <row r="109" spans="1:7">
      <c r="A109" s="13" t="s">
        <v>588</v>
      </c>
      <c r="B109" s="28" t="s">
        <v>1</v>
      </c>
      <c r="C109" s="28" t="s">
        <v>3</v>
      </c>
      <c r="D109" s="28" t="s">
        <v>4</v>
      </c>
      <c r="E109" s="28" t="s">
        <v>5</v>
      </c>
      <c r="F109" s="28" t="s">
        <v>6</v>
      </c>
      <c r="G109" s="16" t="s">
        <v>7</v>
      </c>
    </row>
    <row r="110" spans="1:7">
      <c r="A110" s="21" t="s">
        <v>8</v>
      </c>
      <c r="B110" s="20" t="s">
        <v>96</v>
      </c>
      <c r="C110" s="20">
        <v>1</v>
      </c>
      <c r="D110" s="20" t="s">
        <v>10</v>
      </c>
      <c r="E110" s="20"/>
      <c r="F110" s="20"/>
      <c r="G110" s="86" t="s">
        <v>235</v>
      </c>
    </row>
    <row r="111" spans="1:7">
      <c r="A111" s="21" t="s">
        <v>11</v>
      </c>
      <c r="B111" s="20" t="s">
        <v>50</v>
      </c>
      <c r="C111" s="35">
        <f>0.75/364.26*284.219/(0.75+0.247488057980563)</f>
        <v>0.58667175824629514</v>
      </c>
      <c r="D111" s="20" t="s">
        <v>10</v>
      </c>
      <c r="E111" s="20"/>
      <c r="F111" s="20"/>
      <c r="G111" s="86" t="s">
        <v>709</v>
      </c>
    </row>
    <row r="112" spans="1:7">
      <c r="A112" s="21" t="s">
        <v>11</v>
      </c>
      <c r="B112" s="20" t="s">
        <v>97</v>
      </c>
      <c r="C112" s="35">
        <f>0.75/364.26*2*100.13/(0.75+0.247488057980563)</f>
        <v>0.41336746067786828</v>
      </c>
      <c r="D112" s="20" t="s">
        <v>10</v>
      </c>
      <c r="E112" s="20"/>
      <c r="F112" s="20"/>
      <c r="G112" s="104"/>
    </row>
    <row r="113" spans="1:7">
      <c r="A113" s="21" t="s">
        <v>11</v>
      </c>
      <c r="B113" s="20" t="s">
        <v>98</v>
      </c>
      <c r="C113" s="35">
        <v>0</v>
      </c>
      <c r="D113" s="20" t="s">
        <v>10</v>
      </c>
      <c r="E113" s="20"/>
      <c r="F113" s="20"/>
      <c r="G113" s="105"/>
    </row>
    <row r="114" spans="1:7">
      <c r="A114" s="21" t="s">
        <v>11</v>
      </c>
      <c r="B114" s="20" t="s">
        <v>43</v>
      </c>
      <c r="C114" s="38">
        <f>(C112*0.98+C111*0.96)*'electricity consumption'!M106/1000</f>
        <v>1.7460250322547655E-5</v>
      </c>
      <c r="D114" s="20" t="s">
        <v>44</v>
      </c>
      <c r="E114" s="20"/>
      <c r="F114" s="20"/>
      <c r="G114" s="86" t="s">
        <v>99</v>
      </c>
    </row>
    <row r="115" spans="1:7">
      <c r="A115" s="21" t="s">
        <v>16</v>
      </c>
      <c r="B115" s="20" t="s">
        <v>43</v>
      </c>
      <c r="C115" s="38">
        <f>SUM(C111,C112)*'electricity consumption'!$B$113/3600000</f>
        <v>1.5278376955785829E-5</v>
      </c>
      <c r="D115" s="20" t="s">
        <v>44</v>
      </c>
      <c r="E115" s="20"/>
      <c r="F115" s="20"/>
      <c r="G115" s="86" t="s">
        <v>74</v>
      </c>
    </row>
    <row r="116" spans="1:7">
      <c r="A116" s="21" t="s">
        <v>16</v>
      </c>
      <c r="B116" s="20" t="s">
        <v>17</v>
      </c>
      <c r="C116" s="38">
        <f>'[1]electricity consumption'!$Z$11</f>
        <v>4.0000000000000001E-10</v>
      </c>
      <c r="D116" s="20" t="s">
        <v>18</v>
      </c>
      <c r="E116" s="20"/>
      <c r="F116" s="20"/>
      <c r="G116" s="7"/>
    </row>
    <row r="117" spans="1:7">
      <c r="A117" s="52" t="s">
        <v>19</v>
      </c>
      <c r="B117" s="20"/>
      <c r="C117" s="27"/>
      <c r="D117" s="20"/>
      <c r="E117" s="20"/>
      <c r="F117" s="20"/>
      <c r="G117" s="7"/>
    </row>
    <row r="118" spans="1:7">
      <c r="A118" s="21" t="s">
        <v>20</v>
      </c>
      <c r="B118" s="20" t="s">
        <v>100</v>
      </c>
      <c r="C118" s="38">
        <f>C114*3.6</f>
        <v>6.285690116117156E-5</v>
      </c>
      <c r="D118" s="20" t="s">
        <v>14</v>
      </c>
      <c r="E118" s="20"/>
      <c r="F118" s="20"/>
      <c r="G118" s="7"/>
    </row>
    <row r="119" spans="1:7" ht="15" thickBot="1">
      <c r="A119" s="22" t="s">
        <v>101</v>
      </c>
      <c r="B119" s="23" t="s">
        <v>102</v>
      </c>
      <c r="C119" s="23" t="s">
        <v>102</v>
      </c>
      <c r="D119" s="23" t="s">
        <v>102</v>
      </c>
      <c r="E119" s="85"/>
      <c r="F119" s="85"/>
      <c r="G119" s="2"/>
    </row>
    <row r="120" spans="1:7" ht="15" thickBot="1"/>
    <row r="121" spans="1:7">
      <c r="A121" s="120" t="s">
        <v>236</v>
      </c>
      <c r="B121" s="121"/>
      <c r="C121" s="121"/>
      <c r="D121" s="121"/>
      <c r="E121" s="88" t="s">
        <v>710</v>
      </c>
      <c r="F121" s="88"/>
      <c r="G121" s="12"/>
    </row>
    <row r="122" spans="1:7">
      <c r="A122" s="13" t="s">
        <v>588</v>
      </c>
      <c r="B122" s="28" t="s">
        <v>1</v>
      </c>
      <c r="C122" s="28" t="s">
        <v>3</v>
      </c>
      <c r="D122" s="28" t="s">
        <v>4</v>
      </c>
      <c r="E122" s="28" t="s">
        <v>5</v>
      </c>
      <c r="F122" s="28" t="s">
        <v>6</v>
      </c>
      <c r="G122" s="16" t="s">
        <v>7</v>
      </c>
    </row>
    <row r="123" spans="1:7">
      <c r="A123" s="6" t="s">
        <v>8</v>
      </c>
      <c r="B123" s="27" t="s">
        <v>237</v>
      </c>
      <c r="C123" s="35">
        <v>1</v>
      </c>
      <c r="D123" s="27" t="s">
        <v>10</v>
      </c>
      <c r="E123" s="27"/>
      <c r="F123" s="27"/>
      <c r="G123" s="7"/>
    </row>
    <row r="124" spans="1:7">
      <c r="A124" s="6" t="s">
        <v>11</v>
      </c>
      <c r="B124" s="27" t="s">
        <v>50</v>
      </c>
      <c r="C124" s="35">
        <v>3.5590000000000002</v>
      </c>
      <c r="D124" s="27" t="s">
        <v>10</v>
      </c>
      <c r="E124" s="27"/>
      <c r="F124" s="27" t="s">
        <v>248</v>
      </c>
      <c r="G124" s="7"/>
    </row>
    <row r="125" spans="1:7">
      <c r="A125" s="6" t="s">
        <v>11</v>
      </c>
      <c r="B125" s="27" t="s">
        <v>675</v>
      </c>
      <c r="C125" s="35">
        <v>0.752</v>
      </c>
      <c r="D125" s="27" t="s">
        <v>10</v>
      </c>
      <c r="E125" s="27"/>
      <c r="F125" s="27"/>
      <c r="G125" s="7"/>
    </row>
    <row r="126" spans="1:7">
      <c r="A126" s="6" t="s">
        <v>11</v>
      </c>
      <c r="B126" s="27" t="s">
        <v>674</v>
      </c>
      <c r="C126" s="35">
        <v>12.648</v>
      </c>
      <c r="D126" s="27" t="s">
        <v>10</v>
      </c>
      <c r="E126" s="27"/>
      <c r="F126" s="27"/>
      <c r="G126" s="7"/>
    </row>
    <row r="127" spans="1:7">
      <c r="A127" s="6" t="s">
        <v>16</v>
      </c>
      <c r="B127" s="27" t="s">
        <v>540</v>
      </c>
      <c r="C127" s="35">
        <f>0.612/3.6</f>
        <v>0.16999999999999998</v>
      </c>
      <c r="D127" s="27" t="s">
        <v>44</v>
      </c>
      <c r="E127" s="27"/>
      <c r="F127" s="27"/>
      <c r="G127" s="7" t="s">
        <v>160</v>
      </c>
    </row>
    <row r="128" spans="1:7">
      <c r="A128" s="6" t="s">
        <v>16</v>
      </c>
      <c r="B128" s="27" t="s">
        <v>540</v>
      </c>
      <c r="C128" s="35">
        <f>14.8/3.6</f>
        <v>4.1111111111111116</v>
      </c>
      <c r="D128" s="27" t="s">
        <v>44</v>
      </c>
      <c r="E128" s="24" t="s">
        <v>712</v>
      </c>
      <c r="F128" s="27"/>
      <c r="G128" s="7" t="s">
        <v>711</v>
      </c>
    </row>
    <row r="129" spans="1:7">
      <c r="A129" s="6" t="s">
        <v>16</v>
      </c>
      <c r="B129" s="27" t="s">
        <v>540</v>
      </c>
      <c r="C129" s="35">
        <f>2.922/3.6</f>
        <v>0.81166666666666665</v>
      </c>
      <c r="D129" s="27" t="s">
        <v>44</v>
      </c>
      <c r="E129" s="27"/>
      <c r="F129" s="27"/>
      <c r="G129" s="7" t="s">
        <v>239</v>
      </c>
    </row>
    <row r="130" spans="1:7">
      <c r="A130" s="6" t="s">
        <v>16</v>
      </c>
      <c r="B130" s="27" t="s">
        <v>17</v>
      </c>
      <c r="C130" s="38">
        <f>0.0000000004</f>
        <v>4.0000000000000001E-10</v>
      </c>
      <c r="D130" s="27" t="s">
        <v>18</v>
      </c>
      <c r="E130" s="27"/>
      <c r="F130" s="27"/>
      <c r="G130" s="7"/>
    </row>
    <row r="131" spans="1:7">
      <c r="A131" s="116" t="s">
        <v>35</v>
      </c>
      <c r="B131" s="117"/>
      <c r="C131" s="117"/>
      <c r="D131" s="117"/>
      <c r="E131" s="117"/>
      <c r="F131" s="27"/>
      <c r="G131" s="7"/>
    </row>
    <row r="132" spans="1:7">
      <c r="A132" s="6" t="s">
        <v>31</v>
      </c>
      <c r="B132" s="27" t="s">
        <v>59</v>
      </c>
      <c r="C132" s="35">
        <f>SUM(C127:C129)*3.6</f>
        <v>18.334000000000003</v>
      </c>
      <c r="D132" s="27" t="s">
        <v>14</v>
      </c>
      <c r="E132" s="27"/>
      <c r="F132" s="27"/>
      <c r="G132" s="7"/>
    </row>
    <row r="133" spans="1:7">
      <c r="A133" s="6" t="s">
        <v>31</v>
      </c>
      <c r="B133" s="27" t="s">
        <v>240</v>
      </c>
      <c r="C133" s="87">
        <f>C125*0.002</f>
        <v>1.5040000000000001E-3</v>
      </c>
      <c r="D133" s="27" t="s">
        <v>10</v>
      </c>
      <c r="E133" s="27"/>
      <c r="F133" s="27"/>
      <c r="G133" s="7" t="s">
        <v>241</v>
      </c>
    </row>
    <row r="134" spans="1:7">
      <c r="A134" s="6" t="s">
        <v>31</v>
      </c>
      <c r="B134" s="27" t="s">
        <v>98</v>
      </c>
      <c r="C134" s="35">
        <f>C124/284.22*60.1*4*0.002</f>
        <v>6.0205727957216241E-3</v>
      </c>
      <c r="D134" s="27" t="s">
        <v>10</v>
      </c>
      <c r="E134" s="27"/>
      <c r="F134" s="27"/>
      <c r="G134" s="7" t="s">
        <v>241</v>
      </c>
    </row>
    <row r="135" spans="1:7">
      <c r="A135" s="116" t="s">
        <v>19</v>
      </c>
      <c r="B135" s="117"/>
      <c r="C135" s="117"/>
      <c r="D135" s="117"/>
      <c r="E135" s="117"/>
      <c r="F135" s="27"/>
      <c r="G135" s="7"/>
    </row>
    <row r="136" spans="1:7">
      <c r="A136" s="6" t="s">
        <v>20</v>
      </c>
      <c r="B136" s="27" t="s">
        <v>100</v>
      </c>
      <c r="C136" s="35">
        <f>SUM(C127:C129)*3.6</f>
        <v>18.334000000000003</v>
      </c>
      <c r="D136" s="27" t="s">
        <v>14</v>
      </c>
      <c r="E136" s="27"/>
      <c r="F136" s="27"/>
      <c r="G136" s="7"/>
    </row>
    <row r="137" spans="1:7">
      <c r="A137" s="6" t="s">
        <v>20</v>
      </c>
      <c r="B137" s="27" t="s">
        <v>240</v>
      </c>
      <c r="C137" s="35">
        <f>C125*0.998</f>
        <v>0.75049600000000005</v>
      </c>
      <c r="D137" s="27" t="s">
        <v>10</v>
      </c>
      <c r="E137" s="27"/>
      <c r="F137" s="27"/>
      <c r="G137" s="7" t="s">
        <v>242</v>
      </c>
    </row>
    <row r="138" spans="1:7">
      <c r="A138" s="6" t="s">
        <v>20</v>
      </c>
      <c r="B138" s="27" t="s">
        <v>98</v>
      </c>
      <c r="C138" s="35">
        <f>C134/0.002</f>
        <v>3.0102863978608121</v>
      </c>
      <c r="D138" s="27" t="s">
        <v>10</v>
      </c>
      <c r="E138" s="27"/>
      <c r="F138" s="27"/>
      <c r="G138" s="7" t="s">
        <v>242</v>
      </c>
    </row>
    <row r="139" spans="1:7">
      <c r="A139" s="116" t="s">
        <v>101</v>
      </c>
      <c r="B139" s="117"/>
      <c r="C139" s="117"/>
      <c r="D139" s="117"/>
      <c r="E139" s="117"/>
      <c r="F139" s="27"/>
      <c r="G139" s="7"/>
    </row>
    <row r="140" spans="1:7">
      <c r="A140" s="6" t="s">
        <v>16</v>
      </c>
      <c r="B140" s="27" t="s">
        <v>243</v>
      </c>
      <c r="C140" s="35">
        <f>C124*600/1000</f>
        <v>2.1354000000000002</v>
      </c>
      <c r="D140" s="27" t="s">
        <v>244</v>
      </c>
      <c r="E140" s="27"/>
      <c r="F140" s="27"/>
      <c r="G140" s="7" t="s">
        <v>245</v>
      </c>
    </row>
    <row r="141" spans="1:7" ht="15" thickBot="1">
      <c r="A141" s="8" t="s">
        <v>16</v>
      </c>
      <c r="B141" s="1" t="s">
        <v>246</v>
      </c>
      <c r="C141" s="9">
        <f>C124*100/1000</f>
        <v>0.35590000000000005</v>
      </c>
      <c r="D141" s="1" t="s">
        <v>244</v>
      </c>
      <c r="E141" s="1"/>
      <c r="F141" s="1"/>
      <c r="G141" s="2" t="s">
        <v>247</v>
      </c>
    </row>
    <row r="142" spans="1:7" ht="15" thickBot="1"/>
    <row r="143" spans="1:7">
      <c r="A143" s="118" t="s">
        <v>256</v>
      </c>
      <c r="B143" s="119"/>
      <c r="C143" s="119"/>
      <c r="D143" s="119"/>
      <c r="E143" s="11" t="s">
        <v>717</v>
      </c>
      <c r="F143" s="11"/>
      <c r="G143" s="89"/>
    </row>
    <row r="144" spans="1:7">
      <c r="A144" s="13" t="s">
        <v>588</v>
      </c>
      <c r="B144" s="28" t="s">
        <v>1</v>
      </c>
      <c r="C144" s="28" t="s">
        <v>3</v>
      </c>
      <c r="D144" s="28" t="s">
        <v>4</v>
      </c>
      <c r="E144" s="28" t="s">
        <v>5</v>
      </c>
      <c r="F144" s="28" t="s">
        <v>6</v>
      </c>
      <c r="G144" s="16" t="s">
        <v>7</v>
      </c>
    </row>
    <row r="145" spans="1:7">
      <c r="A145" s="6" t="s">
        <v>8</v>
      </c>
      <c r="B145" s="28" t="s">
        <v>249</v>
      </c>
      <c r="C145" s="35">
        <f>1</f>
        <v>1</v>
      </c>
      <c r="D145" s="27" t="s">
        <v>10</v>
      </c>
      <c r="E145" s="27"/>
      <c r="F145" s="27"/>
      <c r="G145" s="7"/>
    </row>
    <row r="146" spans="1:7">
      <c r="A146" s="6" t="s">
        <v>11</v>
      </c>
      <c r="B146" s="27" t="s">
        <v>250</v>
      </c>
      <c r="C146" s="35">
        <f>C158/64.51*28.054/C158</f>
        <v>0.43487831343977679</v>
      </c>
      <c r="D146" s="27" t="s">
        <v>10</v>
      </c>
      <c r="E146" s="27"/>
      <c r="F146" s="27" t="s">
        <v>251</v>
      </c>
      <c r="G146" s="7"/>
    </row>
    <row r="147" spans="1:7">
      <c r="A147" s="6" t="s">
        <v>11</v>
      </c>
      <c r="B147" s="27" t="s">
        <v>252</v>
      </c>
      <c r="C147" s="35">
        <f>C158/64.51*36.458/C158</f>
        <v>0.56515268950550301</v>
      </c>
      <c r="D147" s="27" t="s">
        <v>10</v>
      </c>
      <c r="E147" s="27"/>
      <c r="F147" s="27" t="s">
        <v>253</v>
      </c>
      <c r="G147" s="7"/>
    </row>
    <row r="148" spans="1:7">
      <c r="A148" s="6" t="s">
        <v>16</v>
      </c>
      <c r="B148" s="27" t="s">
        <v>254</v>
      </c>
      <c r="C148" s="38">
        <f>SUM(C146:C147)*'[1]electricity consumption'!$Y$43/3600000</f>
        <v>1.5278251433886222E-5</v>
      </c>
      <c r="D148" s="27" t="s">
        <v>44</v>
      </c>
      <c r="E148" s="27" t="s">
        <v>74</v>
      </c>
      <c r="F148" s="27"/>
      <c r="G148" s="7"/>
    </row>
    <row r="149" spans="1:7">
      <c r="A149" s="6" t="s">
        <v>16</v>
      </c>
      <c r="B149" s="27" t="s">
        <v>17</v>
      </c>
      <c r="C149" s="38">
        <f>'[1]electricity consumption'!$Z$11</f>
        <v>4.0000000000000001E-10</v>
      </c>
      <c r="D149" s="27" t="s">
        <v>18</v>
      </c>
      <c r="E149" s="27"/>
      <c r="F149" s="27"/>
      <c r="G149" s="7"/>
    </row>
    <row r="150" spans="1:7">
      <c r="A150" s="116" t="s">
        <v>35</v>
      </c>
      <c r="B150" s="117"/>
      <c r="C150" s="117"/>
      <c r="D150" s="117"/>
      <c r="E150" s="117"/>
      <c r="F150" s="27"/>
      <c r="G150" s="7"/>
    </row>
    <row r="151" spans="1:7" ht="15" thickBot="1">
      <c r="A151" s="8" t="s">
        <v>31</v>
      </c>
      <c r="B151" s="1" t="s">
        <v>255</v>
      </c>
      <c r="C151" s="14">
        <f>C148*3.6</f>
        <v>5.5001705161990402E-5</v>
      </c>
      <c r="D151" s="1"/>
      <c r="E151" s="1"/>
      <c r="F151" s="1"/>
      <c r="G151" s="2"/>
    </row>
    <row r="152" spans="1:7" ht="15" thickBot="1"/>
    <row r="153" spans="1:7">
      <c r="A153" s="118" t="s">
        <v>257</v>
      </c>
      <c r="B153" s="119"/>
      <c r="C153" s="119"/>
      <c r="D153" s="119"/>
      <c r="E153" s="11" t="s">
        <v>719</v>
      </c>
      <c r="F153" s="11"/>
      <c r="G153" s="12"/>
    </row>
    <row r="154" spans="1:7">
      <c r="A154" s="13" t="s">
        <v>588</v>
      </c>
      <c r="B154" s="28" t="s">
        <v>1</v>
      </c>
      <c r="C154" s="28" t="s">
        <v>3</v>
      </c>
      <c r="D154" s="28" t="s">
        <v>4</v>
      </c>
      <c r="E154" s="28" t="s">
        <v>5</v>
      </c>
      <c r="F154" s="28" t="s">
        <v>6</v>
      </c>
      <c r="G154" s="16" t="s">
        <v>7</v>
      </c>
    </row>
    <row r="155" spans="1:7">
      <c r="A155" s="6" t="s">
        <v>8</v>
      </c>
      <c r="B155" s="27" t="s">
        <v>257</v>
      </c>
      <c r="C155" s="35">
        <v>1</v>
      </c>
      <c r="D155" s="27" t="s">
        <v>10</v>
      </c>
      <c r="E155" s="27"/>
      <c r="F155" s="27"/>
      <c r="G155" s="7"/>
    </row>
    <row r="156" spans="1:7">
      <c r="A156" s="6" t="s">
        <v>11</v>
      </c>
      <c r="B156" s="27" t="s">
        <v>258</v>
      </c>
      <c r="C156" s="35">
        <f>0.356735*2</f>
        <v>0.71347000000000005</v>
      </c>
      <c r="D156" s="27" t="s">
        <v>10</v>
      </c>
      <c r="E156" s="27"/>
      <c r="F156" s="27"/>
      <c r="G156" s="7"/>
    </row>
    <row r="157" spans="1:7">
      <c r="A157" s="6" t="s">
        <v>11</v>
      </c>
      <c r="B157" s="27" t="s">
        <v>259</v>
      </c>
      <c r="C157" s="35">
        <f>0.101359*2</f>
        <v>0.20271800000000001</v>
      </c>
      <c r="D157" s="27" t="s">
        <v>10</v>
      </c>
      <c r="E157" s="28"/>
      <c r="F157" s="27"/>
      <c r="G157" s="7"/>
    </row>
    <row r="158" spans="1:7">
      <c r="A158" s="6" t="s">
        <v>11</v>
      </c>
      <c r="B158" s="27" t="s">
        <v>252</v>
      </c>
      <c r="C158" s="35">
        <f>0.080202*2</f>
        <v>0.16040399999999999</v>
      </c>
      <c r="D158" s="27" t="s">
        <v>10</v>
      </c>
      <c r="E158" s="27"/>
      <c r="F158" s="27"/>
      <c r="G158" s="7"/>
    </row>
    <row r="159" spans="1:7">
      <c r="A159" s="6" t="s">
        <v>11</v>
      </c>
      <c r="B159" s="27" t="s">
        <v>260</v>
      </c>
      <c r="C159" s="35">
        <f>141.932/1000*2</f>
        <v>0.28386399999999995</v>
      </c>
      <c r="D159" s="27" t="s">
        <v>10</v>
      </c>
      <c r="E159" s="27"/>
      <c r="F159" s="24" t="s">
        <v>248</v>
      </c>
      <c r="G159" s="7"/>
    </row>
    <row r="160" spans="1:7">
      <c r="A160" s="6" t="s">
        <v>16</v>
      </c>
      <c r="B160" s="27" t="s">
        <v>89</v>
      </c>
      <c r="C160" s="35">
        <f>'[1]electricity consumption'!$I$102</f>
        <v>2.7602169350845336</v>
      </c>
      <c r="D160" s="27" t="s">
        <v>14</v>
      </c>
      <c r="E160" s="27"/>
      <c r="F160" s="27"/>
      <c r="G160" s="7"/>
    </row>
    <row r="161" spans="1:7">
      <c r="A161" s="6" t="s">
        <v>16</v>
      </c>
      <c r="B161" s="27" t="s">
        <v>254</v>
      </c>
      <c r="C161" s="35">
        <f>'[1]electricity consumption'!$I$103/3.6</f>
        <v>0.57274176602974736</v>
      </c>
      <c r="D161" s="27" t="s">
        <v>44</v>
      </c>
      <c r="E161" s="27"/>
      <c r="F161" s="27"/>
      <c r="G161" s="7"/>
    </row>
    <row r="162" spans="1:7">
      <c r="A162" s="6" t="s">
        <v>16</v>
      </c>
      <c r="B162" s="27" t="s">
        <v>84</v>
      </c>
      <c r="C162" s="35">
        <f>'[1]electricity consumption'!$I$104/2.75</f>
        <v>8.6513711712136565E-2</v>
      </c>
      <c r="D162" s="27" t="s">
        <v>10</v>
      </c>
      <c r="E162" s="27"/>
      <c r="F162" s="27"/>
      <c r="G162" s="7" t="s">
        <v>261</v>
      </c>
    </row>
    <row r="163" spans="1:7">
      <c r="A163" s="6" t="s">
        <v>16</v>
      </c>
      <c r="B163" s="27" t="s">
        <v>17</v>
      </c>
      <c r="C163" s="38">
        <f>'[1]electricity consumption'!$Z$11</f>
        <v>4.0000000000000001E-10</v>
      </c>
      <c r="D163" s="27" t="s">
        <v>18</v>
      </c>
      <c r="E163" s="27"/>
      <c r="F163" s="27"/>
      <c r="G163" s="7"/>
    </row>
    <row r="164" spans="1:7">
      <c r="A164" s="116" t="s">
        <v>35</v>
      </c>
      <c r="B164" s="117"/>
      <c r="C164" s="117"/>
      <c r="D164" s="117"/>
      <c r="E164" s="27"/>
      <c r="F164" s="27"/>
      <c r="G164" s="7"/>
    </row>
    <row r="165" spans="1:7">
      <c r="A165" s="6" t="s">
        <v>31</v>
      </c>
      <c r="B165" s="27" t="s">
        <v>93</v>
      </c>
      <c r="C165" s="35">
        <f>C161*3.6</f>
        <v>2.0618703577070905</v>
      </c>
      <c r="D165" s="27" t="s">
        <v>14</v>
      </c>
      <c r="E165" s="27"/>
      <c r="F165" s="27"/>
      <c r="G165" s="7" t="s">
        <v>262</v>
      </c>
    </row>
    <row r="166" spans="1:7">
      <c r="A166" s="116" t="s">
        <v>30</v>
      </c>
      <c r="B166" s="117"/>
      <c r="C166" s="117"/>
      <c r="D166" s="117"/>
      <c r="E166" s="27"/>
      <c r="F166" s="27"/>
      <c r="G166" s="7"/>
    </row>
    <row r="167" spans="1:7" ht="15" thickBot="1">
      <c r="A167" s="8" t="s">
        <v>8</v>
      </c>
      <c r="B167" s="1" t="s">
        <v>46</v>
      </c>
      <c r="C167" s="9">
        <f>0.0802*2</f>
        <v>0.16039999999999999</v>
      </c>
      <c r="D167" s="1" t="s">
        <v>10</v>
      </c>
      <c r="E167" s="1"/>
      <c r="F167" s="1"/>
      <c r="G167" s="2"/>
    </row>
    <row r="168" spans="1:7" ht="15" thickBot="1"/>
    <row r="169" spans="1:7">
      <c r="A169" s="128" t="s">
        <v>263</v>
      </c>
      <c r="B169" s="129"/>
      <c r="C169" s="129"/>
      <c r="D169" s="129"/>
      <c r="E169" s="11" t="s">
        <v>720</v>
      </c>
      <c r="F169" s="11"/>
      <c r="G169" s="12"/>
    </row>
    <row r="170" spans="1:7">
      <c r="A170" s="13" t="s">
        <v>588</v>
      </c>
      <c r="B170" s="28" t="s">
        <v>1</v>
      </c>
      <c r="C170" s="28" t="s">
        <v>3</v>
      </c>
      <c r="D170" s="28" t="s">
        <v>4</v>
      </c>
      <c r="E170" s="28" t="s">
        <v>5</v>
      </c>
      <c r="F170" s="28" t="s">
        <v>6</v>
      </c>
      <c r="G170" s="16" t="s">
        <v>7</v>
      </c>
    </row>
    <row r="171" spans="1:7">
      <c r="A171" s="6" t="s">
        <v>8</v>
      </c>
      <c r="B171" s="27" t="s">
        <v>264</v>
      </c>
      <c r="C171" s="35">
        <v>1</v>
      </c>
      <c r="D171" s="27" t="s">
        <v>10</v>
      </c>
      <c r="E171" s="27"/>
      <c r="F171" s="27"/>
      <c r="G171" s="7"/>
    </row>
    <row r="172" spans="1:7">
      <c r="A172" s="6" t="s">
        <v>11</v>
      </c>
      <c r="B172" s="27" t="s">
        <v>265</v>
      </c>
      <c r="C172" s="90">
        <f>C171/204.26*60.052</f>
        <v>0.29399784588269851</v>
      </c>
      <c r="D172" s="27" t="s">
        <v>10</v>
      </c>
      <c r="E172" s="27"/>
      <c r="F172" s="27"/>
      <c r="G172" s="7"/>
    </row>
    <row r="173" spans="1:7">
      <c r="A173" s="6" t="s">
        <v>11</v>
      </c>
      <c r="B173" s="27" t="s">
        <v>266</v>
      </c>
      <c r="C173" s="90">
        <f>C171/204.26*162.23</f>
        <v>0.79423284049740517</v>
      </c>
      <c r="D173" s="27" t="s">
        <v>10</v>
      </c>
      <c r="E173" s="27"/>
      <c r="F173" s="24" t="s">
        <v>248</v>
      </c>
      <c r="G173" s="7"/>
    </row>
    <row r="174" spans="1:7">
      <c r="A174" s="6" t="s">
        <v>16</v>
      </c>
      <c r="B174" s="27" t="s">
        <v>254</v>
      </c>
      <c r="C174" s="38">
        <f>SUM(C172:C173)*'electricity consumption'!M106*4/1000</f>
        <v>7.8490889564861283E-5</v>
      </c>
      <c r="D174" s="27" t="s">
        <v>44</v>
      </c>
      <c r="E174" s="27"/>
      <c r="F174" s="27"/>
      <c r="G174" s="7" t="s">
        <v>267</v>
      </c>
    </row>
    <row r="175" spans="1:7">
      <c r="A175" s="6" t="s">
        <v>16</v>
      </c>
      <c r="B175" s="27" t="s">
        <v>254</v>
      </c>
      <c r="C175" s="38">
        <f>SUM(C172:C173)*'electricity consumption'!$B$113/3600000</f>
        <v>1.6625746597473807E-5</v>
      </c>
      <c r="D175" s="27" t="s">
        <v>44</v>
      </c>
      <c r="E175" s="27"/>
      <c r="F175" s="27"/>
      <c r="G175" s="7" t="s">
        <v>74</v>
      </c>
    </row>
    <row r="176" spans="1:7">
      <c r="A176" s="6" t="s">
        <v>16</v>
      </c>
      <c r="B176" s="27" t="s">
        <v>17</v>
      </c>
      <c r="C176" s="38">
        <f>C163</f>
        <v>4.0000000000000001E-10</v>
      </c>
      <c r="D176" s="27" t="s">
        <v>18</v>
      </c>
      <c r="E176" s="27"/>
      <c r="F176" s="27"/>
      <c r="G176" s="7"/>
    </row>
    <row r="177" spans="1:7">
      <c r="A177" s="116" t="s">
        <v>35</v>
      </c>
      <c r="B177" s="117"/>
      <c r="C177" s="117"/>
      <c r="D177" s="117"/>
      <c r="E177" s="117"/>
      <c r="F177" s="27"/>
      <c r="G177" s="7"/>
    </row>
    <row r="178" spans="1:7">
      <c r="A178" s="6" t="s">
        <v>20</v>
      </c>
      <c r="B178" s="27" t="s">
        <v>59</v>
      </c>
      <c r="C178" s="38">
        <f>SUM(C174:C175)*3.6</f>
        <v>3.4241989018440633E-4</v>
      </c>
      <c r="D178" s="27" t="s">
        <v>14</v>
      </c>
      <c r="E178" s="27"/>
      <c r="F178" s="27"/>
      <c r="G178" s="7"/>
    </row>
    <row r="179" spans="1:7">
      <c r="A179" s="6" t="s">
        <v>31</v>
      </c>
      <c r="B179" s="27" t="s">
        <v>268</v>
      </c>
      <c r="C179" s="35">
        <f>78.329/1000</f>
        <v>7.8328999999999996E-2</v>
      </c>
      <c r="D179" s="27" t="s">
        <v>10</v>
      </c>
      <c r="E179" s="27"/>
      <c r="F179" s="27"/>
      <c r="G179" s="7"/>
    </row>
    <row r="180" spans="1:7">
      <c r="A180" s="6" t="s">
        <v>31</v>
      </c>
      <c r="B180" s="27" t="s">
        <v>269</v>
      </c>
      <c r="C180" s="38">
        <f>9.791/1000</f>
        <v>9.7910000000000011E-3</v>
      </c>
      <c r="D180" s="27" t="s">
        <v>10</v>
      </c>
      <c r="E180" s="27"/>
      <c r="F180" s="27"/>
      <c r="G180" s="7"/>
    </row>
    <row r="181" spans="1:7">
      <c r="A181" s="122" t="s">
        <v>19</v>
      </c>
      <c r="B181" s="123"/>
      <c r="C181" s="123"/>
      <c r="D181" s="123"/>
      <c r="E181" s="123"/>
      <c r="F181" s="27"/>
      <c r="G181" s="7"/>
    </row>
    <row r="182" spans="1:7" ht="15" thickBot="1">
      <c r="A182" s="91" t="s">
        <v>20</v>
      </c>
      <c r="B182" s="92" t="s">
        <v>270</v>
      </c>
      <c r="C182" s="92" t="s">
        <v>271</v>
      </c>
      <c r="D182" s="92" t="s">
        <v>10</v>
      </c>
      <c r="E182" s="72"/>
      <c r="F182" s="93" t="s">
        <v>248</v>
      </c>
      <c r="G182" s="2"/>
    </row>
    <row r="183" spans="1:7" ht="15" thickBot="1"/>
    <row r="184" spans="1:7">
      <c r="A184" s="118" t="s">
        <v>272</v>
      </c>
      <c r="B184" s="119"/>
      <c r="C184" s="119"/>
      <c r="D184" s="119"/>
      <c r="E184" s="11" t="s">
        <v>723</v>
      </c>
      <c r="F184" s="11"/>
      <c r="G184" s="89"/>
    </row>
    <row r="185" spans="1:7">
      <c r="A185" s="13" t="s">
        <v>588</v>
      </c>
      <c r="B185" s="28" t="s">
        <v>1</v>
      </c>
      <c r="C185" s="28" t="s">
        <v>3</v>
      </c>
      <c r="D185" s="28" t="s">
        <v>4</v>
      </c>
      <c r="E185" s="28" t="s">
        <v>5</v>
      </c>
      <c r="F185" s="28" t="s">
        <v>6</v>
      </c>
      <c r="G185" s="16" t="s">
        <v>7</v>
      </c>
    </row>
    <row r="186" spans="1:7">
      <c r="A186" s="6" t="s">
        <v>8</v>
      </c>
      <c r="B186" s="27" t="s">
        <v>264</v>
      </c>
      <c r="C186" s="35">
        <v>1</v>
      </c>
      <c r="D186" s="27" t="s">
        <v>10</v>
      </c>
      <c r="E186" s="27"/>
      <c r="F186" s="27"/>
      <c r="G186" s="7"/>
    </row>
    <row r="187" spans="1:7">
      <c r="A187" s="6" t="s">
        <v>11</v>
      </c>
      <c r="B187" s="27" t="s">
        <v>265</v>
      </c>
      <c r="C187" s="90">
        <f>C186/204.26*60.052</f>
        <v>0.29399784588269851</v>
      </c>
      <c r="D187" s="27" t="s">
        <v>10</v>
      </c>
      <c r="E187" s="27"/>
      <c r="F187" s="27"/>
      <c r="G187" s="7"/>
    </row>
    <row r="188" spans="1:7">
      <c r="A188" s="6" t="s">
        <v>11</v>
      </c>
      <c r="B188" s="27" t="s">
        <v>266</v>
      </c>
      <c r="C188" s="90">
        <f>C186/204.26*162.23</f>
        <v>0.79423284049740517</v>
      </c>
      <c r="D188" s="27" t="s">
        <v>10</v>
      </c>
      <c r="E188" s="27"/>
      <c r="F188" s="27" t="s">
        <v>248</v>
      </c>
      <c r="G188" s="7"/>
    </row>
    <row r="189" spans="1:7">
      <c r="A189" s="6" t="s">
        <v>16</v>
      </c>
      <c r="B189" s="27" t="s">
        <v>254</v>
      </c>
      <c r="C189" s="38">
        <f>SUM(C187:C188)*'electricity consumption'!M106*4/1000</f>
        <v>7.8490889564861283E-5</v>
      </c>
      <c r="D189" s="27" t="s">
        <v>44</v>
      </c>
      <c r="E189" s="27"/>
      <c r="F189" s="27"/>
      <c r="G189" s="7" t="s">
        <v>267</v>
      </c>
    </row>
    <row r="190" spans="1:7">
      <c r="A190" s="6" t="s">
        <v>16</v>
      </c>
      <c r="B190" s="27" t="s">
        <v>254</v>
      </c>
      <c r="C190" s="38">
        <f>SUM(C187:C188)*'electricity consumption'!$B$113/3600000</f>
        <v>1.6625746597473807E-5</v>
      </c>
      <c r="D190" s="27" t="s">
        <v>44</v>
      </c>
      <c r="E190" s="27"/>
      <c r="F190" s="27"/>
      <c r="G190" s="7" t="s">
        <v>74</v>
      </c>
    </row>
    <row r="191" spans="1:7">
      <c r="A191" s="6" t="s">
        <v>16</v>
      </c>
      <c r="B191" s="27" t="s">
        <v>17</v>
      </c>
      <c r="C191" s="38">
        <f>C176</f>
        <v>4.0000000000000001E-10</v>
      </c>
      <c r="D191" s="27" t="s">
        <v>18</v>
      </c>
      <c r="E191" s="27"/>
      <c r="F191" s="27"/>
      <c r="G191" s="7"/>
    </row>
    <row r="192" spans="1:7">
      <c r="A192" s="116" t="s">
        <v>35</v>
      </c>
      <c r="B192" s="117"/>
      <c r="C192" s="117"/>
      <c r="D192" s="117"/>
      <c r="E192" s="117"/>
      <c r="F192" s="27"/>
      <c r="G192" s="7"/>
    </row>
    <row r="193" spans="1:7">
      <c r="A193" s="6" t="s">
        <v>20</v>
      </c>
      <c r="B193" s="27" t="s">
        <v>59</v>
      </c>
      <c r="C193" s="38">
        <f>SUM(C189:C190)*3.6</f>
        <v>3.4241989018440633E-4</v>
      </c>
      <c r="D193" s="27" t="s">
        <v>14</v>
      </c>
      <c r="E193" s="27"/>
      <c r="F193" s="27"/>
      <c r="G193" s="7"/>
    </row>
    <row r="194" spans="1:7">
      <c r="A194" s="6" t="s">
        <v>31</v>
      </c>
      <c r="B194" s="27" t="s">
        <v>268</v>
      </c>
      <c r="C194" s="35">
        <f>78.329/1000</f>
        <v>7.8328999999999996E-2</v>
      </c>
      <c r="D194" s="27" t="s">
        <v>10</v>
      </c>
      <c r="E194" s="27"/>
      <c r="F194" s="27"/>
      <c r="G194" s="7"/>
    </row>
    <row r="195" spans="1:7" ht="15" thickBot="1">
      <c r="A195" s="8" t="s">
        <v>31</v>
      </c>
      <c r="B195" s="1" t="s">
        <v>269</v>
      </c>
      <c r="C195" s="14">
        <f>9.791/1000</f>
        <v>9.7910000000000011E-3</v>
      </c>
      <c r="D195" s="1" t="s">
        <v>10</v>
      </c>
      <c r="E195" s="1"/>
      <c r="F195" s="1"/>
      <c r="G195" s="2"/>
    </row>
    <row r="196" spans="1:7" ht="15" thickBot="1"/>
    <row r="197" spans="1:7">
      <c r="A197" s="118" t="s">
        <v>273</v>
      </c>
      <c r="B197" s="119"/>
      <c r="C197" s="119"/>
      <c r="D197" s="119"/>
      <c r="E197" s="11" t="s">
        <v>725</v>
      </c>
      <c r="F197" s="11"/>
      <c r="G197" s="12"/>
    </row>
    <row r="198" spans="1:7">
      <c r="A198" s="13" t="s">
        <v>588</v>
      </c>
      <c r="B198" s="28" t="s">
        <v>1</v>
      </c>
      <c r="C198" s="28" t="s">
        <v>3</v>
      </c>
      <c r="D198" s="28" t="s">
        <v>4</v>
      </c>
      <c r="E198" s="28" t="s">
        <v>5</v>
      </c>
      <c r="F198" s="28" t="s">
        <v>6</v>
      </c>
      <c r="G198" s="16" t="s">
        <v>7</v>
      </c>
    </row>
    <row r="199" spans="1:7">
      <c r="A199" s="6" t="s">
        <v>8</v>
      </c>
      <c r="B199" s="27" t="s">
        <v>273</v>
      </c>
      <c r="C199" s="27">
        <v>1</v>
      </c>
      <c r="D199" s="27" t="s">
        <v>10</v>
      </c>
      <c r="E199" s="27"/>
      <c r="F199" s="27"/>
      <c r="G199" s="7"/>
    </row>
    <row r="200" spans="1:7">
      <c r="A200" s="6" t="s">
        <v>11</v>
      </c>
      <c r="B200" s="27" t="s">
        <v>237</v>
      </c>
      <c r="C200" s="27">
        <v>0.2</v>
      </c>
      <c r="D200" s="27" t="s">
        <v>10</v>
      </c>
      <c r="E200" s="27"/>
      <c r="F200" s="24" t="s">
        <v>248</v>
      </c>
      <c r="G200" s="7"/>
    </row>
    <row r="201" spans="1:7">
      <c r="A201" s="6" t="s">
        <v>11</v>
      </c>
      <c r="B201" s="27" t="s">
        <v>257</v>
      </c>
      <c r="C201" s="27">
        <v>0.1</v>
      </c>
      <c r="D201" s="27" t="s">
        <v>10</v>
      </c>
      <c r="E201" s="27"/>
      <c r="F201" s="24" t="s">
        <v>248</v>
      </c>
      <c r="G201" s="7"/>
    </row>
    <row r="202" spans="1:7">
      <c r="A202" s="6" t="s">
        <v>11</v>
      </c>
      <c r="B202" s="27" t="s">
        <v>264</v>
      </c>
      <c r="C202" s="27">
        <v>0.2</v>
      </c>
      <c r="D202" s="27" t="s">
        <v>10</v>
      </c>
      <c r="E202" s="27"/>
      <c r="F202" s="24" t="s">
        <v>248</v>
      </c>
      <c r="G202" s="7"/>
    </row>
    <row r="203" spans="1:7">
      <c r="A203" s="6" t="s">
        <v>11</v>
      </c>
      <c r="B203" s="27" t="s">
        <v>274</v>
      </c>
      <c r="C203" s="27">
        <v>0.5</v>
      </c>
      <c r="D203" s="27" t="s">
        <v>10</v>
      </c>
      <c r="E203" s="27"/>
      <c r="F203" s="24" t="s">
        <v>248</v>
      </c>
      <c r="G203" s="7"/>
    </row>
    <row r="204" spans="1:7">
      <c r="A204" s="13" t="s">
        <v>233</v>
      </c>
      <c r="B204" s="27"/>
      <c r="C204" s="27"/>
      <c r="D204" s="27"/>
      <c r="E204" s="27"/>
      <c r="F204" s="27"/>
      <c r="G204" s="7"/>
    </row>
    <row r="205" spans="1:7">
      <c r="A205" s="116" t="s">
        <v>101</v>
      </c>
      <c r="B205" s="117"/>
      <c r="C205" s="117"/>
      <c r="D205" s="117"/>
      <c r="E205" s="117"/>
      <c r="F205" s="27"/>
      <c r="G205" s="7"/>
    </row>
    <row r="206" spans="1:7">
      <c r="A206" s="6" t="s">
        <v>275</v>
      </c>
      <c r="B206" s="27" t="s">
        <v>243</v>
      </c>
      <c r="C206" s="27">
        <f>600*(SUM(C201:C203))/1000</f>
        <v>0.48</v>
      </c>
      <c r="D206" s="27" t="s">
        <v>244</v>
      </c>
      <c r="E206" s="27"/>
      <c r="F206" s="27"/>
      <c r="G206" s="7" t="s">
        <v>276</v>
      </c>
    </row>
    <row r="207" spans="1:7" ht="15" thickBot="1">
      <c r="A207" s="8" t="s">
        <v>275</v>
      </c>
      <c r="B207" s="1" t="s">
        <v>246</v>
      </c>
      <c r="C207" s="1">
        <f>100*(SUM(C201:C203))/1000</f>
        <v>0.08</v>
      </c>
      <c r="D207" s="1" t="s">
        <v>244</v>
      </c>
      <c r="E207" s="1"/>
      <c r="F207" s="1"/>
      <c r="G207" s="2" t="s">
        <v>276</v>
      </c>
    </row>
    <row r="208" spans="1:7">
      <c r="A208" s="27"/>
      <c r="B208" s="27"/>
      <c r="C208" s="27"/>
      <c r="D208" s="27"/>
      <c r="E208" s="27"/>
      <c r="F208" s="27"/>
      <c r="G208" s="27"/>
    </row>
    <row r="209" spans="1:7" s="55" customFormat="1" ht="15" thickBot="1">
      <c r="A209" s="54" t="s">
        <v>679</v>
      </c>
    </row>
    <row r="210" spans="1:7">
      <c r="A210" s="118" t="s">
        <v>278</v>
      </c>
      <c r="B210" s="119"/>
      <c r="C210" s="119"/>
      <c r="D210" s="119"/>
      <c r="E210" s="11" t="s">
        <v>728</v>
      </c>
      <c r="F210" s="11"/>
      <c r="G210" s="12"/>
    </row>
    <row r="211" spans="1:7">
      <c r="A211" s="13" t="s">
        <v>588</v>
      </c>
      <c r="B211" s="28" t="s">
        <v>1</v>
      </c>
      <c r="C211" s="28" t="s">
        <v>3</v>
      </c>
      <c r="D211" s="28" t="s">
        <v>4</v>
      </c>
      <c r="E211" s="28" t="s">
        <v>5</v>
      </c>
      <c r="F211" s="28" t="s">
        <v>6</v>
      </c>
      <c r="G211" s="16" t="s">
        <v>7</v>
      </c>
    </row>
    <row r="212" spans="1:7">
      <c r="A212" s="6" t="s">
        <v>8</v>
      </c>
      <c r="B212" s="27" t="s">
        <v>278</v>
      </c>
      <c r="C212" s="35">
        <v>1</v>
      </c>
      <c r="D212" s="27" t="s">
        <v>10</v>
      </c>
      <c r="E212" s="27"/>
      <c r="F212" s="27"/>
      <c r="G212" s="7"/>
    </row>
    <row r="213" spans="1:7" ht="16.5">
      <c r="A213" s="6" t="s">
        <v>8</v>
      </c>
      <c r="B213" s="27" t="s">
        <v>280</v>
      </c>
      <c r="C213" s="35">
        <f>C212/166*214/5*0.8/0.9</f>
        <v>0.22918340026773765</v>
      </c>
      <c r="D213" s="27" t="s">
        <v>10</v>
      </c>
      <c r="E213" s="27"/>
      <c r="F213" s="27"/>
      <c r="G213" s="86" t="s">
        <v>307</v>
      </c>
    </row>
    <row r="214" spans="1:7">
      <c r="A214" s="6" t="s">
        <v>11</v>
      </c>
      <c r="B214" s="27" t="s">
        <v>281</v>
      </c>
      <c r="C214" s="35">
        <f>C212/166.0028/5*6*56.1056</f>
        <v>0.40557580956465794</v>
      </c>
      <c r="D214" s="27" t="s">
        <v>10</v>
      </c>
      <c r="E214" s="27"/>
      <c r="F214" s="27"/>
      <c r="G214" s="7"/>
    </row>
    <row r="215" spans="1:7">
      <c r="A215" s="6" t="s">
        <v>11</v>
      </c>
      <c r="B215" s="27" t="s">
        <v>282</v>
      </c>
      <c r="C215" s="35">
        <f>C212/166.0028/5*2*3*126.90447/0.9</f>
        <v>1.0192958191066657</v>
      </c>
      <c r="D215" s="27" t="s">
        <v>10</v>
      </c>
      <c r="E215" s="27"/>
      <c r="F215" s="27"/>
      <c r="G215" s="7"/>
    </row>
    <row r="216" spans="1:7">
      <c r="A216" s="6" t="s">
        <v>11</v>
      </c>
      <c r="B216" s="27" t="s">
        <v>47</v>
      </c>
      <c r="C216" s="35">
        <f>C214*100/121+C212/1.48</f>
        <v>1.0108622951505994</v>
      </c>
      <c r="D216" s="27" t="s">
        <v>10</v>
      </c>
      <c r="E216" s="27"/>
      <c r="F216" s="27"/>
      <c r="G216" s="7"/>
    </row>
    <row r="217" spans="1:7">
      <c r="A217" s="6" t="s">
        <v>16</v>
      </c>
      <c r="B217" s="27" t="s">
        <v>75</v>
      </c>
      <c r="C217" s="35">
        <f>((C216+C212/166.0028/5*3*18.01258)*'Chemicals &amp; Solvents background'!F13+(C216*100/121+C212/166.0028/5*3*18.01258)*'Chemicals &amp; Solvents background'!G13)/1000/0.8</f>
        <v>3.0402814001794574</v>
      </c>
      <c r="D217" s="27" t="s">
        <v>14</v>
      </c>
      <c r="E217" s="27"/>
      <c r="F217" s="95"/>
      <c r="G217" s="86" t="s">
        <v>308</v>
      </c>
    </row>
    <row r="218" spans="1:7" ht="16.5">
      <c r="A218" s="6" t="s">
        <v>16</v>
      </c>
      <c r="B218" s="27" t="s">
        <v>75</v>
      </c>
      <c r="C218" s="35">
        <f>(SUM(C214:C215)-(C212/166.0028/5*3*18.01258)-C213)*580*'Chemicals &amp; Solvents background'!G17/1000/'electricity consumption'!C120</f>
        <v>0.27366153279473193</v>
      </c>
      <c r="D218" s="27" t="s">
        <v>14</v>
      </c>
      <c r="E218" s="27"/>
      <c r="F218" s="27"/>
      <c r="G218" s="7" t="s">
        <v>309</v>
      </c>
    </row>
    <row r="219" spans="1:7">
      <c r="A219" s="6" t="s">
        <v>16</v>
      </c>
      <c r="B219" s="27" t="s">
        <v>149</v>
      </c>
      <c r="C219" s="35">
        <f>SUM(C212:C213)*'electricity consumption'!C109/1000</f>
        <v>1.2291834002677375E-2</v>
      </c>
      <c r="D219" s="27" t="s">
        <v>44</v>
      </c>
      <c r="E219" s="27"/>
      <c r="F219" s="27"/>
      <c r="G219" s="7" t="s">
        <v>310</v>
      </c>
    </row>
    <row r="220" spans="1:7">
      <c r="A220" s="6" t="s">
        <v>16</v>
      </c>
      <c r="B220" s="27" t="s">
        <v>149</v>
      </c>
      <c r="C220" s="38">
        <f>SUM(C214:C216)*'electricity consumption'!B113/3600000</f>
        <v>3.7212601613946041E-5</v>
      </c>
      <c r="D220" s="27" t="s">
        <v>44</v>
      </c>
      <c r="E220" s="27"/>
      <c r="F220" s="27"/>
      <c r="G220" s="7" t="s">
        <v>74</v>
      </c>
    </row>
    <row r="221" spans="1:7">
      <c r="A221" s="6" t="s">
        <v>16</v>
      </c>
      <c r="B221" s="27" t="s">
        <v>17</v>
      </c>
      <c r="C221" s="38">
        <f>0.0000000004</f>
        <v>4.0000000000000001E-10</v>
      </c>
      <c r="D221" s="27" t="s">
        <v>18</v>
      </c>
      <c r="E221" s="27"/>
      <c r="F221" s="27"/>
      <c r="G221" s="7"/>
    </row>
    <row r="222" spans="1:7">
      <c r="A222" s="116" t="s">
        <v>35</v>
      </c>
      <c r="B222" s="117"/>
      <c r="C222" s="117"/>
      <c r="D222" s="117"/>
      <c r="E222" s="117"/>
      <c r="F222" s="27"/>
      <c r="G222" s="7"/>
    </row>
    <row r="223" spans="1:7">
      <c r="A223" s="6" t="s">
        <v>31</v>
      </c>
      <c r="B223" s="27" t="s">
        <v>59</v>
      </c>
      <c r="C223" s="35">
        <f>SUM(C219:C220)*3.6</f>
        <v>4.4384567775448761E-2</v>
      </c>
      <c r="D223" s="27" t="s">
        <v>44</v>
      </c>
      <c r="E223" s="27"/>
      <c r="F223" s="27"/>
      <c r="G223" s="7"/>
    </row>
    <row r="224" spans="1:7">
      <c r="A224" s="116" t="s">
        <v>30</v>
      </c>
      <c r="B224" s="117"/>
      <c r="C224" s="117"/>
      <c r="D224" s="117"/>
      <c r="E224" s="117"/>
      <c r="F224" s="27"/>
      <c r="G224" s="7"/>
    </row>
    <row r="225" spans="1:7">
      <c r="A225" s="6" t="s">
        <v>31</v>
      </c>
      <c r="B225" s="27" t="s">
        <v>283</v>
      </c>
      <c r="C225" s="35">
        <f>C216</f>
        <v>1.0108622951505994</v>
      </c>
      <c r="D225" s="27" t="s">
        <v>10</v>
      </c>
      <c r="E225" s="27"/>
      <c r="F225" s="27"/>
      <c r="G225" s="7"/>
    </row>
    <row r="226" spans="1:7">
      <c r="A226" s="116" t="s">
        <v>19</v>
      </c>
      <c r="B226" s="117"/>
      <c r="C226" s="117"/>
      <c r="D226" s="117"/>
      <c r="E226" s="117"/>
      <c r="F226" s="27"/>
      <c r="G226" s="7"/>
    </row>
    <row r="227" spans="1:7" ht="15" thickBot="1">
      <c r="A227" s="8" t="s">
        <v>20</v>
      </c>
      <c r="B227" s="92" t="s">
        <v>65</v>
      </c>
      <c r="C227" s="9">
        <f>SUM(C214:C215)-SUM(C212:C213)-C212/166.0028/5*3*18.01258</f>
        <v>0.13058361571030624</v>
      </c>
      <c r="D227" s="1" t="s">
        <v>10</v>
      </c>
      <c r="E227" s="1"/>
      <c r="F227" s="1"/>
      <c r="G227" s="2" t="s">
        <v>285</v>
      </c>
    </row>
    <row r="228" spans="1:7" ht="15" thickBot="1"/>
    <row r="229" spans="1:7">
      <c r="A229" s="118" t="s">
        <v>279</v>
      </c>
      <c r="B229" s="119"/>
      <c r="C229" s="119"/>
      <c r="D229" s="119"/>
      <c r="E229" s="11" t="s">
        <v>730</v>
      </c>
      <c r="F229" s="11"/>
      <c r="G229" s="89"/>
    </row>
    <row r="230" spans="1:7">
      <c r="A230" s="13" t="s">
        <v>588</v>
      </c>
      <c r="B230" s="28" t="s">
        <v>1</v>
      </c>
      <c r="C230" s="28" t="s">
        <v>3</v>
      </c>
      <c r="D230" s="28" t="s">
        <v>4</v>
      </c>
      <c r="E230" s="28" t="s">
        <v>5</v>
      </c>
      <c r="F230" s="28" t="s">
        <v>6</v>
      </c>
      <c r="G230" s="16" t="s">
        <v>7</v>
      </c>
    </row>
    <row r="231" spans="1:7">
      <c r="A231" s="6" t="s">
        <v>8</v>
      </c>
      <c r="B231" s="27" t="s">
        <v>279</v>
      </c>
      <c r="C231" s="27">
        <v>1</v>
      </c>
      <c r="D231" s="27" t="s">
        <v>10</v>
      </c>
      <c r="E231" s="27"/>
      <c r="F231" s="27"/>
      <c r="G231" s="7"/>
    </row>
    <row r="232" spans="1:7">
      <c r="A232" s="6" t="s">
        <v>11</v>
      </c>
      <c r="B232" s="27" t="s">
        <v>311</v>
      </c>
      <c r="C232" s="27">
        <f>C231/331.2*207.2/0.9</f>
        <v>0.69511540526033277</v>
      </c>
      <c r="D232" s="27" t="s">
        <v>10</v>
      </c>
      <c r="E232" s="27"/>
      <c r="F232" s="27"/>
      <c r="G232" s="7"/>
    </row>
    <row r="233" spans="1:7">
      <c r="A233" s="6" t="s">
        <v>11</v>
      </c>
      <c r="B233" s="27" t="s">
        <v>312</v>
      </c>
      <c r="C233" s="27">
        <f>(C231/331.2*63.01/3*8/0.9)*2</f>
        <v>1.1273930935766683</v>
      </c>
      <c r="D233" s="27" t="s">
        <v>10</v>
      </c>
      <c r="E233" s="27"/>
      <c r="F233" s="27"/>
      <c r="G233" s="7"/>
    </row>
    <row r="234" spans="1:7">
      <c r="A234" s="6" t="s">
        <v>11</v>
      </c>
      <c r="B234" s="27" t="s">
        <v>313</v>
      </c>
      <c r="C234" s="27">
        <v>0.2</v>
      </c>
      <c r="D234" s="27" t="s">
        <v>10</v>
      </c>
      <c r="E234" s="27"/>
      <c r="F234" s="27"/>
      <c r="G234" s="7"/>
    </row>
    <row r="235" spans="1:7">
      <c r="A235" s="6" t="s">
        <v>16</v>
      </c>
      <c r="B235" s="27" t="s">
        <v>43</v>
      </c>
      <c r="C235" s="27">
        <f>SUM(C232:C234)*'electricity consumption'!$B$113/3600000</f>
        <v>3.0899435398898627E-5</v>
      </c>
      <c r="D235" s="27" t="s">
        <v>44</v>
      </c>
      <c r="E235" s="27"/>
      <c r="F235" s="27"/>
      <c r="G235" s="7" t="s">
        <v>74</v>
      </c>
    </row>
    <row r="236" spans="1:7">
      <c r="A236" s="6" t="s">
        <v>16</v>
      </c>
      <c r="B236" s="27" t="s">
        <v>29</v>
      </c>
      <c r="C236" s="27">
        <f>(C233*1.72+C232*0.13+C234*4.196)*60/'electricity consumption'!C118/1000+('electricity consumption'!B118*80/1000)*3.6*2</f>
        <v>0.24315788030297608</v>
      </c>
      <c r="D236" s="27" t="s">
        <v>14</v>
      </c>
      <c r="E236" s="27"/>
      <c r="F236" s="27"/>
      <c r="G236" s="7" t="s">
        <v>314</v>
      </c>
    </row>
    <row r="237" spans="1:7">
      <c r="A237" s="6" t="s">
        <v>16</v>
      </c>
      <c r="B237" s="27" t="s">
        <v>17</v>
      </c>
      <c r="C237" s="27">
        <f>0.0000000004</f>
        <v>4.0000000000000001E-10</v>
      </c>
      <c r="D237" s="27" t="s">
        <v>18</v>
      </c>
      <c r="E237" s="27"/>
      <c r="F237" s="27"/>
      <c r="G237" s="7"/>
    </row>
    <row r="238" spans="1:7">
      <c r="A238" s="116" t="s">
        <v>35</v>
      </c>
      <c r="B238" s="117"/>
      <c r="C238" s="117"/>
      <c r="D238" s="117"/>
      <c r="E238" s="117"/>
      <c r="F238" s="27"/>
      <c r="G238" s="7"/>
    </row>
    <row r="239" spans="1:7">
      <c r="A239" s="6" t="s">
        <v>31</v>
      </c>
      <c r="B239" s="27" t="s">
        <v>315</v>
      </c>
      <c r="C239" s="27">
        <f>C233*0.9/63.01*2/8*30.01*0.5</f>
        <v>6.0406602254428336E-2</v>
      </c>
      <c r="D239" s="27" t="s">
        <v>10</v>
      </c>
      <c r="E239" s="27"/>
      <c r="F239" s="27"/>
      <c r="G239" s="7" t="s">
        <v>316</v>
      </c>
    </row>
    <row r="240" spans="1:7">
      <c r="A240" s="6" t="s">
        <v>31</v>
      </c>
      <c r="B240" s="27" t="s">
        <v>59</v>
      </c>
      <c r="C240" s="38">
        <f>C235*3.6</f>
        <v>1.1123796743603506E-4</v>
      </c>
      <c r="D240" s="27" t="s">
        <v>14</v>
      </c>
      <c r="E240" s="27"/>
      <c r="F240" s="27"/>
      <c r="G240" s="7"/>
    </row>
    <row r="241" spans="1:7">
      <c r="A241" s="116" t="s">
        <v>19</v>
      </c>
      <c r="B241" s="117"/>
      <c r="C241" s="117"/>
      <c r="D241" s="117"/>
      <c r="E241" s="117"/>
      <c r="F241" s="27"/>
      <c r="G241" s="7"/>
    </row>
    <row r="242" spans="1:7" ht="15" thickBot="1">
      <c r="A242" s="8" t="s">
        <v>20</v>
      </c>
      <c r="B242" s="1" t="s">
        <v>317</v>
      </c>
      <c r="C242" s="1">
        <f>C232+C233+C234-C231-C239</f>
        <v>0.96210189658257295</v>
      </c>
      <c r="D242" s="1" t="s">
        <v>10</v>
      </c>
      <c r="E242" s="1"/>
      <c r="F242" s="1"/>
      <c r="G242" s="2" t="s">
        <v>318</v>
      </c>
    </row>
    <row r="243" spans="1:7" ht="15" thickBot="1"/>
    <row r="244" spans="1:7">
      <c r="A244" s="118" t="s">
        <v>277</v>
      </c>
      <c r="B244" s="119"/>
      <c r="C244" s="119"/>
      <c r="D244" s="119"/>
      <c r="E244" s="11" t="s">
        <v>732</v>
      </c>
      <c r="F244" s="11"/>
      <c r="G244" s="12"/>
    </row>
    <row r="245" spans="1:7">
      <c r="A245" s="13" t="s">
        <v>588</v>
      </c>
      <c r="B245" s="28" t="s">
        <v>1</v>
      </c>
      <c r="C245" s="28" t="s">
        <v>3</v>
      </c>
      <c r="D245" s="28" t="s">
        <v>4</v>
      </c>
      <c r="E245" s="28" t="s">
        <v>5</v>
      </c>
      <c r="F245" s="28" t="s">
        <v>6</v>
      </c>
      <c r="G245" s="16" t="s">
        <v>7</v>
      </c>
    </row>
    <row r="246" spans="1:7">
      <c r="A246" s="6" t="s">
        <v>8</v>
      </c>
      <c r="B246" s="27" t="s">
        <v>319</v>
      </c>
      <c r="C246" s="27">
        <v>1</v>
      </c>
      <c r="D246" s="27" t="s">
        <v>10</v>
      </c>
      <c r="E246" s="27"/>
      <c r="F246" s="27"/>
      <c r="G246" s="7"/>
    </row>
    <row r="247" spans="1:7">
      <c r="A247" s="6" t="s">
        <v>8</v>
      </c>
      <c r="B247" s="27" t="s">
        <v>320</v>
      </c>
      <c r="C247" s="35">
        <f>C248*0.9*32.065/34.1</f>
        <v>0.14288880549757252</v>
      </c>
      <c r="D247" s="27" t="s">
        <v>10</v>
      </c>
      <c r="E247" s="27"/>
      <c r="F247" s="27"/>
      <c r="G247" s="7" t="s">
        <v>321</v>
      </c>
    </row>
    <row r="248" spans="1:7">
      <c r="A248" s="6" t="s">
        <v>11</v>
      </c>
      <c r="B248" s="27" t="s">
        <v>322</v>
      </c>
      <c r="C248" s="35">
        <f>C246/127.911*34.1*0.57/0.9</f>
        <v>0.16884135583856485</v>
      </c>
      <c r="D248" s="27" t="s">
        <v>10</v>
      </c>
      <c r="E248" s="27"/>
      <c r="F248" s="27"/>
      <c r="G248" s="7"/>
    </row>
    <row r="249" spans="1:7">
      <c r="A249" s="6" t="s">
        <v>11</v>
      </c>
      <c r="B249" s="27" t="s">
        <v>282</v>
      </c>
      <c r="C249" s="35">
        <f>C246/127.911*126.90447*0.57/0.9</f>
        <v>0.62834964154763862</v>
      </c>
      <c r="D249" s="27" t="s">
        <v>10</v>
      </c>
      <c r="E249" s="27"/>
      <c r="F249" s="27"/>
      <c r="G249" s="7"/>
    </row>
    <row r="250" spans="1:7">
      <c r="A250" s="6" t="s">
        <v>11</v>
      </c>
      <c r="B250" s="27" t="s">
        <v>238</v>
      </c>
      <c r="C250" s="35">
        <f>C249*600/480</f>
        <v>0.78543705193454827</v>
      </c>
      <c r="D250" s="27" t="s">
        <v>10</v>
      </c>
      <c r="E250" s="27"/>
      <c r="F250" s="27"/>
      <c r="G250" s="7" t="s">
        <v>323</v>
      </c>
    </row>
    <row r="251" spans="1:7">
      <c r="A251" s="6" t="s">
        <v>16</v>
      </c>
      <c r="B251" s="27" t="s">
        <v>43</v>
      </c>
      <c r="C251" s="38">
        <f>(C249/4.93+C248/1.36+C250)*'electricity consumption'!M106*3/1000</f>
        <v>5.6098958884426746E-5</v>
      </c>
      <c r="D251" s="27" t="s">
        <v>44</v>
      </c>
      <c r="E251" s="27"/>
      <c r="F251" s="27"/>
      <c r="G251" s="7" t="s">
        <v>324</v>
      </c>
    </row>
    <row r="252" spans="1:7">
      <c r="A252" s="6" t="s">
        <v>16</v>
      </c>
      <c r="B252" s="27" t="s">
        <v>43</v>
      </c>
      <c r="C252" s="38">
        <f>SUM(C248:C250)*'electricity consumption'!$B$113/3600000</f>
        <v>2.4179039642400375E-5</v>
      </c>
      <c r="D252" s="27" t="s">
        <v>44</v>
      </c>
      <c r="E252" s="27"/>
      <c r="F252" s="27"/>
      <c r="G252" s="7" t="s">
        <v>74</v>
      </c>
    </row>
    <row r="253" spans="1:7">
      <c r="A253" s="6" t="s">
        <v>16</v>
      </c>
      <c r="B253" s="27" t="s">
        <v>89</v>
      </c>
      <c r="C253" s="35">
        <f>(0.76*C248+0.427*C249+C250*4.184)*106/1000/'electricity consumption'!C122</f>
        <v>0.49416037390286571</v>
      </c>
      <c r="D253" s="27" t="s">
        <v>14</v>
      </c>
      <c r="E253" s="27"/>
      <c r="F253" s="27"/>
      <c r="G253" s="7" t="s">
        <v>325</v>
      </c>
    </row>
    <row r="254" spans="1:7">
      <c r="A254" s="6" t="s">
        <v>16</v>
      </c>
      <c r="B254" s="27" t="s">
        <v>17</v>
      </c>
      <c r="C254" s="38">
        <f>'[1]electricity consumption'!$Z$11</f>
        <v>4.0000000000000001E-10</v>
      </c>
      <c r="D254" s="27" t="s">
        <v>18</v>
      </c>
      <c r="E254" s="27"/>
      <c r="F254" s="27"/>
      <c r="G254" s="7"/>
    </row>
    <row r="255" spans="1:7">
      <c r="A255" s="116" t="s">
        <v>326</v>
      </c>
      <c r="B255" s="117"/>
      <c r="C255" s="117"/>
      <c r="D255" s="117"/>
      <c r="E255" s="117"/>
      <c r="F255" s="27"/>
      <c r="G255" s="7"/>
    </row>
    <row r="256" spans="1:7">
      <c r="A256" s="6" t="s">
        <v>31</v>
      </c>
      <c r="B256" s="27" t="s">
        <v>59</v>
      </c>
      <c r="C256" s="38">
        <f>SUM(C251:C252)*3.6</f>
        <v>2.8900079469657762E-4</v>
      </c>
      <c r="D256" s="27"/>
      <c r="E256" s="27"/>
      <c r="F256" s="27"/>
      <c r="G256" s="7"/>
    </row>
    <row r="257" spans="1:7">
      <c r="A257" s="6" t="s">
        <v>31</v>
      </c>
      <c r="B257" s="27" t="s">
        <v>327</v>
      </c>
      <c r="C257" s="38">
        <f>C248*0.1*0.002</f>
        <v>3.3768271167712971E-5</v>
      </c>
      <c r="D257" s="27" t="s">
        <v>10</v>
      </c>
      <c r="E257" s="27"/>
      <c r="F257" s="27"/>
      <c r="G257" s="7" t="s">
        <v>328</v>
      </c>
    </row>
    <row r="258" spans="1:7">
      <c r="A258" s="6" t="s">
        <v>31</v>
      </c>
      <c r="B258" s="27" t="s">
        <v>269</v>
      </c>
      <c r="C258" s="38">
        <f>C248/34.1*0.9*0.002</f>
        <v>8.9124469357600216E-6</v>
      </c>
      <c r="D258" s="27" t="s">
        <v>10</v>
      </c>
      <c r="E258" s="27"/>
      <c r="F258" s="27"/>
      <c r="G258" s="7"/>
    </row>
    <row r="259" spans="1:7">
      <c r="A259" s="116" t="s">
        <v>30</v>
      </c>
      <c r="B259" s="117"/>
      <c r="C259" s="117"/>
      <c r="D259" s="117"/>
      <c r="E259" s="117"/>
      <c r="F259" s="27"/>
      <c r="G259" s="7"/>
    </row>
    <row r="260" spans="1:7" ht="15" thickBot="1">
      <c r="A260" s="8" t="s">
        <v>31</v>
      </c>
      <c r="B260" s="1" t="s">
        <v>65</v>
      </c>
      <c r="C260" s="9">
        <f>C249*0.1+C250-0.43+C257/0.002+C258/0.002</f>
        <v>0.43961237514104862</v>
      </c>
      <c r="D260" s="1" t="s">
        <v>10</v>
      </c>
      <c r="E260" s="1"/>
      <c r="F260" s="1"/>
      <c r="G260" s="2" t="s">
        <v>329</v>
      </c>
    </row>
    <row r="261" spans="1:7" ht="15" thickBot="1"/>
    <row r="262" spans="1:7">
      <c r="A262" s="118" t="s">
        <v>330</v>
      </c>
      <c r="B262" s="119"/>
      <c r="C262" s="119"/>
      <c r="D262" s="119"/>
      <c r="E262" s="11" t="s">
        <v>733</v>
      </c>
      <c r="F262" s="11"/>
      <c r="G262" s="12"/>
    </row>
    <row r="263" spans="1:7">
      <c r="A263" s="13" t="s">
        <v>588</v>
      </c>
      <c r="B263" s="28" t="s">
        <v>1</v>
      </c>
      <c r="C263" s="28" t="s">
        <v>3</v>
      </c>
      <c r="D263" s="28" t="s">
        <v>4</v>
      </c>
      <c r="E263" s="28" t="s">
        <v>5</v>
      </c>
      <c r="F263" s="28" t="s">
        <v>6</v>
      </c>
      <c r="G263" s="16" t="s">
        <v>7</v>
      </c>
    </row>
    <row r="264" spans="1:7">
      <c r="A264" s="6" t="s">
        <v>8</v>
      </c>
      <c r="B264" s="27" t="s">
        <v>330</v>
      </c>
      <c r="C264" s="35">
        <v>1</v>
      </c>
      <c r="D264" s="27" t="s">
        <v>10</v>
      </c>
      <c r="E264" s="27"/>
      <c r="F264" s="27"/>
      <c r="G264" s="7"/>
    </row>
    <row r="265" spans="1:7">
      <c r="A265" s="6" t="s">
        <v>11</v>
      </c>
      <c r="B265" s="27" t="s">
        <v>277</v>
      </c>
      <c r="C265" s="35">
        <f>C264/158.97*127.911/0.97/0.57</f>
        <v>1.4552785564668869</v>
      </c>
      <c r="D265" s="27" t="s">
        <v>10</v>
      </c>
      <c r="E265" s="27"/>
      <c r="F265" s="24" t="s">
        <v>61</v>
      </c>
      <c r="G265" s="7"/>
    </row>
    <row r="266" spans="1:7">
      <c r="A266" s="6" t="s">
        <v>11</v>
      </c>
      <c r="B266" s="27" t="s">
        <v>331</v>
      </c>
      <c r="C266" s="35">
        <f>C264/158.97*31.05/0.97</f>
        <v>0.20136069244732036</v>
      </c>
      <c r="D266" s="27" t="s">
        <v>10</v>
      </c>
      <c r="E266" s="27"/>
      <c r="F266" s="27"/>
      <c r="G266" s="7"/>
    </row>
    <row r="267" spans="1:7">
      <c r="A267" s="6" t="s">
        <v>11</v>
      </c>
      <c r="B267" s="27" t="s">
        <v>332</v>
      </c>
      <c r="C267" s="35">
        <f>C266*0.67/0.33</f>
        <v>0.408823224059711</v>
      </c>
      <c r="D267" s="27" t="s">
        <v>10</v>
      </c>
      <c r="E267" s="27"/>
      <c r="F267" s="94" t="s">
        <v>340</v>
      </c>
      <c r="G267" s="7"/>
    </row>
    <row r="268" spans="1:7">
      <c r="A268" s="6" t="s">
        <v>11</v>
      </c>
      <c r="B268" s="27" t="s">
        <v>333</v>
      </c>
      <c r="C268" s="35">
        <f>C264*5*0.713</f>
        <v>3.5649999999999999</v>
      </c>
      <c r="D268" s="27" t="s">
        <v>10</v>
      </c>
      <c r="E268" s="27"/>
      <c r="F268" s="96"/>
      <c r="G268" s="7"/>
    </row>
    <row r="269" spans="1:7">
      <c r="A269" s="6" t="s">
        <v>16</v>
      </c>
      <c r="B269" s="27" t="s">
        <v>29</v>
      </c>
      <c r="C269" s="35">
        <f>(C267*2.57/(C267+C265*0.43)+C265*0.43*4.184/(0.43*C265+C267))*SUM(C265:C267)*30/1000+'electricity consumption'!$B$120*(C265/0.57*1.7+C265*0.43+C266/0.7+C267/0.79)*30*3.6/1000/'electricity consumption'!$C$120</f>
        <v>0.22248263395827483</v>
      </c>
      <c r="D269" s="27" t="s">
        <v>14</v>
      </c>
      <c r="E269" s="27"/>
      <c r="F269" s="94" t="s">
        <v>341</v>
      </c>
      <c r="G269" s="7"/>
    </row>
    <row r="270" spans="1:7" ht="16.5">
      <c r="A270" s="6" t="s">
        <v>16</v>
      </c>
      <c r="B270" s="27" t="s">
        <v>29</v>
      </c>
      <c r="C270" s="35">
        <f>(0.25*'Chemicals &amp; Solvents background'!F6/1000+'electricity consumption'!$B$118*3600*16*40/1000000)/'electricity consumption'!$C$118</f>
        <v>0.34159233514217496</v>
      </c>
      <c r="D270" s="27" t="s">
        <v>14</v>
      </c>
      <c r="E270" s="27"/>
      <c r="F270" s="94" t="s">
        <v>342</v>
      </c>
      <c r="G270" s="7"/>
    </row>
    <row r="271" spans="1:7" ht="16.5">
      <c r="A271" s="6" t="s">
        <v>16</v>
      </c>
      <c r="B271" s="27" t="s">
        <v>43</v>
      </c>
      <c r="C271" s="35">
        <f>(C265*0.57*1.7+C265*0.43+C266*0.7+C267*0.79)*'electricity consumption'!$K$106*2/1000+((C267*2.57/(C267+C265*0.43)+C265*0.43*4.184/(0.43*C265+C267))*SUM(C265:C267)*20/3.6+'electricity consumption'!$B$118*(C265*0.57*1.7+C265*0.43+C266*0.7+C267*0.79)*20*2)/1000/'electricity consumption'!$C$118</f>
        <v>5.7699054935336135E-2</v>
      </c>
      <c r="D271" s="27" t="s">
        <v>44</v>
      </c>
      <c r="E271" s="27"/>
      <c r="F271" s="94" t="s">
        <v>343</v>
      </c>
      <c r="G271" s="7"/>
    </row>
    <row r="272" spans="1:7">
      <c r="A272" s="6" t="s">
        <v>16</v>
      </c>
      <c r="B272" s="27" t="s">
        <v>43</v>
      </c>
      <c r="C272" s="35">
        <f>'electricity consumption'!$C$109*SUM(C264)/1000</f>
        <v>0.01</v>
      </c>
      <c r="D272" s="27" t="s">
        <v>44</v>
      </c>
      <c r="E272" s="27"/>
      <c r="F272" s="94" t="s">
        <v>334</v>
      </c>
      <c r="G272" s="7"/>
    </row>
    <row r="273" spans="1:7">
      <c r="A273" s="6" t="s">
        <v>16</v>
      </c>
      <c r="B273" s="27" t="s">
        <v>43</v>
      </c>
      <c r="C273" s="38">
        <f>SUM(C265:C268)*'electricity consumption'!$B$113/3600000</f>
        <v>8.6020954448212637E-5</v>
      </c>
      <c r="D273" s="27" t="s">
        <v>44</v>
      </c>
      <c r="E273" s="27"/>
      <c r="F273" s="94" t="s">
        <v>74</v>
      </c>
      <c r="G273" s="7"/>
    </row>
    <row r="274" spans="1:7">
      <c r="A274" s="6" t="s">
        <v>16</v>
      </c>
      <c r="B274" s="27" t="s">
        <v>43</v>
      </c>
      <c r="C274" s="35">
        <f>(MAX(0.03,(((2.2*'electricity consumption'!A2*'electricity consumption'!K98)/(1/6)+('electricity consumption'!K98/2500*3600*'electricity consumption'!K98)*0.166667)/1))^1.088*4.242)*0.16666667+(MAX(0.03,((('electricity consumption'!K98/2500*3600*'electricity consumption'!K98+0.25/15.83333)/1))^1.088*4.242)*15.833333)</f>
        <v>2.9539500007612136</v>
      </c>
      <c r="D274" s="27" t="s">
        <v>44</v>
      </c>
      <c r="E274" s="27"/>
      <c r="F274" s="94" t="s">
        <v>344</v>
      </c>
      <c r="G274" s="7"/>
    </row>
    <row r="275" spans="1:7">
      <c r="A275" s="6" t="s">
        <v>16</v>
      </c>
      <c r="B275" s="27" t="s">
        <v>17</v>
      </c>
      <c r="C275" s="38">
        <f>0.0000000004</f>
        <v>4.0000000000000001E-10</v>
      </c>
      <c r="D275" s="27" t="s">
        <v>18</v>
      </c>
      <c r="E275" s="27"/>
      <c r="F275" s="27"/>
      <c r="G275" s="7"/>
    </row>
    <row r="276" spans="1:7">
      <c r="A276" s="116" t="s">
        <v>35</v>
      </c>
      <c r="B276" s="117"/>
      <c r="C276" s="117"/>
      <c r="D276" s="117"/>
      <c r="E276" s="117"/>
      <c r="F276" s="27"/>
      <c r="G276" s="7"/>
    </row>
    <row r="277" spans="1:7">
      <c r="A277" s="6" t="s">
        <v>31</v>
      </c>
      <c r="B277" s="27" t="s">
        <v>59</v>
      </c>
      <c r="C277" s="35">
        <f>SUM(C271:C274)*3.6</f>
        <v>10.878246275943594</v>
      </c>
      <c r="D277" s="27" t="s">
        <v>14</v>
      </c>
      <c r="E277" s="27"/>
      <c r="F277" s="27"/>
      <c r="G277" s="7"/>
    </row>
    <row r="278" spans="1:7">
      <c r="A278" s="6" t="s">
        <v>31</v>
      </c>
      <c r="B278" s="27" t="s">
        <v>299</v>
      </c>
      <c r="C278" s="38">
        <f>C266*0.67/0.33*0.002</f>
        <v>8.1764644811942199E-4</v>
      </c>
      <c r="D278" s="27" t="s">
        <v>10</v>
      </c>
      <c r="E278" s="27"/>
      <c r="F278" s="27"/>
      <c r="G278" s="7" t="s">
        <v>58</v>
      </c>
    </row>
    <row r="279" spans="1:7">
      <c r="A279" s="6" t="s">
        <v>31</v>
      </c>
      <c r="B279" s="27" t="s">
        <v>303</v>
      </c>
      <c r="C279" s="35">
        <f>C268*0.002</f>
        <v>7.1300000000000001E-3</v>
      </c>
      <c r="D279" s="27"/>
      <c r="E279" s="27"/>
      <c r="F279" s="27"/>
      <c r="G279" s="7"/>
    </row>
    <row r="280" spans="1:7">
      <c r="A280" s="6" t="s">
        <v>31</v>
      </c>
      <c r="B280" s="27" t="s">
        <v>335</v>
      </c>
      <c r="C280" s="38">
        <f>C265*0.57*0.05*0.002</f>
        <v>8.295087771861255E-5</v>
      </c>
      <c r="D280" s="27" t="s">
        <v>10</v>
      </c>
      <c r="E280" s="27"/>
      <c r="F280" s="27"/>
      <c r="G280" s="7" t="s">
        <v>58</v>
      </c>
    </row>
    <row r="281" spans="1:7">
      <c r="A281" s="116" t="s">
        <v>19</v>
      </c>
      <c r="B281" s="117"/>
      <c r="C281" s="117"/>
      <c r="D281" s="117"/>
      <c r="E281" s="117"/>
      <c r="F281" s="27"/>
      <c r="G281" s="7"/>
    </row>
    <row r="282" spans="1:7">
      <c r="A282" s="6" t="s">
        <v>20</v>
      </c>
      <c r="B282" s="27" t="s">
        <v>336</v>
      </c>
      <c r="C282" s="35">
        <f>C267-C278</f>
        <v>0.40800557761159156</v>
      </c>
      <c r="D282" s="27" t="s">
        <v>10</v>
      </c>
      <c r="E282" s="27"/>
      <c r="F282" s="27"/>
      <c r="G282" s="7" t="s">
        <v>337</v>
      </c>
    </row>
    <row r="283" spans="1:7">
      <c r="A283" s="6" t="s">
        <v>20</v>
      </c>
      <c r="B283" s="27" t="s">
        <v>338</v>
      </c>
      <c r="C283" s="35">
        <f>C268-C279</f>
        <v>3.5578699999999999</v>
      </c>
      <c r="D283" s="27" t="s">
        <v>10</v>
      </c>
      <c r="E283" s="27"/>
      <c r="F283" s="27" t="s">
        <v>248</v>
      </c>
      <c r="G283" s="7" t="s">
        <v>337</v>
      </c>
    </row>
    <row r="284" spans="1:7" ht="15" thickBot="1">
      <c r="A284" s="8" t="s">
        <v>20</v>
      </c>
      <c r="B284" s="1" t="s">
        <v>284</v>
      </c>
      <c r="C284" s="9">
        <f>SUM(C265:C268)-C264-C278-C282-C283</f>
        <v>0.6637692489142073</v>
      </c>
      <c r="D284" s="1" t="s">
        <v>10</v>
      </c>
      <c r="E284" s="1"/>
      <c r="F284" s="1"/>
      <c r="G284" s="2" t="s">
        <v>339</v>
      </c>
    </row>
    <row r="286" spans="1:7" s="101" customFormat="1" ht="15" thickBot="1">
      <c r="A286" s="100" t="s">
        <v>678</v>
      </c>
    </row>
    <row r="287" spans="1:7" s="26" customFormat="1">
      <c r="A287" s="118" t="s">
        <v>390</v>
      </c>
      <c r="B287" s="119"/>
      <c r="C287" s="119"/>
      <c r="D287" s="119"/>
      <c r="E287" s="11" t="s">
        <v>743</v>
      </c>
      <c r="F287" s="34"/>
      <c r="G287" s="12"/>
    </row>
    <row r="288" spans="1:7">
      <c r="A288" s="13" t="s">
        <v>588</v>
      </c>
      <c r="B288" s="28" t="s">
        <v>1</v>
      </c>
      <c r="C288" s="28" t="s">
        <v>3</v>
      </c>
      <c r="D288" s="28" t="s">
        <v>4</v>
      </c>
      <c r="E288" s="28" t="s">
        <v>5</v>
      </c>
      <c r="F288" s="28" t="s">
        <v>6</v>
      </c>
      <c r="G288" s="16" t="s">
        <v>7</v>
      </c>
    </row>
    <row r="289" spans="1:7" s="26" customFormat="1">
      <c r="A289" s="6" t="s">
        <v>8</v>
      </c>
      <c r="B289" s="27" t="s">
        <v>348</v>
      </c>
      <c r="C289" s="35">
        <v>1</v>
      </c>
      <c r="D289" s="27" t="s">
        <v>10</v>
      </c>
      <c r="E289" s="27"/>
      <c r="F289" s="24"/>
      <c r="G289" s="58"/>
    </row>
    <row r="290" spans="1:7" s="26" customFormat="1">
      <c r="A290" s="6" t="s">
        <v>11</v>
      </c>
      <c r="B290" s="27" t="s">
        <v>391</v>
      </c>
      <c r="C290" s="35">
        <f>C289/171.04*92.14</f>
        <v>0.5387043966323668</v>
      </c>
      <c r="D290" s="27" t="s">
        <v>10</v>
      </c>
      <c r="E290" s="27"/>
      <c r="F290" s="24"/>
      <c r="G290" s="58"/>
    </row>
    <row r="291" spans="1:7" s="26" customFormat="1">
      <c r="A291" s="6" t="s">
        <v>11</v>
      </c>
      <c r="B291" s="27" t="s">
        <v>392</v>
      </c>
      <c r="C291" s="35">
        <f>C289/171.04*79.904</f>
        <v>0.46716557530402247</v>
      </c>
      <c r="D291" s="27" t="s">
        <v>10</v>
      </c>
      <c r="E291" s="27"/>
      <c r="F291" s="24"/>
      <c r="G291" s="58"/>
    </row>
    <row r="292" spans="1:7" s="26" customFormat="1">
      <c r="A292" s="6" t="s">
        <v>16</v>
      </c>
      <c r="B292" s="27" t="s">
        <v>29</v>
      </c>
      <c r="C292" s="35">
        <f>'electricity consumption'!B126</f>
        <v>2.7602169350845336</v>
      </c>
      <c r="D292" s="27" t="s">
        <v>14</v>
      </c>
      <c r="E292" s="27"/>
      <c r="F292" s="24"/>
      <c r="G292" s="58"/>
    </row>
    <row r="293" spans="1:7" s="26" customFormat="1">
      <c r="A293" s="6" t="s">
        <v>16</v>
      </c>
      <c r="B293" s="27" t="s">
        <v>393</v>
      </c>
      <c r="C293" s="35">
        <f>'electricity consumption'!B127/3.6</f>
        <v>0.57274176602974736</v>
      </c>
      <c r="D293" s="27" t="s">
        <v>44</v>
      </c>
      <c r="E293" s="27"/>
      <c r="F293" s="24"/>
      <c r="G293" s="58"/>
    </row>
    <row r="294" spans="1:7" s="26" customFormat="1">
      <c r="A294" s="6" t="s">
        <v>16</v>
      </c>
      <c r="B294" s="27" t="s">
        <v>84</v>
      </c>
      <c r="C294" s="35">
        <f>'electricity consumption'!B128/3.6</f>
        <v>6.6086863113437644E-2</v>
      </c>
      <c r="D294" s="27" t="s">
        <v>10</v>
      </c>
      <c r="E294" s="27"/>
      <c r="F294" s="24"/>
      <c r="G294" s="58"/>
    </row>
    <row r="295" spans="1:7" s="26" customFormat="1">
      <c r="A295" s="6" t="s">
        <v>16</v>
      </c>
      <c r="B295" s="27" t="s">
        <v>17</v>
      </c>
      <c r="C295" s="38">
        <f>0.00000000041</f>
        <v>4.0999999999999998E-10</v>
      </c>
      <c r="D295" s="27" t="s">
        <v>18</v>
      </c>
      <c r="E295" s="27"/>
      <c r="F295" s="24"/>
      <c r="G295" s="58"/>
    </row>
    <row r="296" spans="1:7" s="26" customFormat="1">
      <c r="A296" s="116" t="s">
        <v>19</v>
      </c>
      <c r="B296" s="117"/>
      <c r="C296" s="117"/>
      <c r="D296" s="117"/>
      <c r="E296" s="117"/>
      <c r="F296" s="24"/>
      <c r="G296" s="58"/>
    </row>
    <row r="297" spans="1:7" s="26" customFormat="1" ht="15" thickBot="1">
      <c r="A297" s="8" t="s">
        <v>20</v>
      </c>
      <c r="B297" s="1" t="s">
        <v>255</v>
      </c>
      <c r="C297" s="9">
        <v>1.2</v>
      </c>
      <c r="D297" s="1" t="s">
        <v>14</v>
      </c>
      <c r="E297" s="1"/>
      <c r="F297" s="59"/>
      <c r="G297" s="60"/>
    </row>
    <row r="298" spans="1:7" s="26" customFormat="1" ht="15" thickBot="1">
      <c r="A298" s="25"/>
    </row>
    <row r="299" spans="1:7" s="26" customFormat="1">
      <c r="A299" s="118" t="s">
        <v>394</v>
      </c>
      <c r="B299" s="119"/>
      <c r="C299" s="119"/>
      <c r="D299" s="119"/>
      <c r="E299" s="34" t="s">
        <v>745</v>
      </c>
      <c r="F299" s="11"/>
      <c r="G299" s="12"/>
    </row>
    <row r="300" spans="1:7">
      <c r="A300" s="13" t="s">
        <v>588</v>
      </c>
      <c r="B300" s="28" t="s">
        <v>1</v>
      </c>
      <c r="C300" s="28" t="s">
        <v>3</v>
      </c>
      <c r="D300" s="28" t="s">
        <v>4</v>
      </c>
      <c r="E300" s="28" t="s">
        <v>5</v>
      </c>
      <c r="F300" s="28" t="s">
        <v>6</v>
      </c>
      <c r="G300" s="16" t="s">
        <v>7</v>
      </c>
    </row>
    <row r="301" spans="1:7" s="26" customFormat="1">
      <c r="A301" s="6" t="s">
        <v>8</v>
      </c>
      <c r="B301" s="27" t="s">
        <v>395</v>
      </c>
      <c r="C301" s="35">
        <v>1</v>
      </c>
      <c r="D301" s="27" t="s">
        <v>10</v>
      </c>
      <c r="E301" s="27"/>
      <c r="F301" s="24"/>
      <c r="G301" s="58"/>
    </row>
    <row r="302" spans="1:7" s="26" customFormat="1">
      <c r="A302" s="6" t="s">
        <v>11</v>
      </c>
      <c r="B302" s="27" t="s">
        <v>40</v>
      </c>
      <c r="C302" s="35">
        <f>C301/120.002/0.95</f>
        <v>8.7717836281676013E-3</v>
      </c>
      <c r="D302" s="27" t="s">
        <v>10</v>
      </c>
      <c r="E302" s="27"/>
      <c r="F302" s="24"/>
      <c r="G302" s="58"/>
    </row>
    <row r="303" spans="1:7" s="26" customFormat="1">
      <c r="A303" s="6" t="s">
        <v>11</v>
      </c>
      <c r="B303" s="27" t="s">
        <v>392</v>
      </c>
      <c r="C303" s="35">
        <f>C301/120.002*119.002/0.95</f>
        <v>1.0438597953192008</v>
      </c>
      <c r="D303" s="27" t="s">
        <v>10</v>
      </c>
      <c r="E303" s="27"/>
      <c r="F303" s="24"/>
      <c r="G303" s="58"/>
    </row>
    <row r="304" spans="1:7" s="26" customFormat="1">
      <c r="A304" s="6" t="s">
        <v>16</v>
      </c>
      <c r="B304" s="27" t="s">
        <v>396</v>
      </c>
      <c r="C304" s="35">
        <v>0.33</v>
      </c>
      <c r="D304" s="27" t="s">
        <v>44</v>
      </c>
      <c r="E304" s="28"/>
      <c r="F304" s="24"/>
      <c r="G304" s="58"/>
    </row>
    <row r="305" spans="1:7" s="26" customFormat="1">
      <c r="A305" s="6" t="s">
        <v>16</v>
      </c>
      <c r="B305" s="27" t="s">
        <v>17</v>
      </c>
      <c r="C305" s="38">
        <f>0.0000000004</f>
        <v>4.0000000000000001E-10</v>
      </c>
      <c r="D305" s="27" t="s">
        <v>18</v>
      </c>
      <c r="E305" s="27"/>
      <c r="F305" s="24"/>
      <c r="G305" s="58"/>
    </row>
    <row r="306" spans="1:7">
      <c r="A306" s="116" t="s">
        <v>397</v>
      </c>
      <c r="B306" s="117"/>
      <c r="C306" s="117"/>
      <c r="D306" s="117"/>
      <c r="E306" s="117"/>
      <c r="F306" s="27"/>
      <c r="G306" s="7"/>
    </row>
    <row r="307" spans="1:7">
      <c r="A307" s="6" t="s">
        <v>31</v>
      </c>
      <c r="B307" s="27" t="s">
        <v>34</v>
      </c>
      <c r="C307" s="38">
        <f>1.9*10^-3</f>
        <v>1.9E-3</v>
      </c>
      <c r="D307" s="27" t="s">
        <v>10</v>
      </c>
      <c r="E307" s="27"/>
      <c r="F307" s="27"/>
      <c r="G307" s="7"/>
    </row>
    <row r="308" spans="1:7" ht="15" thickBot="1">
      <c r="A308" s="8" t="s">
        <v>20</v>
      </c>
      <c r="B308" s="1" t="s">
        <v>59</v>
      </c>
      <c r="C308" s="9">
        <v>1.2</v>
      </c>
      <c r="D308" s="1" t="s">
        <v>14</v>
      </c>
      <c r="E308" s="1"/>
      <c r="F308" s="1"/>
      <c r="G308" s="2"/>
    </row>
    <row r="309" spans="1:7" ht="15" thickBot="1">
      <c r="A309" s="25"/>
      <c r="B309" s="26"/>
      <c r="C309" s="26"/>
      <c r="D309" s="26"/>
      <c r="E309" s="26"/>
    </row>
    <row r="310" spans="1:7" s="26" customFormat="1">
      <c r="A310" s="118" t="s">
        <v>398</v>
      </c>
      <c r="B310" s="119"/>
      <c r="C310" s="119"/>
      <c r="D310" s="119"/>
      <c r="E310" s="11" t="s">
        <v>745</v>
      </c>
      <c r="F310" s="34"/>
      <c r="G310" s="12"/>
    </row>
    <row r="311" spans="1:7">
      <c r="A311" s="13" t="s">
        <v>588</v>
      </c>
      <c r="B311" s="28" t="s">
        <v>1</v>
      </c>
      <c r="C311" s="28" t="s">
        <v>3</v>
      </c>
      <c r="D311" s="28" t="s">
        <v>4</v>
      </c>
      <c r="E311" s="28" t="s">
        <v>5</v>
      </c>
      <c r="F311" s="28" t="s">
        <v>6</v>
      </c>
      <c r="G311" s="16" t="s">
        <v>7</v>
      </c>
    </row>
    <row r="312" spans="1:7">
      <c r="A312" s="6" t="s">
        <v>8</v>
      </c>
      <c r="B312" s="27" t="s">
        <v>399</v>
      </c>
      <c r="C312" s="35">
        <v>1</v>
      </c>
      <c r="D312" s="27" t="s">
        <v>10</v>
      </c>
      <c r="E312" s="27"/>
      <c r="F312" s="27"/>
      <c r="G312" s="7"/>
    </row>
    <row r="313" spans="1:7">
      <c r="A313" s="6" t="s">
        <v>11</v>
      </c>
      <c r="B313" s="27" t="s">
        <v>400</v>
      </c>
      <c r="C313" s="35">
        <v>0.5521557719054242</v>
      </c>
      <c r="D313" s="27" t="s">
        <v>10</v>
      </c>
      <c r="E313" s="27"/>
      <c r="F313" s="27"/>
      <c r="G313" s="7"/>
    </row>
    <row r="314" spans="1:7">
      <c r="A314" s="6" t="s">
        <v>11</v>
      </c>
      <c r="B314" s="27" t="s">
        <v>401</v>
      </c>
      <c r="C314" s="35">
        <v>0.60778859527120999</v>
      </c>
      <c r="D314" s="27" t="s">
        <v>10</v>
      </c>
      <c r="E314" s="27"/>
      <c r="F314" s="24" t="s">
        <v>61</v>
      </c>
      <c r="G314" s="7"/>
    </row>
    <row r="315" spans="1:7">
      <c r="A315" s="6" t="s">
        <v>16</v>
      </c>
      <c r="B315" s="27" t="s">
        <v>29</v>
      </c>
      <c r="C315" s="35">
        <v>0.44228094575799726</v>
      </c>
      <c r="D315" s="27" t="s">
        <v>14</v>
      </c>
      <c r="E315" s="27"/>
      <c r="F315" s="27"/>
      <c r="G315" s="7"/>
    </row>
    <row r="316" spans="1:7">
      <c r="A316" s="6" t="s">
        <v>16</v>
      </c>
      <c r="B316" s="27" t="s">
        <v>396</v>
      </c>
      <c r="C316" s="35">
        <v>6.5994962216624681E-2</v>
      </c>
      <c r="D316" s="27" t="s">
        <v>44</v>
      </c>
      <c r="E316" s="28"/>
      <c r="F316" s="27"/>
      <c r="G316" s="7"/>
    </row>
    <row r="317" spans="1:7">
      <c r="A317" s="6" t="s">
        <v>16</v>
      </c>
      <c r="B317" s="27" t="s">
        <v>43</v>
      </c>
      <c r="C317" s="38">
        <f>SUM(C313:C314)*'[1]electricity consumption'!$Y$43/3600000</f>
        <v>1.7721372276309689E-5</v>
      </c>
      <c r="D317" s="27" t="s">
        <v>44</v>
      </c>
      <c r="E317" s="27"/>
      <c r="F317" s="27"/>
      <c r="G317" s="27" t="s">
        <v>680</v>
      </c>
    </row>
    <row r="318" spans="1:7">
      <c r="A318" s="6" t="s">
        <v>16</v>
      </c>
      <c r="B318" s="27" t="s">
        <v>17</v>
      </c>
      <c r="C318" s="38">
        <f>'[1]electricity consumption'!$Z$11</f>
        <v>4.0000000000000001E-10</v>
      </c>
      <c r="D318" s="27" t="s">
        <v>18</v>
      </c>
      <c r="E318" s="27"/>
      <c r="F318" s="27"/>
      <c r="G318" s="7"/>
    </row>
    <row r="319" spans="1:7">
      <c r="A319" s="116" t="s">
        <v>19</v>
      </c>
      <c r="B319" s="117"/>
      <c r="C319" s="117"/>
      <c r="D319" s="117"/>
      <c r="E319" s="117"/>
      <c r="F319" s="27"/>
      <c r="G319" s="7"/>
    </row>
    <row r="320" spans="1:7" ht="15" thickBot="1">
      <c r="A320" s="8" t="s">
        <v>31</v>
      </c>
      <c r="B320" s="1" t="s">
        <v>59</v>
      </c>
      <c r="C320" s="9">
        <f>C316*3.6</f>
        <v>0.23758186397984885</v>
      </c>
      <c r="D320" s="1" t="s">
        <v>14</v>
      </c>
      <c r="E320" s="1"/>
      <c r="F320" s="1"/>
      <c r="G320" s="2"/>
    </row>
    <row r="321" spans="1:7" ht="15" thickBot="1"/>
    <row r="322" spans="1:7" s="26" customFormat="1">
      <c r="A322" s="118" t="s">
        <v>402</v>
      </c>
      <c r="B322" s="119"/>
      <c r="C322" s="119"/>
      <c r="D322" s="119"/>
      <c r="E322" s="11" t="s">
        <v>747</v>
      </c>
      <c r="F322" s="34"/>
      <c r="G322" s="12"/>
    </row>
    <row r="323" spans="1:7">
      <c r="A323" s="13" t="s">
        <v>588</v>
      </c>
      <c r="B323" s="28" t="s">
        <v>1</v>
      </c>
      <c r="C323" s="28" t="s">
        <v>3</v>
      </c>
      <c r="D323" s="28" t="s">
        <v>4</v>
      </c>
      <c r="E323" s="28" t="s">
        <v>5</v>
      </c>
      <c r="F323" s="28" t="s">
        <v>6</v>
      </c>
      <c r="G323" s="16" t="s">
        <v>7</v>
      </c>
    </row>
    <row r="324" spans="1:7">
      <c r="A324" s="6" t="s">
        <v>8</v>
      </c>
      <c r="B324" s="27" t="s">
        <v>403</v>
      </c>
      <c r="C324" s="35">
        <v>1</v>
      </c>
      <c r="D324" s="27" t="s">
        <v>10</v>
      </c>
      <c r="E324" s="27"/>
      <c r="F324" s="27"/>
      <c r="G324" s="7"/>
    </row>
    <row r="325" spans="1:7">
      <c r="A325" s="6" t="s">
        <v>8</v>
      </c>
      <c r="B325" s="27" t="s">
        <v>404</v>
      </c>
      <c r="C325" s="35">
        <v>0.94915623720748832</v>
      </c>
      <c r="D325" s="27" t="s">
        <v>10</v>
      </c>
      <c r="E325" s="27"/>
      <c r="F325" s="27"/>
      <c r="G325" s="7"/>
    </row>
    <row r="326" spans="1:7">
      <c r="A326" s="6" t="s">
        <v>11</v>
      </c>
      <c r="B326" s="27" t="s">
        <v>399</v>
      </c>
      <c r="C326" s="35">
        <v>1.7891691107644307</v>
      </c>
      <c r="D326" s="27" t="s">
        <v>10</v>
      </c>
      <c r="E326" s="27"/>
      <c r="F326" s="27" t="s">
        <v>61</v>
      </c>
      <c r="G326" s="7"/>
    </row>
    <row r="327" spans="1:7">
      <c r="A327" s="6" t="s">
        <v>11</v>
      </c>
      <c r="B327" s="27" t="s">
        <v>405</v>
      </c>
      <c r="C327" s="35">
        <v>1.8623030306204951</v>
      </c>
      <c r="D327" s="27" t="s">
        <v>10</v>
      </c>
      <c r="E327" s="27"/>
      <c r="F327" s="27"/>
      <c r="G327" s="7"/>
    </row>
    <row r="328" spans="1:7">
      <c r="A328" s="6" t="s">
        <v>11</v>
      </c>
      <c r="B328" s="27" t="s">
        <v>406</v>
      </c>
      <c r="C328" s="35">
        <v>0.1812673010920437</v>
      </c>
      <c r="D328" s="27" t="s">
        <v>10</v>
      </c>
      <c r="E328" s="27"/>
      <c r="F328" s="27"/>
      <c r="G328" s="7"/>
    </row>
    <row r="329" spans="1:7">
      <c r="A329" s="6" t="s">
        <v>16</v>
      </c>
      <c r="B329" s="27" t="s">
        <v>396</v>
      </c>
      <c r="C329" s="38">
        <v>2.7095619771105745E-5</v>
      </c>
      <c r="D329" s="27" t="s">
        <v>44</v>
      </c>
      <c r="E329" s="27"/>
      <c r="F329" s="27"/>
      <c r="G329" s="27" t="s">
        <v>410</v>
      </c>
    </row>
    <row r="330" spans="1:7">
      <c r="A330" s="6" t="s">
        <v>16</v>
      </c>
      <c r="B330" s="27" t="s">
        <v>396</v>
      </c>
      <c r="C330" s="35">
        <v>3.0917981461928784E-2</v>
      </c>
      <c r="D330" s="27" t="s">
        <v>44</v>
      </c>
      <c r="E330" s="27"/>
      <c r="F330" s="27"/>
      <c r="G330" s="27" t="s">
        <v>407</v>
      </c>
    </row>
    <row r="331" spans="1:7">
      <c r="A331" s="6" t="s">
        <v>16</v>
      </c>
      <c r="B331" s="27" t="s">
        <v>43</v>
      </c>
      <c r="C331" s="38">
        <v>5.8555741482287039E-5</v>
      </c>
      <c r="D331" s="27" t="s">
        <v>44</v>
      </c>
      <c r="E331" s="27"/>
      <c r="F331" s="27"/>
      <c r="G331" s="27" t="s">
        <v>74</v>
      </c>
    </row>
    <row r="332" spans="1:7">
      <c r="A332" s="6" t="s">
        <v>16</v>
      </c>
      <c r="B332" s="27" t="s">
        <v>17</v>
      </c>
      <c r="C332" s="38">
        <v>4.0000000000000001E-10</v>
      </c>
      <c r="D332" s="27" t="s">
        <v>18</v>
      </c>
      <c r="E332" s="27"/>
      <c r="F332" s="27"/>
      <c r="G332" s="7"/>
    </row>
    <row r="333" spans="1:7">
      <c r="A333" s="116" t="s">
        <v>35</v>
      </c>
      <c r="B333" s="117"/>
      <c r="C333" s="117"/>
      <c r="D333" s="117"/>
      <c r="E333" s="117"/>
      <c r="F333" s="27"/>
      <c r="G333" s="7"/>
    </row>
    <row r="334" spans="1:7">
      <c r="A334" s="6" t="s">
        <v>31</v>
      </c>
      <c r="B334" s="27" t="s">
        <v>59</v>
      </c>
      <c r="C334" s="35">
        <f>SUM(C329:C331)*3.6</f>
        <v>0.11161307816345585</v>
      </c>
      <c r="D334" s="27" t="s">
        <v>14</v>
      </c>
      <c r="E334" s="27"/>
      <c r="F334" s="27"/>
      <c r="G334" s="7"/>
    </row>
    <row r="335" spans="1:7">
      <c r="A335" s="116" t="s">
        <v>19</v>
      </c>
      <c r="B335" s="117"/>
      <c r="C335" s="117"/>
      <c r="D335" s="117"/>
      <c r="E335" s="117"/>
      <c r="F335" s="27"/>
      <c r="G335" s="7"/>
    </row>
    <row r="336" spans="1:7">
      <c r="A336" s="6" t="s">
        <v>20</v>
      </c>
      <c r="B336" s="27" t="s">
        <v>65</v>
      </c>
      <c r="C336" s="35">
        <f>C326*(1-0.837)+C328*(1-0.837)</f>
        <v>0.32118113513260543</v>
      </c>
      <c r="D336" s="27" t="s">
        <v>10</v>
      </c>
      <c r="E336" s="27"/>
      <c r="F336" s="27"/>
      <c r="G336" s="27" t="s">
        <v>411</v>
      </c>
    </row>
    <row r="337" spans="1:7" ht="15" thickBot="1">
      <c r="A337" s="8" t="s">
        <v>20</v>
      </c>
      <c r="B337" s="1" t="s">
        <v>408</v>
      </c>
      <c r="C337" s="9">
        <f>C327</f>
        <v>1.8623030306204951</v>
      </c>
      <c r="D337" s="1" t="s">
        <v>10</v>
      </c>
      <c r="E337" s="1"/>
      <c r="F337" s="1"/>
      <c r="G337" s="1" t="s">
        <v>409</v>
      </c>
    </row>
    <row r="338" spans="1:7" ht="15" thickBot="1"/>
    <row r="339" spans="1:7">
      <c r="A339" s="126" t="s">
        <v>345</v>
      </c>
      <c r="B339" s="127"/>
      <c r="C339" s="127"/>
      <c r="D339" s="127"/>
      <c r="E339" s="34" t="s">
        <v>747</v>
      </c>
      <c r="F339" s="11"/>
      <c r="G339" s="12"/>
    </row>
    <row r="340" spans="1:7">
      <c r="A340" s="13" t="s">
        <v>588</v>
      </c>
      <c r="B340" s="28" t="s">
        <v>1</v>
      </c>
      <c r="C340" s="28" t="s">
        <v>3</v>
      </c>
      <c r="D340" s="28" t="s">
        <v>4</v>
      </c>
      <c r="E340" s="28" t="s">
        <v>5</v>
      </c>
      <c r="F340" s="28" t="s">
        <v>6</v>
      </c>
      <c r="G340" s="16" t="s">
        <v>7</v>
      </c>
    </row>
    <row r="341" spans="1:7">
      <c r="A341" s="6" t="s">
        <v>8</v>
      </c>
      <c r="B341" s="27" t="s">
        <v>346</v>
      </c>
      <c r="C341" s="35">
        <v>1</v>
      </c>
      <c r="D341" s="27" t="s">
        <v>10</v>
      </c>
      <c r="E341" s="27"/>
      <c r="F341" s="27"/>
      <c r="G341" s="7"/>
    </row>
    <row r="342" spans="1:7">
      <c r="A342" s="6" t="s">
        <v>8</v>
      </c>
      <c r="B342" s="27" t="s">
        <v>347</v>
      </c>
      <c r="C342" s="35">
        <f>C343/171.04*86.845</f>
        <v>0.61667424091799916</v>
      </c>
      <c r="D342" s="27" t="s">
        <v>10</v>
      </c>
      <c r="E342" s="27"/>
      <c r="F342" s="27"/>
      <c r="G342" s="7"/>
    </row>
    <row r="343" spans="1:7">
      <c r="A343" s="6" t="s">
        <v>11</v>
      </c>
      <c r="B343" s="27" t="s">
        <v>348</v>
      </c>
      <c r="C343" s="35">
        <f>C341/148.24*171.04/0.95</f>
        <v>1.214531201181583</v>
      </c>
      <c r="D343" s="27" t="s">
        <v>10</v>
      </c>
      <c r="E343" s="27"/>
      <c r="F343" s="27" t="s">
        <v>61</v>
      </c>
      <c r="G343" s="7"/>
    </row>
    <row r="344" spans="1:7">
      <c r="A344" s="6" t="s">
        <v>11</v>
      </c>
      <c r="B344" s="27" t="s">
        <v>349</v>
      </c>
      <c r="C344" s="35">
        <f>C341/148.42*64.1/0.95</f>
        <v>0.45461315328477508</v>
      </c>
      <c r="D344" s="27" t="s">
        <v>10</v>
      </c>
      <c r="E344" s="27"/>
      <c r="F344" s="27" t="s">
        <v>61</v>
      </c>
      <c r="G344" s="7"/>
    </row>
    <row r="345" spans="1:7">
      <c r="A345" s="6" t="s">
        <v>16</v>
      </c>
      <c r="B345" s="27" t="s">
        <v>43</v>
      </c>
      <c r="C345" s="38">
        <f>SUM(C343:C344)*'electricity consumption'!$B$113/3600000</f>
        <v>2.550081652656936E-5</v>
      </c>
      <c r="D345" s="27" t="s">
        <v>44</v>
      </c>
      <c r="E345" s="27"/>
      <c r="F345" s="27"/>
      <c r="G345" s="7" t="s">
        <v>680</v>
      </c>
    </row>
    <row r="346" spans="1:7">
      <c r="A346" s="6" t="s">
        <v>16</v>
      </c>
      <c r="B346" s="27" t="s">
        <v>17</v>
      </c>
      <c r="C346" s="38">
        <f>0.0000000004</f>
        <v>4.0000000000000001E-10</v>
      </c>
      <c r="D346" s="27" t="s">
        <v>18</v>
      </c>
      <c r="E346" s="27"/>
      <c r="F346" s="27"/>
      <c r="G346" s="7"/>
    </row>
    <row r="347" spans="1:7">
      <c r="A347" s="116" t="s">
        <v>35</v>
      </c>
      <c r="B347" s="117"/>
      <c r="C347" s="117"/>
      <c r="D347" s="117"/>
      <c r="E347" s="117"/>
      <c r="F347" s="27"/>
      <c r="G347" s="7"/>
    </row>
    <row r="348" spans="1:7">
      <c r="A348" s="6" t="s">
        <v>31</v>
      </c>
      <c r="B348" s="27" t="s">
        <v>59</v>
      </c>
      <c r="C348" s="38">
        <f>C345*3.6</f>
        <v>9.1802939495649693E-5</v>
      </c>
      <c r="D348" s="27" t="s">
        <v>14</v>
      </c>
      <c r="E348" s="27"/>
      <c r="F348" s="27"/>
      <c r="G348" s="7"/>
    </row>
    <row r="349" spans="1:7">
      <c r="A349" s="13" t="s">
        <v>233</v>
      </c>
      <c r="B349" s="27"/>
      <c r="C349" s="27"/>
      <c r="D349" s="27"/>
      <c r="E349" s="27"/>
      <c r="F349" s="27"/>
      <c r="G349" s="7" t="s">
        <v>756</v>
      </c>
    </row>
    <row r="350" spans="1:7" ht="15" thickBot="1">
      <c r="A350" s="19" t="s">
        <v>101</v>
      </c>
      <c r="B350" s="1"/>
      <c r="C350" s="1"/>
      <c r="D350" s="1"/>
      <c r="E350" s="1"/>
      <c r="F350" s="1"/>
      <c r="G350" s="2" t="s">
        <v>350</v>
      </c>
    </row>
    <row r="351" spans="1:7" ht="15" thickBot="1"/>
    <row r="352" spans="1:7">
      <c r="A352" s="126" t="s">
        <v>412</v>
      </c>
      <c r="B352" s="127"/>
      <c r="C352" s="127"/>
      <c r="D352" s="127"/>
      <c r="E352" s="34" t="s">
        <v>748</v>
      </c>
      <c r="F352" s="11"/>
      <c r="G352" s="12"/>
    </row>
    <row r="353" spans="1:7">
      <c r="A353" s="13" t="s">
        <v>588</v>
      </c>
      <c r="B353" s="28" t="s">
        <v>1</v>
      </c>
      <c r="C353" s="28" t="s">
        <v>3</v>
      </c>
      <c r="D353" s="28" t="s">
        <v>4</v>
      </c>
      <c r="E353" s="28" t="s">
        <v>5</v>
      </c>
      <c r="F353" s="28" t="s">
        <v>6</v>
      </c>
      <c r="G353" s="16" t="s">
        <v>7</v>
      </c>
    </row>
    <row r="354" spans="1:7">
      <c r="A354" s="6" t="s">
        <v>8</v>
      </c>
      <c r="B354" s="27" t="s">
        <v>413</v>
      </c>
      <c r="C354" s="35">
        <v>1</v>
      </c>
      <c r="D354" s="27" t="s">
        <v>10</v>
      </c>
      <c r="E354" s="27"/>
      <c r="F354" s="27"/>
      <c r="G354" s="7"/>
    </row>
    <row r="355" spans="1:7">
      <c r="A355" s="6" t="s">
        <v>11</v>
      </c>
      <c r="B355" s="27" t="s">
        <v>414</v>
      </c>
      <c r="C355" s="35">
        <f>C354/90.12*44.05/0.95</f>
        <v>0.51451865349125137</v>
      </c>
      <c r="D355" s="27" t="s">
        <v>10</v>
      </c>
      <c r="E355" s="27"/>
      <c r="F355" s="27"/>
      <c r="G355" s="7"/>
    </row>
    <row r="356" spans="1:7">
      <c r="A356" s="6" t="s">
        <v>11</v>
      </c>
      <c r="B356" s="27" t="s">
        <v>332</v>
      </c>
      <c r="C356" s="35">
        <f>C354/90.12*46.07/0.95</f>
        <v>0.538112925456117</v>
      </c>
      <c r="D356" s="27" t="s">
        <v>10</v>
      </c>
      <c r="E356" s="27"/>
      <c r="F356" s="27"/>
      <c r="G356" s="7" t="s">
        <v>415</v>
      </c>
    </row>
    <row r="357" spans="1:7">
      <c r="A357" s="6" t="s">
        <v>11</v>
      </c>
      <c r="B357" s="27" t="s">
        <v>29</v>
      </c>
      <c r="C357" s="35">
        <f>'electricity consumption'!B126+'electricity consumption'!B128</f>
        <v>2.9981296422929091</v>
      </c>
      <c r="D357" s="27" t="s">
        <v>14</v>
      </c>
      <c r="E357" s="27"/>
      <c r="F357" s="27"/>
      <c r="G357" s="7"/>
    </row>
    <row r="358" spans="1:7">
      <c r="A358" s="6" t="s">
        <v>11</v>
      </c>
      <c r="B358" s="27" t="s">
        <v>396</v>
      </c>
      <c r="C358" s="35">
        <f>'electricity consumption'!B127/3.6</f>
        <v>0.57274176602974736</v>
      </c>
      <c r="D358" s="27" t="s">
        <v>44</v>
      </c>
      <c r="E358" s="27"/>
      <c r="F358" s="27"/>
      <c r="G358" s="7"/>
    </row>
    <row r="359" spans="1:7">
      <c r="A359" s="6" t="s">
        <v>16</v>
      </c>
      <c r="B359" s="27" t="s">
        <v>17</v>
      </c>
      <c r="C359" s="38">
        <f>0.0000000004</f>
        <v>4.0000000000000001E-10</v>
      </c>
      <c r="D359" s="27" t="s">
        <v>18</v>
      </c>
      <c r="E359" s="27"/>
      <c r="F359" s="27"/>
      <c r="G359" s="7"/>
    </row>
    <row r="360" spans="1:7">
      <c r="A360" s="116" t="s">
        <v>35</v>
      </c>
      <c r="B360" s="117"/>
      <c r="C360" s="117"/>
      <c r="D360" s="117"/>
      <c r="E360" s="27"/>
      <c r="F360" s="27"/>
      <c r="G360" s="7"/>
    </row>
    <row r="361" spans="1:7">
      <c r="A361" s="6" t="s">
        <v>31</v>
      </c>
      <c r="B361" s="27" t="s">
        <v>416</v>
      </c>
      <c r="C361" s="38">
        <f>C355*0.05*0.002</f>
        <v>5.145186534912514E-5</v>
      </c>
      <c r="D361" s="27" t="s">
        <v>10</v>
      </c>
      <c r="E361" s="27"/>
      <c r="F361" s="27"/>
      <c r="G361" s="7"/>
    </row>
    <row r="362" spans="1:7">
      <c r="A362" s="6" t="s">
        <v>31</v>
      </c>
      <c r="B362" s="27" t="s">
        <v>299</v>
      </c>
      <c r="C362" s="38">
        <f>C356*0.05*0.002</f>
        <v>5.3811292545611708E-5</v>
      </c>
      <c r="D362" s="27" t="s">
        <v>10</v>
      </c>
      <c r="E362" s="27"/>
      <c r="F362" s="27"/>
      <c r="G362" s="7"/>
    </row>
    <row r="363" spans="1:7">
      <c r="A363" s="6" t="s">
        <v>31</v>
      </c>
      <c r="B363" s="27" t="s">
        <v>59</v>
      </c>
      <c r="C363" s="35">
        <f>C358*3.6</f>
        <v>2.0618703577070905</v>
      </c>
      <c r="D363" s="27" t="s">
        <v>14</v>
      </c>
      <c r="E363" s="27"/>
      <c r="F363" s="27"/>
      <c r="G363" s="7"/>
    </row>
    <row r="364" spans="1:7">
      <c r="A364" s="116" t="s">
        <v>30</v>
      </c>
      <c r="B364" s="117"/>
      <c r="C364" s="117"/>
      <c r="D364" s="117"/>
      <c r="E364" s="117"/>
      <c r="F364" s="27"/>
      <c r="G364" s="7"/>
    </row>
    <row r="365" spans="1:7">
      <c r="A365" s="6" t="s">
        <v>20</v>
      </c>
      <c r="B365" s="27" t="s">
        <v>416</v>
      </c>
      <c r="C365" s="35">
        <f>C355*0.05*0.998</f>
        <v>2.5674480809213442E-2</v>
      </c>
      <c r="D365" s="27" t="s">
        <v>10</v>
      </c>
      <c r="E365" s="27"/>
      <c r="F365" s="27"/>
      <c r="G365" s="7"/>
    </row>
    <row r="366" spans="1:7">
      <c r="A366" s="116" t="s">
        <v>19</v>
      </c>
      <c r="B366" s="117"/>
      <c r="C366" s="117"/>
      <c r="D366" s="117"/>
      <c r="E366" s="117"/>
      <c r="F366" s="27"/>
      <c r="G366" s="7"/>
    </row>
    <row r="367" spans="1:7" ht="15" thickBot="1">
      <c r="A367" s="8" t="s">
        <v>20</v>
      </c>
      <c r="B367" s="1" t="s">
        <v>355</v>
      </c>
      <c r="C367" s="9">
        <f>C362/0.002</f>
        <v>2.6905646272805853E-2</v>
      </c>
      <c r="D367" s="1" t="s">
        <v>10</v>
      </c>
      <c r="E367" s="1"/>
      <c r="F367" s="1"/>
      <c r="G367" s="2"/>
    </row>
    <row r="368" spans="1:7" ht="15" thickBot="1"/>
    <row r="369" spans="1:7">
      <c r="A369" s="126" t="s">
        <v>412</v>
      </c>
      <c r="B369" s="127"/>
      <c r="C369" s="127"/>
      <c r="D369" s="127"/>
      <c r="E369" s="34" t="s">
        <v>750</v>
      </c>
      <c r="F369" s="11"/>
      <c r="G369" s="12"/>
    </row>
    <row r="370" spans="1:7">
      <c r="A370" s="13" t="s">
        <v>588</v>
      </c>
      <c r="B370" s="28" t="s">
        <v>1</v>
      </c>
      <c r="C370" s="28" t="s">
        <v>3</v>
      </c>
      <c r="D370" s="28" t="s">
        <v>4</v>
      </c>
      <c r="E370" s="28" t="s">
        <v>5</v>
      </c>
      <c r="F370" s="28" t="s">
        <v>6</v>
      </c>
      <c r="G370" s="16" t="s">
        <v>7</v>
      </c>
    </row>
    <row r="371" spans="1:7">
      <c r="A371" s="6" t="s">
        <v>8</v>
      </c>
      <c r="B371" s="27" t="s">
        <v>417</v>
      </c>
      <c r="C371" s="35">
        <v>1</v>
      </c>
      <c r="D371" s="27" t="s">
        <v>10</v>
      </c>
      <c r="E371" s="27"/>
      <c r="F371" s="27"/>
      <c r="G371" s="7"/>
    </row>
    <row r="372" spans="1:7">
      <c r="A372" s="6" t="s">
        <v>11</v>
      </c>
      <c r="B372" s="27" t="s">
        <v>416</v>
      </c>
      <c r="C372" s="35">
        <f>1/0.95/176.21*44.05/0.95</f>
        <v>0.27699258989800796</v>
      </c>
      <c r="D372" s="27" t="s">
        <v>10</v>
      </c>
      <c r="E372" s="27"/>
      <c r="F372" s="27"/>
      <c r="G372" s="7"/>
    </row>
    <row r="373" spans="1:7">
      <c r="A373" s="6" t="s">
        <v>11</v>
      </c>
      <c r="B373" s="27" t="s">
        <v>413</v>
      </c>
      <c r="C373" s="35">
        <f>1/0.95/C371/176.21*90.12/0.95</f>
        <v>0.5666872236460494</v>
      </c>
      <c r="D373" s="27" t="s">
        <v>10</v>
      </c>
      <c r="E373" s="27"/>
      <c r="F373" s="27"/>
      <c r="G373" s="7"/>
    </row>
    <row r="374" spans="1:7">
      <c r="A374" s="6" t="s">
        <v>11</v>
      </c>
      <c r="B374" s="27" t="s">
        <v>82</v>
      </c>
      <c r="C374" s="35">
        <f>C371/176.21/0.95*60.052</f>
        <v>0.3587346437713374</v>
      </c>
      <c r="D374" s="27" t="s">
        <v>10</v>
      </c>
      <c r="E374" s="27"/>
      <c r="F374" s="27"/>
      <c r="G374" s="7"/>
    </row>
    <row r="375" spans="1:7">
      <c r="A375" s="6" t="s">
        <v>16</v>
      </c>
      <c r="B375" s="27" t="s">
        <v>29</v>
      </c>
      <c r="C375" s="35">
        <f>('electricity consumption'!B126)*2</f>
        <v>5.5204338701690672</v>
      </c>
      <c r="D375" s="27" t="s">
        <v>14</v>
      </c>
      <c r="E375" s="27"/>
      <c r="F375" s="27"/>
      <c r="G375" s="7"/>
    </row>
    <row r="376" spans="1:7">
      <c r="A376" s="6" t="s">
        <v>16</v>
      </c>
      <c r="B376" s="27" t="s">
        <v>396</v>
      </c>
      <c r="C376" s="35">
        <f>'electricity consumption'!B127*2/3.6</f>
        <v>1.1454835320594947</v>
      </c>
      <c r="D376" s="27" t="s">
        <v>44</v>
      </c>
      <c r="E376" s="27"/>
      <c r="F376" s="27"/>
      <c r="G376" s="7"/>
    </row>
    <row r="377" spans="1:7">
      <c r="A377" s="6" t="s">
        <v>16</v>
      </c>
      <c r="B377" s="27" t="s">
        <v>84</v>
      </c>
      <c r="C377" s="35">
        <f>'electricity consumption'!B128*2/2.75</f>
        <v>0.17302742342427313</v>
      </c>
      <c r="D377" s="27" t="s">
        <v>10</v>
      </c>
      <c r="E377" s="27"/>
      <c r="F377" s="27"/>
      <c r="G377" s="7"/>
    </row>
    <row r="378" spans="1:7">
      <c r="A378" s="6" t="s">
        <v>16</v>
      </c>
      <c r="B378" s="27" t="s">
        <v>17</v>
      </c>
      <c r="C378" s="35">
        <f>0.0000000004</f>
        <v>4.0000000000000001E-10</v>
      </c>
      <c r="D378" s="27" t="s">
        <v>18</v>
      </c>
      <c r="E378" s="27"/>
      <c r="F378" s="27"/>
      <c r="G378" s="7"/>
    </row>
    <row r="379" spans="1:7">
      <c r="A379" s="116" t="s">
        <v>35</v>
      </c>
      <c r="B379" s="117"/>
      <c r="C379" s="117"/>
      <c r="D379" s="117"/>
      <c r="E379" s="117"/>
      <c r="F379" s="27"/>
      <c r="G379" s="7"/>
    </row>
    <row r="380" spans="1:7">
      <c r="A380" s="6" t="s">
        <v>31</v>
      </c>
      <c r="B380" s="27" t="s">
        <v>416</v>
      </c>
      <c r="C380" s="38">
        <f>C372*0.95*0.05*0.002</f>
        <v>2.6314296040310758E-5</v>
      </c>
      <c r="D380" s="27" t="s">
        <v>10</v>
      </c>
      <c r="E380" s="27"/>
      <c r="F380" s="27"/>
      <c r="G380" s="7" t="s">
        <v>418</v>
      </c>
    </row>
    <row r="381" spans="1:7">
      <c r="A381" s="6" t="s">
        <v>31</v>
      </c>
      <c r="B381" s="27" t="s">
        <v>82</v>
      </c>
      <c r="C381" s="38">
        <f>C374*0.05*0.002</f>
        <v>3.5873464377133745E-5</v>
      </c>
      <c r="D381" s="27" t="s">
        <v>10</v>
      </c>
      <c r="E381" s="27"/>
      <c r="F381" s="27"/>
      <c r="G381" s="7" t="s">
        <v>58</v>
      </c>
    </row>
    <row r="382" spans="1:7">
      <c r="A382" s="6" t="s">
        <v>31</v>
      </c>
      <c r="B382" s="27" t="s">
        <v>93</v>
      </c>
      <c r="C382" s="35">
        <f>C376*3.6</f>
        <v>4.123740715414181</v>
      </c>
      <c r="D382" s="27" t="s">
        <v>14</v>
      </c>
      <c r="E382" s="27"/>
      <c r="F382" s="27"/>
      <c r="G382" s="7"/>
    </row>
    <row r="383" spans="1:7">
      <c r="A383" s="116" t="s">
        <v>30</v>
      </c>
      <c r="B383" s="117"/>
      <c r="C383" s="117"/>
      <c r="D383" s="117"/>
      <c r="E383" s="117"/>
      <c r="F383" s="27"/>
      <c r="G383" s="7"/>
    </row>
    <row r="384" spans="1:7">
      <c r="A384" s="6" t="s">
        <v>31</v>
      </c>
      <c r="B384" s="27" t="s">
        <v>416</v>
      </c>
      <c r="C384" s="35">
        <f>C372*0.95*0.05*0.998</f>
        <v>1.3130833724115066E-2</v>
      </c>
      <c r="D384" s="27" t="s">
        <v>10</v>
      </c>
      <c r="E384" s="27"/>
      <c r="F384" s="27"/>
      <c r="G384" s="7"/>
    </row>
    <row r="385" spans="1:7">
      <c r="A385" s="6" t="s">
        <v>31</v>
      </c>
      <c r="B385" s="27" t="s">
        <v>413</v>
      </c>
      <c r="C385" s="35">
        <f>C373*0.95*0.05</f>
        <v>2.6917643123187347E-2</v>
      </c>
      <c r="D385" s="27" t="s">
        <v>10</v>
      </c>
      <c r="E385" s="27"/>
      <c r="F385" s="27"/>
      <c r="G385" s="7" t="s">
        <v>419</v>
      </c>
    </row>
    <row r="386" spans="1:7">
      <c r="A386" s="6" t="s">
        <v>31</v>
      </c>
      <c r="B386" s="27" t="s">
        <v>420</v>
      </c>
      <c r="C386" s="35">
        <f>C374/60.052*18.01528</f>
        <v>0.1076184815366832</v>
      </c>
      <c r="D386" s="27" t="s">
        <v>10</v>
      </c>
      <c r="E386" s="27"/>
      <c r="F386" s="27"/>
      <c r="G386" s="7"/>
    </row>
    <row r="387" spans="1:7">
      <c r="A387" s="6" t="s">
        <v>31</v>
      </c>
      <c r="B387" s="27" t="s">
        <v>82</v>
      </c>
      <c r="C387" s="35">
        <f>C374*0.05*0.998</f>
        <v>1.7900858724189738E-2</v>
      </c>
      <c r="D387" s="27" t="s">
        <v>10</v>
      </c>
      <c r="E387" s="27"/>
      <c r="F387" s="27"/>
      <c r="G387" s="7"/>
    </row>
    <row r="388" spans="1:7" ht="15" thickBot="1">
      <c r="A388" s="8" t="s">
        <v>31</v>
      </c>
      <c r="B388" s="1" t="s">
        <v>421</v>
      </c>
      <c r="C388" s="9">
        <f>C371/0.95*0.05</f>
        <v>5.2631578947368418E-2</v>
      </c>
      <c r="D388" s="1" t="s">
        <v>10</v>
      </c>
      <c r="E388" s="1"/>
      <c r="F388" s="1"/>
      <c r="G388" s="2"/>
    </row>
    <row r="389" spans="1:7" ht="15" thickBot="1"/>
    <row r="390" spans="1:7">
      <c r="A390" s="126" t="s">
        <v>412</v>
      </c>
      <c r="B390" s="127"/>
      <c r="C390" s="127"/>
      <c r="D390" s="127"/>
      <c r="E390" s="34" t="s">
        <v>753</v>
      </c>
      <c r="F390" s="11"/>
      <c r="G390" s="12"/>
    </row>
    <row r="391" spans="1:7">
      <c r="A391" s="13" t="s">
        <v>588</v>
      </c>
      <c r="B391" s="28" t="s">
        <v>1</v>
      </c>
      <c r="C391" s="28" t="s">
        <v>3</v>
      </c>
      <c r="D391" s="28" t="s">
        <v>4</v>
      </c>
      <c r="E391" s="28" t="s">
        <v>5</v>
      </c>
      <c r="F391" s="28" t="s">
        <v>6</v>
      </c>
      <c r="G391" s="16" t="s">
        <v>7</v>
      </c>
    </row>
    <row r="392" spans="1:7">
      <c r="A392" s="6" t="s">
        <v>8</v>
      </c>
      <c r="B392" s="27" t="s">
        <v>422</v>
      </c>
      <c r="C392" s="27">
        <v>1</v>
      </c>
      <c r="D392" s="27" t="s">
        <v>10</v>
      </c>
      <c r="E392" s="27"/>
      <c r="F392" s="27"/>
      <c r="G392" s="7"/>
    </row>
    <row r="393" spans="1:7">
      <c r="A393" s="6" t="s">
        <v>11</v>
      </c>
      <c r="B393" s="27" t="s">
        <v>423</v>
      </c>
      <c r="C393" s="35">
        <f>1/3.6*0.15</f>
        <v>4.1666666666666664E-2</v>
      </c>
      <c r="D393" s="27" t="s">
        <v>10</v>
      </c>
      <c r="E393" s="27"/>
      <c r="F393" s="27"/>
      <c r="G393" s="7"/>
    </row>
    <row r="394" spans="1:7">
      <c r="A394" s="6" t="s">
        <v>11</v>
      </c>
      <c r="B394" s="27" t="s">
        <v>424</v>
      </c>
      <c r="C394" s="35">
        <f>2.6/3.6*0.15</f>
        <v>0.10833333333333332</v>
      </c>
      <c r="D394" s="27" t="s">
        <v>10</v>
      </c>
      <c r="E394" s="27"/>
      <c r="F394" s="27"/>
      <c r="G394" s="7"/>
    </row>
    <row r="395" spans="1:7">
      <c r="A395" s="6" t="s">
        <v>11</v>
      </c>
      <c r="B395" s="27" t="s">
        <v>417</v>
      </c>
      <c r="C395" s="27">
        <v>0.37</v>
      </c>
      <c r="D395" s="27" t="s">
        <v>10</v>
      </c>
      <c r="E395" s="27"/>
      <c r="F395" s="27" t="s">
        <v>61</v>
      </c>
      <c r="G395" s="7"/>
    </row>
    <row r="396" spans="1:7">
      <c r="A396" s="6" t="s">
        <v>11</v>
      </c>
      <c r="B396" s="27" t="s">
        <v>429</v>
      </c>
      <c r="C396" s="27">
        <v>0.24</v>
      </c>
      <c r="D396" s="27" t="s">
        <v>10</v>
      </c>
      <c r="E396" s="27" t="s">
        <v>428</v>
      </c>
      <c r="F396" s="27"/>
      <c r="G396" s="7" t="s">
        <v>427</v>
      </c>
    </row>
    <row r="397" spans="1:7">
      <c r="A397" s="6" t="s">
        <v>11</v>
      </c>
      <c r="B397" s="27" t="s">
        <v>425</v>
      </c>
      <c r="C397" s="27">
        <v>0.24</v>
      </c>
      <c r="D397" s="27" t="s">
        <v>10</v>
      </c>
      <c r="E397" s="27"/>
      <c r="F397" s="27" t="s">
        <v>61</v>
      </c>
      <c r="G397" s="7"/>
    </row>
    <row r="398" spans="1:7">
      <c r="A398" s="116" t="s">
        <v>101</v>
      </c>
      <c r="B398" s="117"/>
      <c r="C398" s="117"/>
      <c r="D398" s="117"/>
      <c r="E398" s="27"/>
      <c r="F398" s="27"/>
      <c r="G398" s="7"/>
    </row>
    <row r="399" spans="1:7">
      <c r="A399" s="6" t="s">
        <v>16</v>
      </c>
      <c r="B399" s="27" t="s">
        <v>426</v>
      </c>
      <c r="C399" s="27">
        <f>SUM(C395:C397)*600/1000</f>
        <v>0.51</v>
      </c>
      <c r="D399" s="27" t="s">
        <v>244</v>
      </c>
      <c r="E399" s="27"/>
      <c r="F399" s="27"/>
      <c r="G399" s="7"/>
    </row>
    <row r="400" spans="1:7" ht="15" thickBot="1">
      <c r="A400" s="8" t="s">
        <v>16</v>
      </c>
      <c r="B400" s="1" t="s">
        <v>362</v>
      </c>
      <c r="C400" s="1">
        <f>SUM(C395:C397)*100/1000</f>
        <v>8.5000000000000006E-2</v>
      </c>
      <c r="D400" s="1" t="s">
        <v>244</v>
      </c>
      <c r="E400" s="1"/>
      <c r="F400" s="1"/>
      <c r="G400" s="2"/>
    </row>
    <row r="401" spans="1:7" ht="15" thickBot="1"/>
    <row r="402" spans="1:7">
      <c r="A402" s="118" t="s">
        <v>618</v>
      </c>
      <c r="B402" s="119"/>
      <c r="C402" s="119"/>
      <c r="D402" s="119"/>
      <c r="E402" s="107" t="s">
        <v>755</v>
      </c>
      <c r="F402" s="11"/>
      <c r="G402" s="12"/>
    </row>
    <row r="403" spans="1:7">
      <c r="A403" s="13" t="s">
        <v>588</v>
      </c>
      <c r="B403" s="28" t="s">
        <v>1</v>
      </c>
      <c r="C403" s="28" t="s">
        <v>3</v>
      </c>
      <c r="D403" s="28" t="s">
        <v>4</v>
      </c>
      <c r="E403" s="28" t="s">
        <v>5</v>
      </c>
      <c r="F403" s="28" t="s">
        <v>6</v>
      </c>
      <c r="G403" s="16" t="s">
        <v>7</v>
      </c>
    </row>
    <row r="404" spans="1:7">
      <c r="A404" s="6" t="s">
        <v>8</v>
      </c>
      <c r="B404" s="27" t="s">
        <v>618</v>
      </c>
      <c r="C404" s="27">
        <v>1</v>
      </c>
      <c r="D404" s="27" t="s">
        <v>10</v>
      </c>
      <c r="E404" s="27"/>
      <c r="F404" s="27"/>
      <c r="G404" s="7"/>
    </row>
    <row r="405" spans="1:7">
      <c r="A405" s="6" t="s">
        <v>11</v>
      </c>
      <c r="B405" s="27" t="s">
        <v>258</v>
      </c>
      <c r="C405" s="27">
        <f>162.1406/(162.1406+135)/0.85</f>
        <v>0.64196426559959685</v>
      </c>
      <c r="D405" s="27" t="s">
        <v>10</v>
      </c>
      <c r="E405" s="27"/>
      <c r="F405" s="27"/>
      <c r="G405" s="7"/>
    </row>
    <row r="406" spans="1:7">
      <c r="A406" s="6" t="s">
        <v>11</v>
      </c>
      <c r="B406" s="27" t="s">
        <v>312</v>
      </c>
      <c r="C406" s="27">
        <f>(63.01*3)/(162.1406+135)/0.85</f>
        <v>0.74842763087278419</v>
      </c>
      <c r="D406" s="27" t="s">
        <v>10</v>
      </c>
      <c r="E406" s="27"/>
      <c r="F406" s="27"/>
      <c r="G406" s="7" t="s">
        <v>623</v>
      </c>
    </row>
    <row r="407" spans="1:7">
      <c r="A407" s="6" t="s">
        <v>16</v>
      </c>
      <c r="B407" s="27" t="s">
        <v>75</v>
      </c>
      <c r="C407" s="27">
        <f>(SUM(C405:C406)*1.72*80/1000+'electricity consumption'!B120/1000*SUM(C405:C406))/'electricity consumption'!C120</f>
        <v>0.25509668989204487</v>
      </c>
      <c r="D407" s="27" t="s">
        <v>14</v>
      </c>
      <c r="E407" s="27"/>
      <c r="F407" s="27"/>
      <c r="G407" s="7" t="s">
        <v>624</v>
      </c>
    </row>
    <row r="408" spans="1:7">
      <c r="A408" s="6" t="s">
        <v>16</v>
      </c>
      <c r="B408" s="27" t="s">
        <v>625</v>
      </c>
      <c r="C408" s="27">
        <f>SUM(C405:C406)*'electricity consumption'!B113/3600000</f>
        <v>2.124209841832804E-5</v>
      </c>
      <c r="D408" s="27" t="s">
        <v>44</v>
      </c>
      <c r="E408" s="27"/>
      <c r="F408" s="27"/>
      <c r="G408" s="7" t="s">
        <v>74</v>
      </c>
    </row>
    <row r="409" spans="1:7">
      <c r="A409" s="6" t="s">
        <v>16</v>
      </c>
      <c r="B409" s="27" t="s">
        <v>17</v>
      </c>
      <c r="C409" s="38">
        <v>4.0000000000000001E-10</v>
      </c>
      <c r="D409" s="27" t="s">
        <v>18</v>
      </c>
      <c r="E409" s="27"/>
      <c r="F409" s="27"/>
      <c r="G409" s="7"/>
    </row>
    <row r="410" spans="1:7">
      <c r="A410" s="116" t="s">
        <v>35</v>
      </c>
      <c r="B410" s="117"/>
      <c r="C410" s="117"/>
      <c r="D410" s="117"/>
      <c r="E410" s="27"/>
      <c r="F410" s="27"/>
      <c r="G410" s="7"/>
    </row>
    <row r="411" spans="1:7">
      <c r="A411" s="6" t="s">
        <v>31</v>
      </c>
      <c r="B411" s="27" t="s">
        <v>59</v>
      </c>
      <c r="C411" s="27">
        <f>C408*3.6</f>
        <v>7.6471554305980951E-5</v>
      </c>
      <c r="D411" s="27" t="s">
        <v>14</v>
      </c>
      <c r="E411" s="27"/>
      <c r="F411" s="27"/>
      <c r="G411" s="7"/>
    </row>
    <row r="412" spans="1:7">
      <c r="A412" s="116" t="s">
        <v>19</v>
      </c>
      <c r="B412" s="117"/>
      <c r="C412" s="117"/>
      <c r="D412" s="117"/>
      <c r="E412" s="27"/>
      <c r="F412" s="27"/>
      <c r="G412" s="7"/>
    </row>
    <row r="413" spans="1:7" ht="15" thickBot="1">
      <c r="A413" s="8" t="s">
        <v>20</v>
      </c>
      <c r="B413" s="1" t="s">
        <v>65</v>
      </c>
      <c r="C413" s="1">
        <f>C406/63*18*0.85+C405*0.15+C406*0.15</f>
        <v>0.39031978053996186</v>
      </c>
      <c r="D413" s="1" t="s">
        <v>10</v>
      </c>
      <c r="E413" s="1"/>
      <c r="F413" s="1"/>
      <c r="G413" s="2"/>
    </row>
  </sheetData>
  <mergeCells count="73">
    <mergeCell ref="A339:D339"/>
    <mergeCell ref="A104:D104"/>
    <mergeCell ref="A101:D101"/>
    <mergeCell ref="A40:D40"/>
    <mergeCell ref="A36:D36"/>
    <mergeCell ref="A56:D56"/>
    <mergeCell ref="A53:D53"/>
    <mergeCell ref="A197:D197"/>
    <mergeCell ref="A210:D210"/>
    <mergeCell ref="A244:D244"/>
    <mergeCell ref="A153:D153"/>
    <mergeCell ref="A169:D169"/>
    <mergeCell ref="A184:D184"/>
    <mergeCell ref="A229:D229"/>
    <mergeCell ref="A192:E192"/>
    <mergeCell ref="A287:D287"/>
    <mergeCell ref="A352:D352"/>
    <mergeCell ref="A390:D390"/>
    <mergeCell ref="A402:D402"/>
    <mergeCell ref="A412:D412"/>
    <mergeCell ref="A410:D410"/>
    <mergeCell ref="A398:D398"/>
    <mergeCell ref="A369:D369"/>
    <mergeCell ref="A360:D360"/>
    <mergeCell ref="A364:E364"/>
    <mergeCell ref="A366:E366"/>
    <mergeCell ref="A379:E379"/>
    <mergeCell ref="A383:E383"/>
    <mergeCell ref="A2:D2"/>
    <mergeCell ref="A12:D12"/>
    <mergeCell ref="A43:D43"/>
    <mergeCell ref="A93:D93"/>
    <mergeCell ref="A143:D143"/>
    <mergeCell ref="A22:D22"/>
    <mergeCell ref="A19:D19"/>
    <mergeCell ref="A9:D9"/>
    <mergeCell ref="A26:D26"/>
    <mergeCell ref="A108:D108"/>
    <mergeCell ref="A347:E347"/>
    <mergeCell ref="A121:D121"/>
    <mergeCell ref="A131:E131"/>
    <mergeCell ref="A135:E135"/>
    <mergeCell ref="A61:D61"/>
    <mergeCell ref="A69:E69"/>
    <mergeCell ref="A72:E72"/>
    <mergeCell ref="A75:D75"/>
    <mergeCell ref="A86:E86"/>
    <mergeCell ref="A90:E90"/>
    <mergeCell ref="A139:E139"/>
    <mergeCell ref="A150:E150"/>
    <mergeCell ref="A164:D164"/>
    <mergeCell ref="A166:D166"/>
    <mergeCell ref="A177:E177"/>
    <mergeCell ref="A181:E181"/>
    <mergeCell ref="A296:E296"/>
    <mergeCell ref="A299:D299"/>
    <mergeCell ref="A306:E306"/>
    <mergeCell ref="A205:E205"/>
    <mergeCell ref="A222:E222"/>
    <mergeCell ref="A224:E224"/>
    <mergeCell ref="A276:E276"/>
    <mergeCell ref="A281:E281"/>
    <mergeCell ref="A226:E226"/>
    <mergeCell ref="A238:E238"/>
    <mergeCell ref="A241:E241"/>
    <mergeCell ref="A255:E255"/>
    <mergeCell ref="A259:E259"/>
    <mergeCell ref="A262:D262"/>
    <mergeCell ref="A310:D310"/>
    <mergeCell ref="A319:E319"/>
    <mergeCell ref="A322:D322"/>
    <mergeCell ref="A333:E333"/>
    <mergeCell ref="A335:E335"/>
  </mergeCells>
  <hyperlinks>
    <hyperlink ref="E402" r:id="rId1" display="https://prepchem.com/synthesis-of-nitrocellulose/" xr:uid="{AE1EEDDA-A6E3-4A93-86C0-4704DC09FB96}"/>
  </hyperlinks>
  <pageMargins left="0.7" right="0.7" top="0.75" bottom="0.75" header="0.3" footer="0.3"/>
  <pageSetup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B1E75-3696-4DE4-A640-42C598476B00}">
  <dimension ref="A1:W167"/>
  <sheetViews>
    <sheetView zoomScale="80" zoomScaleNormal="80" workbookViewId="0">
      <selection activeCell="I34" sqref="I34"/>
    </sheetView>
  </sheetViews>
  <sheetFormatPr defaultColWidth="9.1796875" defaultRowHeight="14.5"/>
  <cols>
    <col min="1" max="1" width="21.90625" style="27" customWidth="1"/>
    <col min="2" max="2" width="22.7265625" style="27" customWidth="1"/>
    <col min="3" max="5" width="22.90625" style="27" customWidth="1"/>
    <col min="6" max="6" width="34" style="27" customWidth="1"/>
    <col min="7" max="8" width="22.90625" style="27" customWidth="1"/>
    <col min="9" max="9" width="32.36328125" style="27" customWidth="1"/>
    <col min="10" max="12" width="22.90625" style="27" customWidth="1"/>
    <col min="13" max="16" width="9.1796875" style="27"/>
    <col min="17" max="17" width="17.7265625" style="27" customWidth="1"/>
    <col min="18" max="18" width="26.1796875" style="27" bestFit="1" customWidth="1"/>
    <col min="19" max="22" width="9.1796875" style="27"/>
    <col min="23" max="23" width="24.26953125" style="27" bestFit="1" customWidth="1"/>
    <col min="24" max="24" width="9.1796875" style="27"/>
    <col min="25" max="27" width="12" style="27" bestFit="1" customWidth="1"/>
    <col min="28" max="30" width="9.1796875" style="27"/>
    <col min="31" max="31" width="12" style="27" bestFit="1" customWidth="1"/>
    <col min="32" max="16384" width="9.1796875" style="27"/>
  </cols>
  <sheetData>
    <row r="1" spans="1:7">
      <c r="A1" s="51" t="s">
        <v>105</v>
      </c>
      <c r="B1" s="12"/>
      <c r="D1" s="51" t="s">
        <v>189</v>
      </c>
      <c r="E1" s="12" t="s">
        <v>874</v>
      </c>
    </row>
    <row r="2" spans="1:7" ht="15" thickBot="1">
      <c r="A2" s="8">
        <v>1.2040999999999999</v>
      </c>
      <c r="B2" s="2" t="s">
        <v>106</v>
      </c>
      <c r="D2" s="8">
        <f>1/8.03</f>
        <v>0.12453300124533002</v>
      </c>
      <c r="E2" s="2" t="s">
        <v>211</v>
      </c>
    </row>
    <row r="3" spans="1:7">
      <c r="A3"/>
      <c r="B3"/>
    </row>
    <row r="4" spans="1:7" s="56" customFormat="1" ht="15" thickBot="1">
      <c r="A4" s="54" t="s">
        <v>654</v>
      </c>
      <c r="B4" s="55"/>
    </row>
    <row r="5" spans="1:7">
      <c r="A5" s="28"/>
      <c r="B5" s="51" t="s">
        <v>127</v>
      </c>
      <c r="C5" s="15" t="s">
        <v>631</v>
      </c>
      <c r="D5" s="15" t="s">
        <v>632</v>
      </c>
      <c r="E5" s="71" t="s">
        <v>5</v>
      </c>
    </row>
    <row r="6" spans="1:7">
      <c r="B6" s="6" t="s">
        <v>103</v>
      </c>
      <c r="C6" s="27" t="s">
        <v>633</v>
      </c>
      <c r="D6" s="27" t="s">
        <v>114</v>
      </c>
      <c r="E6" s="7"/>
    </row>
    <row r="7" spans="1:7">
      <c r="B7" s="6">
        <v>20</v>
      </c>
      <c r="C7" s="27">
        <v>200</v>
      </c>
      <c r="D7" s="27" t="s">
        <v>634</v>
      </c>
      <c r="E7" s="7" t="s">
        <v>874</v>
      </c>
    </row>
    <row r="8" spans="1:7">
      <c r="B8" s="6">
        <v>35</v>
      </c>
      <c r="C8" s="27">
        <v>850</v>
      </c>
      <c r="D8" s="24" t="s">
        <v>634</v>
      </c>
      <c r="E8" s="7" t="s">
        <v>892</v>
      </c>
    </row>
    <row r="9" spans="1:7" ht="15" thickBot="1">
      <c r="B9" s="8">
        <v>15</v>
      </c>
      <c r="C9" s="1">
        <v>850</v>
      </c>
      <c r="D9" s="59" t="s">
        <v>648</v>
      </c>
      <c r="E9" s="7" t="s">
        <v>906</v>
      </c>
    </row>
    <row r="11" spans="1:7">
      <c r="C11" s="28" t="s">
        <v>659</v>
      </c>
    </row>
    <row r="12" spans="1:7">
      <c r="B12" s="27" t="s">
        <v>167</v>
      </c>
      <c r="C12" s="27" t="s">
        <v>168</v>
      </c>
    </row>
    <row r="13" spans="1:7">
      <c r="B13" s="27" t="s">
        <v>169</v>
      </c>
      <c r="C13" s="27" t="s">
        <v>170</v>
      </c>
    </row>
    <row r="14" spans="1:7">
      <c r="B14" s="27" t="s">
        <v>171</v>
      </c>
      <c r="C14" s="27" t="s">
        <v>172</v>
      </c>
    </row>
    <row r="16" spans="1:7" ht="15" thickBot="1">
      <c r="A16" s="134" t="s">
        <v>641</v>
      </c>
      <c r="B16" s="134"/>
      <c r="C16" s="134"/>
      <c r="D16" s="134"/>
      <c r="E16" s="134"/>
      <c r="F16" s="134"/>
      <c r="G16" s="134"/>
    </row>
    <row r="17" spans="1:20">
      <c r="A17" s="10"/>
      <c r="B17" s="11"/>
      <c r="C17" s="11"/>
      <c r="D17" s="119" t="s">
        <v>162</v>
      </c>
      <c r="E17" s="119"/>
      <c r="F17" s="130"/>
      <c r="T17" s="28"/>
    </row>
    <row r="18" spans="1:20">
      <c r="A18" s="6"/>
      <c r="C18" s="28" t="s">
        <v>166</v>
      </c>
      <c r="D18" s="27" t="s">
        <v>637</v>
      </c>
      <c r="E18" s="27" t="s">
        <v>635</v>
      </c>
      <c r="F18" s="7" t="s">
        <v>636</v>
      </c>
    </row>
    <row r="19" spans="1:20">
      <c r="A19" s="131" t="s">
        <v>639</v>
      </c>
      <c r="B19" s="28"/>
      <c r="C19" s="27">
        <v>200</v>
      </c>
      <c r="D19" s="27">
        <v>13</v>
      </c>
      <c r="F19" s="7"/>
    </row>
    <row r="20" spans="1:20">
      <c r="A20" s="131"/>
      <c r="C20" s="27">
        <v>850</v>
      </c>
      <c r="D20" s="27">
        <v>28</v>
      </c>
      <c r="F20" s="7"/>
    </row>
    <row r="21" spans="1:20">
      <c r="A21" s="132" t="s">
        <v>640</v>
      </c>
      <c r="B21" s="138" t="s">
        <v>638</v>
      </c>
      <c r="C21" s="27">
        <v>450</v>
      </c>
      <c r="D21" s="27">
        <f>0.0323*C21+0.5385</f>
        <v>15.073500000000003</v>
      </c>
      <c r="E21" s="27">
        <f>4.5693*EXP(0.0021*C21)</f>
        <v>11.755956170783639</v>
      </c>
      <c r="F21" s="7">
        <f>14.514*LN(C21)-69.898</f>
        <v>18.771619416242004</v>
      </c>
    </row>
    <row r="22" spans="1:20">
      <c r="A22" s="132"/>
      <c r="B22" s="123"/>
      <c r="C22" s="27">
        <v>400</v>
      </c>
      <c r="D22" s="27">
        <f>0.0323*C22+0.5385</f>
        <v>13.458500000000001</v>
      </c>
      <c r="E22" s="27">
        <f>4.5693*EXP(0.0021*C22)</f>
        <v>10.584175627005841</v>
      </c>
      <c r="F22" s="7">
        <f>14.514*LN(C22)-69.898</f>
        <v>17.062116436725248</v>
      </c>
    </row>
    <row r="23" spans="1:20">
      <c r="A23" s="132"/>
      <c r="B23" s="123"/>
      <c r="C23" s="27">
        <v>500</v>
      </c>
      <c r="D23" s="27">
        <f>0.0323*C23+0.5385</f>
        <v>16.688500000000001</v>
      </c>
      <c r="E23" s="27">
        <f>4.5693*EXP(0.0021*C23)</f>
        <v>13.057465253766015</v>
      </c>
      <c r="F23" s="7">
        <f>14.514*LN(C23)-69.898</f>
        <v>20.300821940499688</v>
      </c>
    </row>
    <row r="24" spans="1:20">
      <c r="A24" s="132"/>
      <c r="B24" s="138" t="s">
        <v>152</v>
      </c>
      <c r="C24" s="27">
        <v>400</v>
      </c>
      <c r="D24" s="27">
        <f>D22+20-$D19</f>
        <v>20.458500000000001</v>
      </c>
      <c r="E24" s="27">
        <f>E22+20-$D19</f>
        <v>17.584175627005841</v>
      </c>
      <c r="F24" s="7">
        <f>F22+20-$D19</f>
        <v>24.062116436725248</v>
      </c>
    </row>
    <row r="25" spans="1:20">
      <c r="A25" s="132"/>
      <c r="B25" s="123"/>
      <c r="C25" s="27">
        <v>450</v>
      </c>
      <c r="D25" s="27">
        <f>D21+20-$D19</f>
        <v>22.073500000000003</v>
      </c>
      <c r="E25" s="27">
        <f>E21+20-$D19</f>
        <v>18.755956170783641</v>
      </c>
      <c r="F25" s="7">
        <f>F21+20-$D19</f>
        <v>25.771619416242004</v>
      </c>
    </row>
    <row r="26" spans="1:20" ht="15" thickBot="1">
      <c r="A26" s="133"/>
      <c r="B26" s="139"/>
      <c r="C26" s="1">
        <v>500</v>
      </c>
      <c r="D26" s="1">
        <f>D23+20-$D19</f>
        <v>23.688500000000005</v>
      </c>
      <c r="E26" s="1">
        <f>E23+20-$D19</f>
        <v>20.057465253766011</v>
      </c>
      <c r="F26" s="2">
        <f>F23+20-$D19</f>
        <v>27.300821940499688</v>
      </c>
      <c r="R26" s="28"/>
    </row>
    <row r="27" spans="1:20">
      <c r="F27" s="28"/>
    </row>
    <row r="28" spans="1:20" ht="15" thickBot="1">
      <c r="A28" s="134" t="s">
        <v>642</v>
      </c>
      <c r="B28" s="134"/>
      <c r="C28" s="134"/>
      <c r="D28" s="134"/>
      <c r="E28" s="134"/>
      <c r="F28" s="134"/>
      <c r="G28" s="134"/>
      <c r="R28" s="137"/>
      <c r="S28" s="137"/>
      <c r="T28" s="137"/>
    </row>
    <row r="29" spans="1:20">
      <c r="B29" s="51" t="s">
        <v>643</v>
      </c>
      <c r="C29" s="67" t="s">
        <v>644</v>
      </c>
      <c r="D29" s="67" t="s">
        <v>647</v>
      </c>
      <c r="E29" s="67" t="s">
        <v>645</v>
      </c>
      <c r="F29" s="68" t="s">
        <v>646</v>
      </c>
      <c r="R29" s="38"/>
      <c r="S29" s="38"/>
      <c r="T29" s="38"/>
    </row>
    <row r="30" spans="1:20">
      <c r="B30" s="6">
        <v>4.7</v>
      </c>
      <c r="C30" s="27">
        <v>15</v>
      </c>
      <c r="D30" s="27">
        <f>D31/F31*F30</f>
        <v>8.7679285714285715</v>
      </c>
      <c r="E30" s="27">
        <f>E31/C31*C30</f>
        <v>9.46007142857143</v>
      </c>
      <c r="F30" s="7">
        <f>F31/E31*E30</f>
        <v>10.152214285714289</v>
      </c>
      <c r="R30" s="38"/>
      <c r="S30" s="38"/>
      <c r="T30" s="38"/>
    </row>
    <row r="31" spans="1:20">
      <c r="B31" s="6">
        <v>7</v>
      </c>
      <c r="C31" s="27">
        <v>23</v>
      </c>
      <c r="D31" s="27">
        <f>D32/F32*F31</f>
        <v>13.444157142857142</v>
      </c>
      <c r="E31" s="27">
        <f>E32/C32*C31</f>
        <v>14.505442857142858</v>
      </c>
      <c r="F31" s="7">
        <f>F32/E32*E31</f>
        <v>15.566728571428573</v>
      </c>
      <c r="R31" s="38"/>
      <c r="S31" s="38"/>
      <c r="T31" s="38"/>
    </row>
    <row r="32" spans="1:20">
      <c r="B32" s="6">
        <v>15</v>
      </c>
      <c r="C32" s="27">
        <v>35</v>
      </c>
      <c r="D32" s="27">
        <f>D24</f>
        <v>20.458500000000001</v>
      </c>
      <c r="E32" s="27">
        <f>D25</f>
        <v>22.073500000000003</v>
      </c>
      <c r="F32" s="7">
        <f>D26</f>
        <v>23.688500000000005</v>
      </c>
      <c r="R32" s="38"/>
      <c r="S32" s="38"/>
      <c r="T32" s="38"/>
    </row>
    <row r="33" spans="1:22">
      <c r="B33" s="6">
        <v>25</v>
      </c>
      <c r="C33" s="27">
        <v>50</v>
      </c>
      <c r="D33" s="27">
        <f>D32/F32*F33</f>
        <v>29.226428571428571</v>
      </c>
      <c r="E33" s="27">
        <f>E32/C32*C33</f>
        <v>31.533571428571435</v>
      </c>
      <c r="F33" s="7">
        <f>F32/E32*E33</f>
        <v>33.840714285714292</v>
      </c>
      <c r="R33" s="38"/>
      <c r="S33" s="38"/>
      <c r="T33" s="38"/>
    </row>
    <row r="34" spans="1:22" ht="15" thickBot="1">
      <c r="B34" s="8">
        <v>35</v>
      </c>
      <c r="C34" s="1">
        <v>62.5</v>
      </c>
      <c r="D34" s="1">
        <f>D33/F33*F34</f>
        <v>36.533035714285717</v>
      </c>
      <c r="E34" s="1">
        <f>E33/C33*C34</f>
        <v>39.416964285714293</v>
      </c>
      <c r="F34" s="2">
        <f>F33/E33*E34</f>
        <v>42.30089285714287</v>
      </c>
      <c r="R34" s="38"/>
      <c r="S34" s="38"/>
      <c r="T34" s="38"/>
    </row>
    <row r="35" spans="1:22" ht="15" thickBot="1">
      <c r="R35" s="38"/>
      <c r="S35" s="38"/>
      <c r="T35" s="38"/>
    </row>
    <row r="36" spans="1:22">
      <c r="A36" s="10"/>
      <c r="B36" s="11"/>
      <c r="C36" s="140" t="s">
        <v>650</v>
      </c>
      <c r="D36" s="140"/>
      <c r="E36" s="140"/>
      <c r="F36" s="141" t="s">
        <v>640</v>
      </c>
      <c r="G36" s="141"/>
      <c r="H36" s="141"/>
      <c r="I36" s="141"/>
      <c r="J36" s="141"/>
      <c r="K36" s="141"/>
      <c r="L36" s="12"/>
      <c r="R36" s="38"/>
      <c r="S36" s="38"/>
    </row>
    <row r="37" spans="1:22">
      <c r="A37" s="13" t="s">
        <v>653</v>
      </c>
      <c r="B37" s="28" t="s">
        <v>651</v>
      </c>
      <c r="C37" s="27" t="s">
        <v>652</v>
      </c>
      <c r="D37" s="27" t="s">
        <v>173</v>
      </c>
      <c r="E37" s="27" t="s">
        <v>173</v>
      </c>
      <c r="F37" s="27" t="s">
        <v>174</v>
      </c>
      <c r="G37" s="27" t="s">
        <v>175</v>
      </c>
      <c r="H37" s="27" t="s">
        <v>176</v>
      </c>
      <c r="I37" s="27" t="s">
        <v>177</v>
      </c>
      <c r="J37" s="27" t="s">
        <v>178</v>
      </c>
      <c r="K37" s="27" t="s">
        <v>179</v>
      </c>
      <c r="L37" s="16" t="s">
        <v>7</v>
      </c>
      <c r="Q37" s="38"/>
      <c r="V37" s="38"/>
    </row>
    <row r="38" spans="1:22">
      <c r="A38" s="13" t="s">
        <v>128</v>
      </c>
      <c r="B38" s="27" t="s">
        <v>147</v>
      </c>
      <c r="C38" s="27">
        <f>4800*(0.166^2)</f>
        <v>132.26880000000003</v>
      </c>
      <c r="D38" s="27">
        <f>3200*(0.166^2)</f>
        <v>88.179200000000009</v>
      </c>
      <c r="E38" s="27">
        <f>1050*(0.166^2)</f>
        <v>28.933800000000005</v>
      </c>
      <c r="F38" s="27">
        <f>3200*(0.166^2)</f>
        <v>88.179200000000009</v>
      </c>
      <c r="G38" s="27">
        <f>F38</f>
        <v>88.179200000000009</v>
      </c>
      <c r="H38" s="27">
        <f>G38</f>
        <v>88.179200000000009</v>
      </c>
      <c r="I38" s="27">
        <v>88.179199999999994</v>
      </c>
      <c r="J38" s="27">
        <v>88.179199999999994</v>
      </c>
      <c r="K38" s="27">
        <v>88.179199999999994</v>
      </c>
      <c r="L38" s="7"/>
      <c r="S38" s="38"/>
    </row>
    <row r="39" spans="1:22">
      <c r="A39" s="13" t="s">
        <v>180</v>
      </c>
      <c r="B39" s="27" t="s">
        <v>181</v>
      </c>
      <c r="C39" s="27">
        <v>7680</v>
      </c>
      <c r="D39" s="27">
        <v>7680</v>
      </c>
      <c r="E39" s="27">
        <v>7680</v>
      </c>
      <c r="F39" s="27">
        <v>7680</v>
      </c>
      <c r="G39" s="27">
        <v>7680</v>
      </c>
      <c r="H39" s="27">
        <v>7680</v>
      </c>
      <c r="I39" s="27">
        <v>7680</v>
      </c>
      <c r="J39" s="27">
        <v>7680</v>
      </c>
      <c r="K39" s="27">
        <v>7680</v>
      </c>
      <c r="L39" s="7"/>
      <c r="P39" s="28"/>
      <c r="Q39" s="38"/>
      <c r="R39" s="38"/>
      <c r="S39" s="38"/>
    </row>
    <row r="40" spans="1:22">
      <c r="A40" s="13" t="s">
        <v>182</v>
      </c>
      <c r="B40" s="27" t="s">
        <v>114</v>
      </c>
      <c r="C40" s="27">
        <v>14.1</v>
      </c>
      <c r="D40" s="27">
        <v>35</v>
      </c>
      <c r="E40" s="27">
        <v>14.1</v>
      </c>
      <c r="F40" s="27">
        <v>35</v>
      </c>
      <c r="G40" s="27">
        <v>14.1</v>
      </c>
      <c r="H40" s="27">
        <v>14.1</v>
      </c>
      <c r="I40" s="27">
        <v>4.7</v>
      </c>
      <c r="J40" s="27">
        <v>35</v>
      </c>
      <c r="K40" s="27">
        <v>35</v>
      </c>
      <c r="L40" s="7"/>
    </row>
    <row r="41" spans="1:22">
      <c r="A41" s="13" t="s">
        <v>183</v>
      </c>
      <c r="B41" s="27" t="s">
        <v>114</v>
      </c>
      <c r="C41" s="27">
        <v>2.4</v>
      </c>
      <c r="D41" s="27">
        <v>2.4</v>
      </c>
      <c r="E41" s="27">
        <v>2.4</v>
      </c>
      <c r="F41" s="27">
        <v>2.4</v>
      </c>
      <c r="G41" s="27">
        <v>2.4</v>
      </c>
      <c r="H41" s="27">
        <v>2.4</v>
      </c>
      <c r="I41" s="27">
        <v>2.4</v>
      </c>
      <c r="J41" s="27">
        <v>2.4</v>
      </c>
      <c r="K41" s="27">
        <v>2.4</v>
      </c>
      <c r="L41" s="7"/>
    </row>
    <row r="42" spans="1:22">
      <c r="A42" s="13" t="s">
        <v>184</v>
      </c>
      <c r="B42" s="27" t="s">
        <v>146</v>
      </c>
      <c r="C42" s="27">
        <f>C40*1.8*6</f>
        <v>152.28</v>
      </c>
      <c r="D42" s="27">
        <f>D40*1.8*2</f>
        <v>126</v>
      </c>
      <c r="E42" s="27">
        <f>E40*1.8*2</f>
        <v>50.76</v>
      </c>
      <c r="F42" s="27">
        <f>F40*1.8*2</f>
        <v>126</v>
      </c>
      <c r="G42" s="27">
        <f>G40*1.8*6</f>
        <v>152.28</v>
      </c>
      <c r="H42" s="27">
        <f>H40*1.8*6</f>
        <v>152.28</v>
      </c>
      <c r="J42" s="27">
        <f>J40*1.8*2</f>
        <v>126</v>
      </c>
      <c r="K42" s="27">
        <f>K40*1.8*2</f>
        <v>126</v>
      </c>
      <c r="L42" s="7" t="s">
        <v>185</v>
      </c>
      <c r="Q42" s="28"/>
    </row>
    <row r="43" spans="1:22">
      <c r="A43" s="13" t="s">
        <v>149</v>
      </c>
      <c r="B43" s="27" t="s">
        <v>150</v>
      </c>
      <c r="C43" s="27">
        <f>20</f>
        <v>20</v>
      </c>
      <c r="D43" s="27">
        <v>65</v>
      </c>
      <c r="E43" s="27">
        <v>35</v>
      </c>
      <c r="F43" s="27">
        <f>E34</f>
        <v>39.416964285714293</v>
      </c>
      <c r="G43" s="27">
        <v>20</v>
      </c>
      <c r="H43" s="27">
        <v>20</v>
      </c>
      <c r="I43" s="27">
        <f>E30-(C30-E30)/450*350</f>
        <v>5.1512380952380976</v>
      </c>
      <c r="J43" s="27">
        <f>F34</f>
        <v>42.30089285714287</v>
      </c>
      <c r="K43" s="27">
        <f>D34</f>
        <v>36.533035714285717</v>
      </c>
      <c r="L43" s="69" t="s">
        <v>615</v>
      </c>
    </row>
    <row r="44" spans="1:22">
      <c r="A44" s="13" t="s">
        <v>186</v>
      </c>
      <c r="B44" s="27" t="s">
        <v>104</v>
      </c>
      <c r="C44" s="27">
        <v>2200</v>
      </c>
      <c r="D44" s="27">
        <v>2965.04</v>
      </c>
      <c r="E44" s="27">
        <v>2965.04</v>
      </c>
      <c r="F44" s="27">
        <v>2965.04</v>
      </c>
      <c r="G44" s="27">
        <v>2965.04</v>
      </c>
      <c r="H44" s="27">
        <v>2965.04</v>
      </c>
      <c r="I44" s="27">
        <v>2965.04</v>
      </c>
      <c r="J44" s="27">
        <v>2965.04</v>
      </c>
      <c r="K44" s="27">
        <v>2965.04</v>
      </c>
      <c r="L44" s="7" t="s">
        <v>187</v>
      </c>
    </row>
    <row r="45" spans="1:22">
      <c r="A45" s="13" t="s">
        <v>189</v>
      </c>
      <c r="B45" s="27" t="s">
        <v>104</v>
      </c>
      <c r="C45" s="27">
        <v>60</v>
      </c>
      <c r="D45" s="27">
        <f>E45*C34/C32</f>
        <v>235.71428571428572</v>
      </c>
      <c r="E45" s="27">
        <f>85.2+9.6+37.2</f>
        <v>132</v>
      </c>
      <c r="F45" s="27">
        <f>(D45-60)*350/750+C45</f>
        <v>142</v>
      </c>
      <c r="G45" s="27">
        <v>60</v>
      </c>
      <c r="H45" s="27">
        <v>60</v>
      </c>
      <c r="I45" s="27">
        <f>H45*C30/C32</f>
        <v>25.714285714285715</v>
      </c>
      <c r="J45" s="27">
        <f>(D45-60)*400/750+C45</f>
        <v>153.71428571428572</v>
      </c>
      <c r="K45" s="27">
        <f>(D45-60)*300/750+C45</f>
        <v>130.28571428571428</v>
      </c>
      <c r="L45" s="7" t="s">
        <v>616</v>
      </c>
    </row>
    <row r="46" spans="1:22">
      <c r="A46" s="13" t="s">
        <v>198</v>
      </c>
      <c r="B46" s="27" t="s">
        <v>108</v>
      </c>
      <c r="C46" s="27">
        <f>C43/C38</f>
        <v>0.1512072385929259</v>
      </c>
      <c r="D46" s="27">
        <f>D43/D38</f>
        <v>0.73713528814051377</v>
      </c>
      <c r="E46" s="27">
        <f>E43/E38</f>
        <v>1.2096579087434072</v>
      </c>
      <c r="F46" s="27">
        <f>F43/F38</f>
        <v>0.44700977425191302</v>
      </c>
      <c r="G46" s="27">
        <f t="shared" ref="G46:H46" si="0">G43/G38</f>
        <v>0.22681085788938884</v>
      </c>
      <c r="H46" s="27">
        <f t="shared" si="0"/>
        <v>0.22681085788938884</v>
      </c>
      <c r="I46" s="27">
        <f>I43/I38</f>
        <v>5.8417836578672722E-2</v>
      </c>
      <c r="J46" s="27">
        <f>J43/J38</f>
        <v>0.47971508992078488</v>
      </c>
      <c r="K46" s="27">
        <f t="shared" ref="K46" si="1">K43/K38</f>
        <v>0.41430445858304132</v>
      </c>
      <c r="L46" s="7"/>
    </row>
    <row r="47" spans="1:22">
      <c r="A47" s="13" t="s">
        <v>200</v>
      </c>
      <c r="B47" s="27" t="s">
        <v>201</v>
      </c>
      <c r="C47" s="27">
        <f>C45/C38</f>
        <v>0.45362171577877769</v>
      </c>
      <c r="D47" s="27">
        <f>D45/D38</f>
        <v>2.673127967982083</v>
      </c>
      <c r="E47" s="27">
        <f>E45/E38</f>
        <v>4.5621383986894211</v>
      </c>
      <c r="F47" s="27">
        <f>F45/F38</f>
        <v>1.610357091014661</v>
      </c>
      <c r="G47" s="27">
        <f t="shared" ref="G47:I47" si="2">G45/G38</f>
        <v>0.68043257366816656</v>
      </c>
      <c r="H47" s="27">
        <f t="shared" si="2"/>
        <v>0.68043257366816656</v>
      </c>
      <c r="I47" s="27">
        <f t="shared" si="2"/>
        <v>0.2916139601435</v>
      </c>
      <c r="J47" s="27">
        <f>J45/J38</f>
        <v>1.7432034506355891</v>
      </c>
      <c r="K47" s="27">
        <f>K45/K38</f>
        <v>1.4775107313937332</v>
      </c>
      <c r="L47" s="7"/>
    </row>
    <row r="48" spans="1:22">
      <c r="A48" s="13" t="s">
        <v>200</v>
      </c>
      <c r="B48" s="27" t="s">
        <v>108</v>
      </c>
      <c r="C48" s="27">
        <f t="shared" ref="C48:K48" si="3">C47*$D2</f>
        <v>5.6490873695987265E-2</v>
      </c>
      <c r="D48" s="27">
        <f t="shared" si="3"/>
        <v>0.33289264856563927</v>
      </c>
      <c r="E48" s="27">
        <f t="shared" si="3"/>
        <v>0.56813678688535763</v>
      </c>
      <c r="F48" s="27">
        <f t="shared" si="3"/>
        <v>0.2005426016207548</v>
      </c>
      <c r="G48" s="27">
        <f t="shared" si="3"/>
        <v>8.4736310543980897E-2</v>
      </c>
      <c r="H48" s="27">
        <f t="shared" si="3"/>
        <v>8.4736310543980897E-2</v>
      </c>
      <c r="I48" s="27">
        <f t="shared" si="3"/>
        <v>3.6315561661706103E-2</v>
      </c>
      <c r="J48" s="27">
        <f t="shared" si="3"/>
        <v>0.21708635748886543</v>
      </c>
      <c r="K48" s="27">
        <f t="shared" si="3"/>
        <v>0.18399884575264425</v>
      </c>
      <c r="L48" s="7"/>
    </row>
    <row r="49" spans="1:19">
      <c r="A49" s="13" t="s">
        <v>203</v>
      </c>
      <c r="B49" s="27" t="s">
        <v>204</v>
      </c>
      <c r="C49" s="27">
        <v>0</v>
      </c>
      <c r="D49" s="27">
        <f>E49*D40/E40</f>
        <v>5957.4468085106391</v>
      </c>
      <c r="E49" s="27">
        <f>(0.78+1.08+0.54)*1000</f>
        <v>2400.0000000000005</v>
      </c>
      <c r="F49" s="27">
        <f>D49*250/650</f>
        <v>2291.3256955810148</v>
      </c>
      <c r="G49" s="27">
        <v>0</v>
      </c>
      <c r="H49" s="27">
        <v>0</v>
      </c>
      <c r="J49" s="27">
        <f>D49*300/650</f>
        <v>2749.5908346972183</v>
      </c>
      <c r="K49" s="27">
        <f>D49*200/650</f>
        <v>1833.0605564648122</v>
      </c>
      <c r="L49" s="7" t="s">
        <v>205</v>
      </c>
      <c r="P49" s="28"/>
      <c r="S49" s="28"/>
    </row>
    <row r="50" spans="1:19">
      <c r="A50" s="13" t="s">
        <v>203</v>
      </c>
      <c r="B50" s="27" t="s">
        <v>151</v>
      </c>
      <c r="D50" s="27">
        <f>E50*D41/E41</f>
        <v>47.281323877068566</v>
      </c>
      <c r="E50" s="27">
        <f>E49/E42</f>
        <v>47.281323877068566</v>
      </c>
      <c r="F50" s="27">
        <f>D50*250/650</f>
        <v>18.185124568103294</v>
      </c>
      <c r="G50" s="27">
        <v>0</v>
      </c>
      <c r="H50" s="27">
        <v>0</v>
      </c>
      <c r="J50" s="27">
        <f>D50*300/650</f>
        <v>21.822149481723955</v>
      </c>
      <c r="K50" s="27">
        <f>D50*200/650</f>
        <v>14.548099654482634</v>
      </c>
      <c r="L50" s="7"/>
    </row>
    <row r="51" spans="1:19" ht="15" thickBot="1">
      <c r="A51" s="70" t="s">
        <v>5</v>
      </c>
      <c r="B51" s="1"/>
      <c r="C51" s="1" t="s">
        <v>649</v>
      </c>
      <c r="D51" s="1" t="s">
        <v>892</v>
      </c>
      <c r="E51" s="1" t="s">
        <v>892</v>
      </c>
      <c r="F51" s="1"/>
      <c r="G51" s="1"/>
      <c r="H51" s="1"/>
      <c r="I51" s="1"/>
      <c r="J51" s="1"/>
      <c r="K51" s="1"/>
      <c r="L51" s="2"/>
    </row>
    <row r="52" spans="1:19" ht="15" thickBot="1">
      <c r="A52" s="53"/>
    </row>
    <row r="53" spans="1:19">
      <c r="A53" s="10"/>
      <c r="B53" s="15" t="s">
        <v>222</v>
      </c>
      <c r="C53" s="27" t="s">
        <v>893</v>
      </c>
      <c r="D53" s="12"/>
    </row>
    <row r="54" spans="1:19">
      <c r="A54" s="6" t="s">
        <v>127</v>
      </c>
      <c r="B54" s="27">
        <v>500</v>
      </c>
      <c r="C54" s="27" t="s">
        <v>20</v>
      </c>
      <c r="D54" s="7" t="s">
        <v>224</v>
      </c>
    </row>
    <row r="55" spans="1:19">
      <c r="A55" s="6" t="s">
        <v>127</v>
      </c>
      <c r="B55" s="27">
        <v>40</v>
      </c>
      <c r="C55" s="27" t="s">
        <v>20</v>
      </c>
      <c r="D55" s="7" t="s">
        <v>227</v>
      </c>
    </row>
    <row r="56" spans="1:19" ht="15" thickBot="1">
      <c r="A56" s="8" t="s">
        <v>229</v>
      </c>
      <c r="B56" s="1">
        <f>6.5*60/1000</f>
        <v>0.39</v>
      </c>
      <c r="C56" s="1" t="s">
        <v>104</v>
      </c>
      <c r="D56" s="2" t="s">
        <v>894</v>
      </c>
    </row>
    <row r="57" spans="1:19">
      <c r="A57" s="53"/>
    </row>
    <row r="58" spans="1:19" s="57" customFormat="1" ht="15" thickBot="1">
      <c r="A58" s="57" t="s">
        <v>655</v>
      </c>
    </row>
    <row r="59" spans="1:19">
      <c r="A59" s="51" t="s">
        <v>207</v>
      </c>
      <c r="B59" s="12" t="s">
        <v>895</v>
      </c>
      <c r="C59" s="11"/>
      <c r="D59" s="12"/>
    </row>
    <row r="60" spans="1:19">
      <c r="A60" s="6" t="s">
        <v>208</v>
      </c>
      <c r="B60" s="27" t="s">
        <v>209</v>
      </c>
      <c r="C60" s="27" t="s">
        <v>129</v>
      </c>
      <c r="D60" s="7" t="s">
        <v>210</v>
      </c>
    </row>
    <row r="61" spans="1:19">
      <c r="A61" s="6" t="s">
        <v>212</v>
      </c>
      <c r="B61" s="27">
        <v>140</v>
      </c>
      <c r="C61" s="27" t="s">
        <v>213</v>
      </c>
      <c r="D61" s="7"/>
    </row>
    <row r="62" spans="1:19">
      <c r="A62" s="6" t="s">
        <v>214</v>
      </c>
      <c r="B62" s="27">
        <v>12</v>
      </c>
      <c r="C62" s="27" t="s">
        <v>103</v>
      </c>
      <c r="D62" s="7"/>
      <c r="I62" s="28"/>
    </row>
    <row r="63" spans="1:19" ht="15" thickBot="1">
      <c r="A63" s="8" t="s">
        <v>215</v>
      </c>
      <c r="B63" s="1">
        <v>1.5</v>
      </c>
      <c r="C63" s="1" t="s">
        <v>103</v>
      </c>
      <c r="D63" s="2"/>
      <c r="L63" s="28"/>
    </row>
    <row r="64" spans="1:19" ht="15" thickBot="1">
      <c r="M64" s="28"/>
    </row>
    <row r="65" spans="1:12">
      <c r="A65" s="51" t="s">
        <v>223</v>
      </c>
      <c r="B65" s="11" t="s">
        <v>879</v>
      </c>
      <c r="C65" s="11"/>
      <c r="D65" s="12"/>
      <c r="G65" s="28"/>
    </row>
    <row r="66" spans="1:12">
      <c r="A66" s="6" t="s">
        <v>128</v>
      </c>
      <c r="B66" s="27" t="s">
        <v>225</v>
      </c>
      <c r="C66" s="27" t="s">
        <v>226</v>
      </c>
      <c r="D66" s="7"/>
    </row>
    <row r="67" spans="1:12">
      <c r="A67" s="6" t="s">
        <v>228</v>
      </c>
      <c r="B67" s="27">
        <v>93</v>
      </c>
      <c r="C67" s="27" t="s">
        <v>150</v>
      </c>
      <c r="D67" s="7"/>
    </row>
    <row r="68" spans="1:12">
      <c r="A68" s="6" t="s">
        <v>230</v>
      </c>
      <c r="B68" s="27">
        <v>1</v>
      </c>
      <c r="C68" s="27" t="s">
        <v>231</v>
      </c>
      <c r="D68" s="7"/>
    </row>
    <row r="69" spans="1:12" ht="15" thickBot="1">
      <c r="A69" s="8" t="s">
        <v>127</v>
      </c>
      <c r="B69" s="1">
        <f>B67/(46*1.1*2.05)*1.1</f>
        <v>0.98621420996818687</v>
      </c>
      <c r="C69" s="1" t="s">
        <v>108</v>
      </c>
      <c r="D69" s="2" t="s">
        <v>232</v>
      </c>
    </row>
    <row r="70" spans="1:12" ht="15" thickBot="1"/>
    <row r="71" spans="1:12">
      <c r="A71" s="51" t="s">
        <v>613</v>
      </c>
      <c r="B71" s="11" t="s">
        <v>874</v>
      </c>
      <c r="C71" s="11"/>
      <c r="D71" s="12"/>
      <c r="J71" s="43"/>
    </row>
    <row r="72" spans="1:12">
      <c r="A72" s="6" t="s">
        <v>128</v>
      </c>
      <c r="B72" s="27">
        <v>2400</v>
      </c>
      <c r="C72" s="27" t="s">
        <v>657</v>
      </c>
      <c r="D72" s="7" t="s">
        <v>658</v>
      </c>
    </row>
    <row r="73" spans="1:12">
      <c r="A73" s="6" t="s">
        <v>127</v>
      </c>
      <c r="B73" s="24">
        <v>2</v>
      </c>
      <c r="C73" s="24" t="s">
        <v>150</v>
      </c>
      <c r="D73" s="58"/>
    </row>
    <row r="74" spans="1:12">
      <c r="A74" s="6" t="s">
        <v>127</v>
      </c>
      <c r="B74" s="24">
        <f>B73/(B72*0.025825)</f>
        <v>3.2268473701193928E-2</v>
      </c>
      <c r="C74" s="24" t="s">
        <v>108</v>
      </c>
      <c r="D74" s="58"/>
    </row>
    <row r="75" spans="1:12">
      <c r="A75" s="6" t="s">
        <v>98</v>
      </c>
      <c r="B75" s="24">
        <f>0.011754/0.025825</f>
        <v>0.45514036786060019</v>
      </c>
      <c r="C75" s="24" t="s">
        <v>188</v>
      </c>
      <c r="D75" s="58"/>
    </row>
    <row r="76" spans="1:12" ht="15" thickBot="1">
      <c r="A76" s="8" t="s">
        <v>195</v>
      </c>
      <c r="B76" s="59">
        <f>8/(B72*0.025825*8760)</f>
        <v>1.4734462877257502E-5</v>
      </c>
      <c r="C76" s="59" t="s">
        <v>196</v>
      </c>
      <c r="D76" s="60" t="s">
        <v>197</v>
      </c>
      <c r="J76" s="28"/>
    </row>
    <row r="77" spans="1:12" ht="15" thickBot="1">
      <c r="L77" s="43"/>
    </row>
    <row r="78" spans="1:12">
      <c r="A78" s="51" t="s">
        <v>145</v>
      </c>
      <c r="B78" s="34" t="s">
        <v>874</v>
      </c>
      <c r="C78" s="34"/>
      <c r="D78" s="61"/>
    </row>
    <row r="79" spans="1:12">
      <c r="A79" s="6" t="s">
        <v>128</v>
      </c>
      <c r="B79" s="24">
        <v>7200</v>
      </c>
      <c r="C79" s="27" t="s">
        <v>657</v>
      </c>
      <c r="D79" s="7" t="s">
        <v>658</v>
      </c>
      <c r="L79" s="43"/>
    </row>
    <row r="80" spans="1:12">
      <c r="A80" s="6" t="s">
        <v>127</v>
      </c>
      <c r="B80" s="24">
        <f>2.5/(0.025825*B79)</f>
        <v>1.3445197375497472E-2</v>
      </c>
      <c r="C80" s="24" t="s">
        <v>108</v>
      </c>
      <c r="D80" s="58"/>
      <c r="L80" s="43"/>
    </row>
    <row r="81" spans="1:23">
      <c r="A81" s="6" t="s">
        <v>203</v>
      </c>
      <c r="B81" s="24">
        <v>2</v>
      </c>
      <c r="C81" s="24" t="s">
        <v>104</v>
      </c>
      <c r="D81" s="58"/>
    </row>
    <row r="82" spans="1:23">
      <c r="A82" s="6" t="s">
        <v>203</v>
      </c>
      <c r="B82" s="24">
        <f>B81*1000/(B79*0.025825)</f>
        <v>10.756157900397978</v>
      </c>
      <c r="C82" s="24" t="s">
        <v>151</v>
      </c>
      <c r="D82" s="58"/>
    </row>
    <row r="83" spans="1:23">
      <c r="A83" s="6" t="s">
        <v>189</v>
      </c>
      <c r="B83" s="24">
        <v>35</v>
      </c>
      <c r="C83" s="24" t="s">
        <v>104</v>
      </c>
      <c r="D83" s="58"/>
      <c r="E83" s="24"/>
      <c r="F83" s="24"/>
      <c r="G83" s="24"/>
      <c r="H83" s="24"/>
      <c r="I83" s="24"/>
      <c r="J83" s="24"/>
      <c r="K83" s="24"/>
      <c r="L83" s="24"/>
      <c r="M83" s="24"/>
      <c r="N83" s="24"/>
      <c r="O83" s="24"/>
      <c r="P83" s="24"/>
      <c r="Q83" s="24"/>
      <c r="R83" s="24"/>
      <c r="S83" s="24"/>
      <c r="T83" s="24"/>
      <c r="U83" s="24"/>
      <c r="V83" s="24"/>
      <c r="W83" s="24"/>
    </row>
    <row r="84" spans="1:23">
      <c r="A84" s="6" t="s">
        <v>189</v>
      </c>
      <c r="B84" s="24">
        <f>B83/(B79*0.025825)</f>
        <v>0.18823276325696461</v>
      </c>
      <c r="C84" s="24" t="s">
        <v>201</v>
      </c>
      <c r="D84" s="58"/>
      <c r="E84" s="24"/>
      <c r="F84" s="24"/>
      <c r="G84" s="24"/>
      <c r="H84" s="24"/>
      <c r="I84" s="24"/>
      <c r="J84" s="24"/>
      <c r="K84" s="24"/>
      <c r="L84" s="24"/>
      <c r="M84" s="24"/>
      <c r="N84" s="24"/>
      <c r="O84" s="24"/>
      <c r="P84" s="24"/>
      <c r="Q84" s="24"/>
      <c r="R84" s="24"/>
      <c r="S84" s="24"/>
      <c r="T84" s="24"/>
      <c r="U84" s="24"/>
      <c r="V84" s="24"/>
      <c r="W84" s="24"/>
    </row>
    <row r="85" spans="1:23" ht="15" thickBot="1">
      <c r="A85" s="8" t="s">
        <v>189</v>
      </c>
      <c r="B85" s="59">
        <f>B84*D2</f>
        <v>2.3441190941091487E-2</v>
      </c>
      <c r="C85" s="59" t="s">
        <v>108</v>
      </c>
      <c r="D85" s="60"/>
      <c r="E85" s="24"/>
      <c r="F85" s="24"/>
      <c r="G85" s="24"/>
      <c r="H85" s="24"/>
      <c r="I85" s="24"/>
      <c r="J85" s="24"/>
      <c r="K85" s="24"/>
      <c r="L85" s="24"/>
      <c r="M85" s="24"/>
      <c r="N85" s="24"/>
      <c r="O85" s="24"/>
      <c r="P85" s="24"/>
      <c r="Q85" s="24"/>
      <c r="R85" s="24"/>
      <c r="S85" s="24"/>
      <c r="T85" s="24"/>
      <c r="U85" s="24"/>
      <c r="V85" s="24"/>
      <c r="W85" s="24"/>
    </row>
    <row r="86" spans="1:23" ht="15" thickBot="1">
      <c r="E86" s="24"/>
      <c r="F86" s="24"/>
      <c r="G86" s="24"/>
      <c r="H86" s="24"/>
      <c r="I86" s="24"/>
      <c r="J86" s="24"/>
      <c r="K86" s="24"/>
      <c r="L86" s="24"/>
      <c r="M86" s="24"/>
      <c r="N86" s="24"/>
      <c r="O86" s="24"/>
      <c r="P86" s="24"/>
      <c r="Q86" s="24"/>
      <c r="R86" s="24"/>
      <c r="S86" s="24"/>
      <c r="T86" s="24"/>
      <c r="U86" s="24"/>
      <c r="V86" s="24"/>
      <c r="W86" s="24"/>
    </row>
    <row r="87" spans="1:23" ht="14.5" customHeight="1">
      <c r="A87" s="51" t="s">
        <v>589</v>
      </c>
      <c r="B87" s="27" t="s">
        <v>897</v>
      </c>
      <c r="C87" s="66"/>
      <c r="D87" s="63"/>
      <c r="E87" s="62"/>
      <c r="F87" s="62"/>
      <c r="G87" s="62"/>
      <c r="H87" s="63"/>
      <c r="I87" s="62"/>
      <c r="J87" s="65"/>
      <c r="K87" s="46"/>
      <c r="L87" s="46"/>
      <c r="M87" s="46"/>
      <c r="N87" s="46"/>
      <c r="O87" s="24"/>
      <c r="P87" s="24"/>
      <c r="Q87" s="24"/>
      <c r="R87" s="24"/>
      <c r="S87" s="24"/>
      <c r="T87" s="24"/>
      <c r="U87" s="24"/>
      <c r="V87" s="24"/>
      <c r="W87" s="24"/>
    </row>
    <row r="88" spans="1:23" ht="14.5" customHeight="1">
      <c r="A88" s="6"/>
      <c r="B88" s="28" t="s">
        <v>596</v>
      </c>
      <c r="C88" s="28" t="s">
        <v>597</v>
      </c>
      <c r="D88" s="28" t="s">
        <v>598</v>
      </c>
      <c r="E88" s="28" t="s">
        <v>599</v>
      </c>
      <c r="F88" s="28" t="s">
        <v>597</v>
      </c>
      <c r="G88" s="28" t="s">
        <v>128</v>
      </c>
      <c r="H88" s="28" t="s">
        <v>597</v>
      </c>
      <c r="I88" s="28" t="s">
        <v>602</v>
      </c>
      <c r="J88" s="16" t="s">
        <v>603</v>
      </c>
      <c r="K88" s="46"/>
      <c r="L88" s="46"/>
      <c r="M88" s="46"/>
      <c r="N88" s="46"/>
      <c r="O88" s="24"/>
      <c r="P88" s="24"/>
      <c r="Q88" s="24"/>
      <c r="R88" s="24"/>
      <c r="S88" s="24"/>
      <c r="T88" s="24"/>
      <c r="U88" s="24"/>
      <c r="V88" s="24"/>
      <c r="W88" s="24"/>
    </row>
    <row r="89" spans="1:23" ht="14.5" customHeight="1">
      <c r="A89" s="6" t="s">
        <v>600</v>
      </c>
      <c r="B89" s="27" t="s">
        <v>601</v>
      </c>
      <c r="D89" s="27" t="s">
        <v>146</v>
      </c>
      <c r="E89" s="27" t="s">
        <v>103</v>
      </c>
      <c r="G89" s="27" t="s">
        <v>147</v>
      </c>
      <c r="J89" s="7"/>
      <c r="K89" s="46"/>
      <c r="L89" s="46"/>
      <c r="M89" s="46"/>
      <c r="N89" s="46"/>
      <c r="O89" s="24"/>
      <c r="P89" s="24"/>
      <c r="Q89" s="24"/>
      <c r="R89" s="24"/>
      <c r="S89" s="24"/>
      <c r="T89" s="24"/>
      <c r="U89" s="24"/>
      <c r="V89" s="24"/>
      <c r="W89" s="24"/>
    </row>
    <row r="90" spans="1:23" ht="14.5" customHeight="1" thickBot="1">
      <c r="A90" s="8" t="s">
        <v>589</v>
      </c>
      <c r="B90" s="1">
        <v>0.3</v>
      </c>
      <c r="C90" s="1" t="s">
        <v>590</v>
      </c>
      <c r="D90" s="1" t="s">
        <v>591</v>
      </c>
      <c r="E90" s="1">
        <v>10</v>
      </c>
      <c r="F90" s="1" t="s">
        <v>592</v>
      </c>
      <c r="G90" s="1">
        <v>17</v>
      </c>
      <c r="H90" s="1" t="s">
        <v>593</v>
      </c>
      <c r="I90" s="1" t="s">
        <v>594</v>
      </c>
      <c r="J90" s="2" t="s">
        <v>595</v>
      </c>
      <c r="K90" s="46"/>
      <c r="L90" s="46"/>
      <c r="M90" s="46"/>
      <c r="N90" s="46"/>
      <c r="O90" s="24"/>
      <c r="P90" s="24"/>
      <c r="Q90" s="24"/>
      <c r="R90" s="24"/>
      <c r="S90" s="24"/>
      <c r="T90" s="24"/>
      <c r="U90" s="24"/>
      <c r="V90" s="24"/>
      <c r="W90" s="24"/>
    </row>
    <row r="91" spans="1:23" ht="14.5" customHeight="1" thickBot="1">
      <c r="K91" s="46"/>
      <c r="L91" s="46"/>
      <c r="M91" s="46"/>
      <c r="N91" s="46"/>
      <c r="O91" s="24"/>
      <c r="P91" s="24"/>
      <c r="Q91" s="24"/>
      <c r="R91" s="24"/>
      <c r="S91" s="24"/>
      <c r="T91" s="24"/>
      <c r="U91" s="24"/>
      <c r="V91" s="24"/>
      <c r="W91" s="24"/>
    </row>
    <row r="92" spans="1:23" ht="14.5" customHeight="1">
      <c r="A92" s="51" t="s">
        <v>610</v>
      </c>
      <c r="B92" s="11"/>
      <c r="C92" s="11" t="s">
        <v>898</v>
      </c>
      <c r="D92" s="11"/>
      <c r="E92" s="11"/>
      <c r="F92" s="12"/>
      <c r="G92" s="48"/>
      <c r="H92" s="50"/>
      <c r="I92" s="48"/>
      <c r="J92" s="50"/>
      <c r="K92" s="46"/>
      <c r="L92" s="46"/>
      <c r="M92" s="46"/>
      <c r="N92" s="46"/>
      <c r="O92" s="24"/>
      <c r="P92" s="24"/>
      <c r="Q92" s="24"/>
      <c r="R92" s="24"/>
      <c r="S92" s="24"/>
      <c r="T92" s="24"/>
      <c r="U92" s="24"/>
      <c r="V92" s="24"/>
      <c r="W92" s="24"/>
    </row>
    <row r="93" spans="1:23" ht="14.5" customHeight="1">
      <c r="A93" s="13" t="s">
        <v>604</v>
      </c>
      <c r="B93" s="27" t="s">
        <v>605</v>
      </c>
      <c r="C93" s="27" t="s">
        <v>606</v>
      </c>
      <c r="D93" s="27" t="s">
        <v>607</v>
      </c>
      <c r="E93" s="27" t="s">
        <v>608</v>
      </c>
      <c r="F93" s="7" t="s">
        <v>609</v>
      </c>
      <c r="G93" s="46"/>
      <c r="H93" s="50"/>
      <c r="I93" s="47"/>
      <c r="J93" s="50"/>
      <c r="K93" s="46"/>
      <c r="L93" s="46"/>
      <c r="M93" s="46"/>
      <c r="N93" s="46"/>
      <c r="O93" s="24"/>
      <c r="P93" s="24"/>
      <c r="Q93" s="24"/>
      <c r="R93" s="24"/>
      <c r="S93" s="24"/>
      <c r="T93" s="24"/>
      <c r="U93" s="24"/>
      <c r="V93" s="24"/>
      <c r="W93" s="24"/>
    </row>
    <row r="94" spans="1:23" ht="14.5" customHeight="1" thickBot="1">
      <c r="A94" s="8" t="s">
        <v>610</v>
      </c>
      <c r="B94" s="1">
        <v>3</v>
      </c>
      <c r="C94" s="1" t="s">
        <v>611</v>
      </c>
      <c r="D94" s="1" t="s">
        <v>612</v>
      </c>
      <c r="E94" s="1">
        <v>2</v>
      </c>
      <c r="F94" s="2">
        <v>2.5</v>
      </c>
      <c r="G94" s="46"/>
      <c r="H94" s="50"/>
      <c r="I94" s="46"/>
      <c r="J94" s="50"/>
      <c r="K94" s="46"/>
      <c r="L94" s="46"/>
      <c r="M94" s="46"/>
      <c r="N94" s="46"/>
      <c r="O94" s="24"/>
      <c r="P94" s="24"/>
      <c r="Q94" s="24"/>
      <c r="R94" s="24"/>
      <c r="S94" s="24"/>
      <c r="T94" s="24"/>
      <c r="U94" s="24"/>
      <c r="V94" s="24"/>
      <c r="W94" s="24"/>
    </row>
    <row r="95" spans="1:23">
      <c r="C95" s="24"/>
      <c r="J95" s="50"/>
      <c r="K95" s="46"/>
      <c r="L95" s="46"/>
      <c r="M95" s="46"/>
      <c r="N95" s="46"/>
      <c r="O95" s="24"/>
      <c r="P95" s="24"/>
      <c r="Q95" s="24"/>
      <c r="R95" s="24"/>
      <c r="S95" s="24"/>
      <c r="T95" s="24"/>
      <c r="U95" s="24"/>
      <c r="V95" s="24"/>
      <c r="W95" s="24"/>
    </row>
    <row r="96" spans="1:23" s="73" customFormat="1" ht="15" thickBot="1">
      <c r="A96" s="73" t="s">
        <v>660</v>
      </c>
    </row>
    <row r="97" spans="1:23" ht="14.5" customHeight="1">
      <c r="A97" s="10"/>
      <c r="B97" s="15" t="s">
        <v>664</v>
      </c>
      <c r="C97" s="24" t="s">
        <v>899</v>
      </c>
      <c r="D97" s="11"/>
      <c r="E97" s="11"/>
      <c r="F97" s="12"/>
      <c r="H97" s="10"/>
      <c r="I97" s="15" t="s">
        <v>663</v>
      </c>
      <c r="J97" s="27" t="s">
        <v>900</v>
      </c>
      <c r="K97" s="11"/>
      <c r="L97" s="11"/>
      <c r="M97" s="11"/>
      <c r="N97" s="11"/>
      <c r="O97" s="12"/>
      <c r="Q97" s="24"/>
      <c r="R97" s="24"/>
      <c r="S97" s="24"/>
      <c r="T97" s="24"/>
      <c r="U97" s="24"/>
      <c r="V97" s="24"/>
    </row>
    <row r="98" spans="1:23" ht="14.5" customHeight="1">
      <c r="A98" s="117" t="s">
        <v>662</v>
      </c>
      <c r="B98" s="117"/>
      <c r="C98" s="117"/>
      <c r="D98" s="27" t="s">
        <v>661</v>
      </c>
      <c r="E98" s="27" t="s">
        <v>193</v>
      </c>
      <c r="F98" s="7" t="s">
        <v>208</v>
      </c>
      <c r="H98" s="6"/>
      <c r="J98" s="28" t="s">
        <v>676</v>
      </c>
      <c r="K98" s="27">
        <v>0.11</v>
      </c>
      <c r="L98" s="27">
        <v>0.55000000000000004</v>
      </c>
      <c r="M98" s="27">
        <v>1.1000000000000001</v>
      </c>
      <c r="N98" s="27">
        <v>5.5</v>
      </c>
      <c r="O98" s="7">
        <v>11</v>
      </c>
      <c r="Q98" s="24"/>
      <c r="R98" s="24"/>
      <c r="S98" s="24"/>
      <c r="T98" s="24"/>
      <c r="U98" s="24"/>
      <c r="V98" s="24"/>
    </row>
    <row r="99" spans="1:23" ht="14.5" customHeight="1">
      <c r="A99" s="137" t="s">
        <v>20</v>
      </c>
      <c r="B99" s="137"/>
      <c r="C99" s="137"/>
      <c r="D99" s="27" t="s">
        <v>111</v>
      </c>
      <c r="E99" s="27" t="s">
        <v>213</v>
      </c>
      <c r="F99" s="7" t="s">
        <v>194</v>
      </c>
      <c r="H99" s="6"/>
      <c r="J99" s="97" t="s">
        <v>665</v>
      </c>
      <c r="K99" s="29">
        <v>100</v>
      </c>
      <c r="L99" s="29">
        <v>500</v>
      </c>
      <c r="M99" s="29">
        <v>1000</v>
      </c>
      <c r="N99" s="29">
        <v>5000</v>
      </c>
      <c r="O99" s="69">
        <v>10000</v>
      </c>
      <c r="Q99" s="24"/>
      <c r="R99" s="24"/>
      <c r="S99" s="24"/>
      <c r="T99" s="24"/>
      <c r="U99" s="24"/>
      <c r="V99" s="24"/>
    </row>
    <row r="100" spans="1:23" ht="14.5" customHeight="1">
      <c r="A100" s="6" t="s">
        <v>190</v>
      </c>
      <c r="B100" s="27" t="s">
        <v>191</v>
      </c>
      <c r="C100" s="27" t="s">
        <v>192</v>
      </c>
      <c r="G100" s="50"/>
      <c r="H100" s="13" t="s">
        <v>110</v>
      </c>
      <c r="I100" s="28"/>
      <c r="J100" s="28" t="s">
        <v>4</v>
      </c>
      <c r="O100" s="7"/>
      <c r="Q100" s="24"/>
      <c r="R100" s="24"/>
      <c r="S100" s="24"/>
      <c r="T100" s="24"/>
      <c r="U100" s="24"/>
      <c r="V100" s="24"/>
    </row>
    <row r="101" spans="1:23" ht="14.5" customHeight="1">
      <c r="A101" s="6">
        <v>1050</v>
      </c>
      <c r="B101" s="27">
        <v>50</v>
      </c>
      <c r="C101" s="27">
        <f>A101*60/E101+B101</f>
        <v>158.62068965517241</v>
      </c>
      <c r="D101" s="27">
        <v>20</v>
      </c>
      <c r="E101" s="27">
        <v>580</v>
      </c>
      <c r="F101" s="7" t="s">
        <v>199</v>
      </c>
      <c r="G101" s="50"/>
      <c r="H101" s="6" t="s">
        <v>113</v>
      </c>
      <c r="J101" s="27" t="s">
        <v>114</v>
      </c>
      <c r="K101" s="27">
        <v>0.17299999999999999</v>
      </c>
      <c r="L101" s="27">
        <v>0.29599999999999999</v>
      </c>
      <c r="M101" s="27">
        <v>0.373</v>
      </c>
      <c r="N101" s="27">
        <v>0.63800000000000001</v>
      </c>
      <c r="O101" s="7">
        <v>0.80300000000000005</v>
      </c>
      <c r="Q101" s="24"/>
      <c r="R101" s="24"/>
      <c r="S101" s="24"/>
      <c r="T101" s="24"/>
      <c r="U101" s="24"/>
      <c r="V101" s="24"/>
    </row>
    <row r="102" spans="1:23" ht="14.5" customHeight="1">
      <c r="A102" s="6">
        <v>530</v>
      </c>
      <c r="B102" s="27">
        <v>30</v>
      </c>
      <c r="C102" s="27">
        <f>A102*60/E102+B102</f>
        <v>120.85714285714286</v>
      </c>
      <c r="D102" s="27">
        <v>20</v>
      </c>
      <c r="E102" s="27">
        <v>350</v>
      </c>
      <c r="F102" s="7" t="s">
        <v>202</v>
      </c>
      <c r="G102" s="50"/>
      <c r="H102" s="74" t="s">
        <v>116</v>
      </c>
      <c r="I102" s="27" t="s">
        <v>117</v>
      </c>
      <c r="K102" s="27">
        <v>0.79</v>
      </c>
      <c r="L102" s="27">
        <v>0.79</v>
      </c>
      <c r="M102" s="27">
        <v>0.79</v>
      </c>
      <c r="N102" s="27">
        <v>0.79</v>
      </c>
      <c r="O102" s="7">
        <v>0.79</v>
      </c>
      <c r="Q102" s="24"/>
      <c r="R102" s="24"/>
      <c r="S102" s="24"/>
      <c r="T102" s="24"/>
      <c r="U102" s="24"/>
      <c r="V102" s="24"/>
    </row>
    <row r="103" spans="1:23" ht="14.5" customHeight="1">
      <c r="A103" s="6">
        <v>515</v>
      </c>
      <c r="B103" s="27">
        <v>15</v>
      </c>
      <c r="C103" s="27">
        <f>A103*60/E103+B103</f>
        <v>111.5625</v>
      </c>
      <c r="D103" s="27">
        <v>3</v>
      </c>
      <c r="E103" s="27">
        <v>320</v>
      </c>
      <c r="F103" s="7" t="s">
        <v>199</v>
      </c>
      <c r="H103" s="75"/>
      <c r="I103" s="27" t="s">
        <v>119</v>
      </c>
      <c r="K103" s="27">
        <v>3.44</v>
      </c>
      <c r="L103" s="27">
        <v>3.44</v>
      </c>
      <c r="M103" s="27">
        <v>3.44</v>
      </c>
      <c r="N103" s="27">
        <v>3.44</v>
      </c>
      <c r="O103" s="7">
        <v>3.44</v>
      </c>
      <c r="Q103" s="24"/>
      <c r="R103" s="24"/>
      <c r="S103" s="24"/>
      <c r="T103" s="24"/>
      <c r="U103" s="24"/>
      <c r="V103" s="24"/>
    </row>
    <row r="104" spans="1:23" ht="14.5" customHeight="1">
      <c r="A104" s="6">
        <v>490</v>
      </c>
      <c r="B104" s="27">
        <v>20</v>
      </c>
      <c r="C104" s="27">
        <f>A104*60/E104+B104</f>
        <v>230</v>
      </c>
      <c r="D104" s="27">
        <v>4</v>
      </c>
      <c r="E104" s="27">
        <v>140</v>
      </c>
      <c r="F104" s="7" t="s">
        <v>206</v>
      </c>
      <c r="H104" s="6" t="s">
        <v>121</v>
      </c>
      <c r="J104" s="40" t="s">
        <v>122</v>
      </c>
      <c r="K104" s="27">
        <v>3.052</v>
      </c>
      <c r="L104" s="27">
        <v>1.7849999999999999</v>
      </c>
      <c r="M104" s="27">
        <v>1.417</v>
      </c>
      <c r="N104" s="27">
        <v>0.82799999999999996</v>
      </c>
      <c r="O104" s="7">
        <v>0.65800000000000003</v>
      </c>
      <c r="Q104" s="24"/>
      <c r="R104" s="24"/>
      <c r="S104" s="24"/>
      <c r="T104" s="24"/>
      <c r="U104" s="24"/>
      <c r="V104" s="24"/>
    </row>
    <row r="105" spans="1:23" ht="14.5" customHeight="1" thickBot="1">
      <c r="A105" s="8">
        <v>530</v>
      </c>
      <c r="B105" s="1">
        <v>30</v>
      </c>
      <c r="C105" s="1"/>
      <c r="D105" s="1"/>
      <c r="E105" s="1"/>
      <c r="F105" s="2"/>
      <c r="H105" s="6" t="s">
        <v>124</v>
      </c>
      <c r="J105" s="27" t="s">
        <v>125</v>
      </c>
      <c r="K105" s="42">
        <v>0.9</v>
      </c>
      <c r="L105" s="42">
        <v>0.9</v>
      </c>
      <c r="M105" s="42">
        <v>0.9</v>
      </c>
      <c r="N105" s="42">
        <v>0.9</v>
      </c>
      <c r="O105" s="76">
        <v>0.9</v>
      </c>
      <c r="Q105" s="24"/>
      <c r="R105" s="24"/>
      <c r="S105" s="24"/>
      <c r="T105" s="24"/>
      <c r="U105" s="24"/>
      <c r="V105" s="24"/>
    </row>
    <row r="106" spans="1:23" ht="14.5" customHeight="1" thickBot="1">
      <c r="B106" s="24"/>
      <c r="C106" s="49"/>
      <c r="D106" s="50"/>
      <c r="E106" s="46"/>
      <c r="F106" s="46"/>
      <c r="G106" s="46"/>
      <c r="H106" s="77" t="s">
        <v>666</v>
      </c>
      <c r="I106" s="1"/>
      <c r="J106" s="1" t="s">
        <v>126</v>
      </c>
      <c r="K106" s="1">
        <f>K102*K104^3*K101^5/K105/K99*1000</f>
        <v>3.866951145939871E-2</v>
      </c>
      <c r="L106" s="1">
        <f>L102*L104^3*L101^5/L105/L99*1000</f>
        <v>2.268756016865003E-2</v>
      </c>
      <c r="M106" s="1">
        <f>M102*M104^3*M101^5/M105/M99*1000</f>
        <v>1.8031767194957943E-2</v>
      </c>
      <c r="N106" s="1">
        <f>N102*N104^3*N101^5/N105/N99*1000</f>
        <v>1.0534380027712193E-2</v>
      </c>
      <c r="O106" s="2">
        <f>O102*O104^3*O101^5/O105/O99*1000</f>
        <v>8.3491062731407602E-3</v>
      </c>
      <c r="P106" s="24"/>
      <c r="Q106" s="24"/>
      <c r="R106" s="24"/>
      <c r="S106" s="24"/>
      <c r="T106" s="24"/>
      <c r="U106" s="24"/>
      <c r="V106" s="24"/>
      <c r="W106" s="24"/>
    </row>
    <row r="107" spans="1:23" ht="14.5" customHeight="1">
      <c r="A107" s="10"/>
      <c r="B107" s="78" t="s">
        <v>667</v>
      </c>
      <c r="C107" s="27" t="s">
        <v>900</v>
      </c>
      <c r="D107" s="63"/>
      <c r="E107" s="62"/>
      <c r="F107" s="65"/>
      <c r="G107" s="48"/>
      <c r="O107" s="24"/>
      <c r="P107" s="24"/>
      <c r="Q107" s="24"/>
      <c r="R107" s="24"/>
      <c r="S107" s="24"/>
      <c r="T107" s="24"/>
      <c r="U107" s="24"/>
      <c r="V107" s="24"/>
      <c r="W107" s="24"/>
    </row>
    <row r="108" spans="1:23" ht="14.5" customHeight="1">
      <c r="A108" s="6"/>
      <c r="C108" s="45" t="s">
        <v>130</v>
      </c>
      <c r="F108" s="64"/>
      <c r="G108" s="46"/>
      <c r="O108" s="24"/>
      <c r="P108" s="24"/>
      <c r="Q108" s="24"/>
      <c r="R108" s="24"/>
      <c r="S108" s="24"/>
      <c r="T108" s="24"/>
      <c r="U108" s="24"/>
      <c r="V108" s="24"/>
      <c r="W108" s="24"/>
    </row>
    <row r="109" spans="1:23" ht="14.5" customHeight="1">
      <c r="A109" s="13" t="s">
        <v>131</v>
      </c>
      <c r="B109" s="40" t="s">
        <v>132</v>
      </c>
      <c r="C109" s="27">
        <v>10</v>
      </c>
      <c r="D109" s="27" t="s">
        <v>133</v>
      </c>
      <c r="E109" s="27" t="s">
        <v>134</v>
      </c>
      <c r="F109" s="64"/>
      <c r="G109" s="46"/>
      <c r="O109" s="24"/>
      <c r="P109" s="24"/>
      <c r="Q109" s="24"/>
      <c r="R109" s="24"/>
      <c r="S109" s="24"/>
      <c r="T109" s="24"/>
      <c r="U109" s="24"/>
      <c r="V109" s="24"/>
      <c r="W109" s="24"/>
    </row>
    <row r="110" spans="1:23" ht="14.5" customHeight="1">
      <c r="A110" s="13" t="s">
        <v>135</v>
      </c>
      <c r="B110" s="27" t="s">
        <v>136</v>
      </c>
      <c r="C110" s="27">
        <v>16</v>
      </c>
      <c r="D110" s="27" t="s">
        <v>133</v>
      </c>
      <c r="F110" s="7"/>
      <c r="O110" s="24"/>
      <c r="P110" s="24"/>
      <c r="Q110" s="24"/>
      <c r="R110" s="24"/>
      <c r="S110" s="24"/>
      <c r="T110" s="24"/>
      <c r="U110" s="24"/>
      <c r="V110" s="24"/>
      <c r="W110" s="24"/>
    </row>
    <row r="111" spans="1:23" ht="14.5" customHeight="1">
      <c r="A111" s="13" t="s">
        <v>137</v>
      </c>
      <c r="B111" s="27" t="s">
        <v>138</v>
      </c>
      <c r="C111" s="27">
        <v>1.53</v>
      </c>
      <c r="D111" s="27" t="s">
        <v>139</v>
      </c>
      <c r="E111" s="27" t="s">
        <v>140</v>
      </c>
      <c r="F111" s="7"/>
      <c r="O111" s="24"/>
      <c r="P111" s="24"/>
      <c r="Q111" s="24"/>
      <c r="R111" s="24"/>
      <c r="S111" s="24"/>
      <c r="T111" s="24"/>
      <c r="U111" s="24"/>
      <c r="V111" s="24"/>
      <c r="W111" s="24"/>
    </row>
    <row r="112" spans="1:23" ht="14.5" customHeight="1">
      <c r="A112" s="13" t="s">
        <v>137</v>
      </c>
      <c r="B112" s="27">
        <v>2.7E-2</v>
      </c>
      <c r="D112" s="27" t="s">
        <v>141</v>
      </c>
      <c r="F112" s="7"/>
      <c r="O112" s="24"/>
      <c r="P112" s="24"/>
      <c r="Q112" s="24"/>
      <c r="R112" s="24"/>
      <c r="S112" s="24"/>
      <c r="T112" s="24"/>
      <c r="U112" s="24"/>
      <c r="V112" s="24"/>
      <c r="W112" s="24"/>
    </row>
    <row r="113" spans="1:23" ht="14.5" customHeight="1" thickBot="1">
      <c r="A113" s="19" t="s">
        <v>143</v>
      </c>
      <c r="B113" s="1">
        <v>55</v>
      </c>
      <c r="C113" s="1" t="s">
        <v>144</v>
      </c>
      <c r="D113" s="1"/>
      <c r="E113" s="1"/>
      <c r="F113" s="2"/>
      <c r="K113" s="46"/>
      <c r="L113" s="46"/>
      <c r="M113" s="46"/>
      <c r="N113" s="46"/>
      <c r="O113" s="24"/>
      <c r="P113" s="24"/>
      <c r="Q113" s="24"/>
      <c r="R113" s="24"/>
      <c r="S113" s="24"/>
      <c r="T113" s="24"/>
      <c r="U113" s="24"/>
      <c r="V113" s="24"/>
      <c r="W113" s="24"/>
    </row>
    <row r="114" spans="1:23" ht="14.5" customHeight="1" thickBot="1">
      <c r="K114" s="46"/>
      <c r="L114" s="46"/>
      <c r="M114" s="46"/>
      <c r="N114" s="46"/>
      <c r="O114" s="24"/>
      <c r="P114" s="24"/>
      <c r="Q114" s="24"/>
      <c r="R114" s="24"/>
      <c r="S114" s="24"/>
      <c r="T114" s="24"/>
      <c r="U114" s="24"/>
      <c r="V114" s="24"/>
      <c r="W114" s="24"/>
    </row>
    <row r="115" spans="1:23" ht="14.5" customHeight="1">
      <c r="A115" s="10"/>
      <c r="B115" s="15" t="s">
        <v>668</v>
      </c>
      <c r="C115" s="27" t="s">
        <v>900</v>
      </c>
      <c r="K115" s="46"/>
      <c r="L115" s="46"/>
      <c r="M115" s="46"/>
      <c r="N115" s="46"/>
      <c r="O115" s="24"/>
      <c r="P115" s="24"/>
      <c r="Q115" s="24"/>
      <c r="R115" s="24"/>
      <c r="S115" s="24"/>
      <c r="T115" s="24"/>
      <c r="U115" s="24"/>
      <c r="V115" s="24"/>
      <c r="W115" s="24"/>
    </row>
    <row r="116" spans="1:23" ht="14.5" customHeight="1">
      <c r="A116" s="13" t="s">
        <v>669</v>
      </c>
      <c r="B116" s="28" t="s">
        <v>671</v>
      </c>
      <c r="C116" s="16" t="s">
        <v>109</v>
      </c>
      <c r="K116" s="46"/>
      <c r="L116" s="46"/>
      <c r="M116" s="46"/>
      <c r="N116" s="46"/>
      <c r="O116" s="24"/>
      <c r="P116" s="24"/>
      <c r="Q116" s="24"/>
      <c r="R116" s="24"/>
      <c r="S116" s="24"/>
      <c r="T116" s="24"/>
      <c r="U116" s="24"/>
      <c r="V116" s="24"/>
      <c r="W116" s="24"/>
    </row>
    <row r="117" spans="1:23" ht="14.5" customHeight="1">
      <c r="A117" s="79" t="s">
        <v>111</v>
      </c>
      <c r="B117" s="27" t="s">
        <v>670</v>
      </c>
      <c r="C117" s="7"/>
      <c r="K117" s="46"/>
      <c r="L117" s="46"/>
      <c r="M117" s="46"/>
      <c r="N117" s="46"/>
      <c r="O117" s="24"/>
      <c r="P117" s="24"/>
      <c r="Q117" s="24"/>
      <c r="R117" s="24"/>
      <c r="S117" s="24"/>
      <c r="T117" s="24"/>
      <c r="U117" s="24"/>
      <c r="V117" s="24"/>
      <c r="W117" s="24"/>
    </row>
    <row r="118" spans="1:23" ht="14.5" customHeight="1">
      <c r="A118" s="6" t="s">
        <v>112</v>
      </c>
      <c r="B118" s="27">
        <f>0.712/100</f>
        <v>7.1199999999999996E-3</v>
      </c>
      <c r="C118" s="80">
        <v>0.72</v>
      </c>
      <c r="K118" s="46"/>
      <c r="L118" s="46"/>
      <c r="M118" s="46"/>
      <c r="N118" s="46"/>
      <c r="O118" s="24"/>
      <c r="P118" s="24"/>
      <c r="Q118" s="24"/>
      <c r="R118" s="24"/>
      <c r="S118" s="24"/>
      <c r="T118" s="24"/>
      <c r="U118" s="24"/>
      <c r="V118" s="24"/>
      <c r="W118" s="24"/>
    </row>
    <row r="119" spans="1:23" ht="14.5" customHeight="1">
      <c r="A119" s="6" t="s">
        <v>115</v>
      </c>
      <c r="B119" s="27">
        <f>2.081/500</f>
        <v>4.1619999999999999E-3</v>
      </c>
      <c r="C119" s="80">
        <v>0.74</v>
      </c>
      <c r="K119" s="46"/>
      <c r="L119" s="46"/>
      <c r="M119" s="46"/>
      <c r="N119" s="46"/>
      <c r="O119" s="24"/>
      <c r="P119" s="24"/>
      <c r="Q119" s="24"/>
      <c r="R119" s="24"/>
      <c r="S119" s="24"/>
      <c r="T119" s="24"/>
      <c r="U119" s="24"/>
      <c r="V119" s="24"/>
      <c r="W119" s="24"/>
    </row>
    <row r="120" spans="1:23" ht="14.5" customHeight="1">
      <c r="A120" s="6" t="s">
        <v>118</v>
      </c>
      <c r="B120" s="27">
        <f>3.303/1000</f>
        <v>3.3029999999999999E-3</v>
      </c>
      <c r="C120" s="80">
        <v>0.75</v>
      </c>
      <c r="K120" s="46"/>
      <c r="L120" s="46"/>
      <c r="M120" s="46"/>
      <c r="N120" s="46"/>
      <c r="O120" s="24"/>
      <c r="P120" s="24"/>
      <c r="Q120" s="24"/>
      <c r="R120" s="24"/>
      <c r="S120" s="24"/>
      <c r="T120" s="24"/>
      <c r="U120" s="24"/>
      <c r="V120" s="24"/>
      <c r="W120" s="24"/>
    </row>
    <row r="121" spans="1:23" ht="14.5" customHeight="1">
      <c r="A121" s="6" t="s">
        <v>120</v>
      </c>
      <c r="B121" s="27">
        <f>9.659/5000</f>
        <v>1.9318000000000002E-3</v>
      </c>
      <c r="C121" s="80">
        <v>0.77</v>
      </c>
      <c r="K121" s="46"/>
      <c r="L121" s="46"/>
      <c r="M121" s="46"/>
      <c r="N121" s="46"/>
      <c r="O121" s="24"/>
      <c r="P121" s="24"/>
      <c r="Q121" s="24"/>
      <c r="R121" s="24"/>
      <c r="S121" s="24"/>
      <c r="T121" s="24"/>
      <c r="U121" s="24"/>
      <c r="V121" s="24"/>
      <c r="W121" s="24"/>
    </row>
    <row r="122" spans="1:23" ht="14.5" customHeight="1" thickBot="1">
      <c r="A122" s="8" t="s">
        <v>123</v>
      </c>
      <c r="B122" s="1">
        <f>15.333/1000</f>
        <v>1.5332999999999999E-2</v>
      </c>
      <c r="C122" s="81">
        <v>0.79</v>
      </c>
      <c r="K122" s="46"/>
      <c r="L122" s="46"/>
      <c r="M122" s="46"/>
      <c r="N122" s="46"/>
      <c r="O122" s="24"/>
      <c r="P122" s="24"/>
      <c r="Q122" s="24"/>
      <c r="R122" s="24"/>
      <c r="S122" s="24"/>
      <c r="T122" s="24"/>
      <c r="U122" s="24"/>
      <c r="V122" s="24"/>
      <c r="W122" s="24"/>
    </row>
    <row r="123" spans="1:23" ht="14.5" customHeight="1" thickBot="1">
      <c r="K123" s="46"/>
      <c r="L123" s="46"/>
      <c r="M123" s="46"/>
      <c r="N123" s="46"/>
      <c r="O123" s="24"/>
      <c r="P123" s="24"/>
      <c r="Q123" s="24"/>
      <c r="R123" s="24"/>
      <c r="S123" s="24"/>
      <c r="T123" s="24"/>
      <c r="U123" s="24"/>
      <c r="V123" s="24"/>
      <c r="W123" s="24"/>
    </row>
    <row r="124" spans="1:23" ht="14.5" customHeight="1">
      <c r="A124" s="51" t="s">
        <v>672</v>
      </c>
      <c r="B124" s="11"/>
      <c r="C124" s="11"/>
      <c r="D124" s="27" t="s">
        <v>902</v>
      </c>
      <c r="F124" s="51" t="s">
        <v>153</v>
      </c>
      <c r="G124" s="11" t="s">
        <v>154</v>
      </c>
      <c r="H124" s="12" t="s">
        <v>155</v>
      </c>
      <c r="K124" s="46"/>
      <c r="L124" s="46"/>
      <c r="M124" s="46"/>
      <c r="N124" s="46"/>
      <c r="O124" s="24"/>
      <c r="P124" s="24"/>
      <c r="Q124" s="24"/>
      <c r="R124" s="24"/>
      <c r="S124" s="24"/>
      <c r="T124" s="24"/>
      <c r="U124" s="24"/>
      <c r="V124" s="24"/>
      <c r="W124" s="24"/>
    </row>
    <row r="125" spans="1:23" ht="14.5" customHeight="1">
      <c r="A125" s="13" t="s">
        <v>156</v>
      </c>
      <c r="B125" s="27">
        <v>5.0599999999999996</v>
      </c>
      <c r="C125" s="27" t="s">
        <v>157</v>
      </c>
      <c r="D125" s="7"/>
      <c r="F125" s="6" t="s">
        <v>89</v>
      </c>
      <c r="G125" s="27">
        <v>4608700</v>
      </c>
      <c r="H125" s="76">
        <f>G125/G$129</f>
        <v>0.54336343700629586</v>
      </c>
      <c r="K125" s="46"/>
      <c r="L125" s="46"/>
      <c r="M125" s="46"/>
      <c r="N125" s="46"/>
      <c r="O125" s="24"/>
      <c r="P125" s="24"/>
      <c r="Q125" s="24"/>
      <c r="R125" s="24"/>
      <c r="S125" s="24"/>
      <c r="T125" s="24"/>
      <c r="U125" s="24"/>
      <c r="V125" s="24"/>
      <c r="W125" s="24"/>
    </row>
    <row r="126" spans="1:23" ht="14.5" customHeight="1">
      <c r="A126" s="6" t="s">
        <v>89</v>
      </c>
      <c r="B126" s="27">
        <f>(H125+H128)*B125</f>
        <v>2.7602169350845336</v>
      </c>
      <c r="C126" s="27" t="s">
        <v>157</v>
      </c>
      <c r="D126" s="7" t="s">
        <v>158</v>
      </c>
      <c r="F126" s="6" t="s">
        <v>149</v>
      </c>
      <c r="G126" s="27">
        <v>3456200</v>
      </c>
      <c r="H126" s="76">
        <f>G126/G$129</f>
        <v>0.40748426041642105</v>
      </c>
      <c r="K126" s="46"/>
      <c r="L126" s="46"/>
      <c r="M126" s="46"/>
      <c r="N126" s="46"/>
      <c r="O126" s="24"/>
      <c r="P126" s="24"/>
      <c r="Q126" s="24"/>
      <c r="R126" s="24"/>
      <c r="S126" s="24"/>
      <c r="T126" s="24"/>
      <c r="U126" s="24"/>
      <c r="V126" s="24"/>
      <c r="W126" s="24"/>
    </row>
    <row r="127" spans="1:23" ht="14.5" customHeight="1">
      <c r="A127" s="6" t="s">
        <v>149</v>
      </c>
      <c r="B127" s="27">
        <f>H126*B125</f>
        <v>2.0618703577070905</v>
      </c>
      <c r="C127" s="27" t="s">
        <v>157</v>
      </c>
      <c r="D127" s="7"/>
      <c r="F127" s="6" t="s">
        <v>159</v>
      </c>
      <c r="G127" s="27">
        <v>398800</v>
      </c>
      <c r="H127" s="76">
        <f>G127/G$129</f>
        <v>4.7018321582682918E-2</v>
      </c>
      <c r="K127" s="46"/>
      <c r="L127" s="46"/>
      <c r="M127" s="46"/>
      <c r="N127" s="46"/>
      <c r="O127" s="24"/>
      <c r="P127" s="24"/>
      <c r="Q127" s="24"/>
      <c r="R127" s="24"/>
      <c r="S127" s="24"/>
      <c r="T127" s="24"/>
      <c r="U127" s="24"/>
      <c r="V127" s="24"/>
      <c r="W127" s="24"/>
    </row>
    <row r="128" spans="1:23" ht="14.5" customHeight="1">
      <c r="A128" s="6" t="s">
        <v>159</v>
      </c>
      <c r="B128" s="27">
        <f>H127*B125</f>
        <v>0.23791270720837554</v>
      </c>
      <c r="C128" s="27" t="s">
        <v>157</v>
      </c>
      <c r="D128" s="7"/>
      <c r="F128" s="6" t="s">
        <v>161</v>
      </c>
      <c r="G128" s="27">
        <v>18100</v>
      </c>
      <c r="H128" s="76">
        <f>G128/G$129</f>
        <v>2.1339809946002027E-3</v>
      </c>
      <c r="K128" s="46"/>
      <c r="L128" s="46"/>
      <c r="M128" s="46"/>
      <c r="N128" s="46"/>
      <c r="O128" s="24"/>
      <c r="P128" s="24"/>
      <c r="Q128" s="24"/>
      <c r="R128" s="24"/>
      <c r="S128" s="24"/>
      <c r="T128" s="24"/>
      <c r="U128" s="24"/>
      <c r="V128" s="24"/>
      <c r="W128" s="24"/>
    </row>
    <row r="129" spans="1:23" ht="14.5" customHeight="1" thickBot="1">
      <c r="A129" s="19" t="s">
        <v>163</v>
      </c>
      <c r="B129" s="1">
        <v>25.19</v>
      </c>
      <c r="C129" s="1" t="s">
        <v>164</v>
      </c>
      <c r="D129" s="2"/>
      <c r="F129" s="19" t="s">
        <v>165</v>
      </c>
      <c r="G129" s="1">
        <f>SUM(G125:G128)</f>
        <v>8481800</v>
      </c>
      <c r="H129" s="2"/>
      <c r="K129" s="46"/>
      <c r="L129" s="46"/>
      <c r="M129" s="46"/>
      <c r="N129" s="46"/>
      <c r="O129" s="24"/>
      <c r="P129" s="24"/>
      <c r="Q129" s="24"/>
      <c r="R129" s="24"/>
      <c r="S129" s="24"/>
      <c r="T129" s="24"/>
      <c r="U129" s="24"/>
      <c r="V129" s="24"/>
      <c r="W129" s="24"/>
    </row>
    <row r="130" spans="1:23" ht="14.5" customHeight="1" thickBot="1">
      <c r="K130" s="46"/>
      <c r="L130" s="46"/>
      <c r="M130" s="46"/>
      <c r="N130" s="46"/>
      <c r="O130" s="24"/>
      <c r="P130" s="24"/>
      <c r="Q130" s="24"/>
      <c r="R130" s="24"/>
      <c r="S130" s="24"/>
      <c r="T130" s="24"/>
      <c r="U130" s="24"/>
      <c r="V130" s="24"/>
      <c r="W130" s="24"/>
    </row>
    <row r="131" spans="1:23" ht="14.5" customHeight="1">
      <c r="A131" s="10" t="s">
        <v>216</v>
      </c>
      <c r="B131" s="15" t="s">
        <v>217</v>
      </c>
      <c r="C131" s="24" t="s">
        <v>904</v>
      </c>
      <c r="K131" s="46"/>
      <c r="L131" s="46"/>
      <c r="M131" s="46"/>
      <c r="N131" s="46"/>
      <c r="O131" s="24"/>
      <c r="P131" s="24"/>
      <c r="Q131" s="24"/>
      <c r="R131" s="24"/>
      <c r="S131" s="24"/>
      <c r="T131" s="24"/>
      <c r="U131" s="24"/>
      <c r="V131" s="24"/>
      <c r="W131" s="24"/>
    </row>
    <row r="132" spans="1:23" ht="14.5" customHeight="1">
      <c r="A132" s="6" t="s">
        <v>218</v>
      </c>
      <c r="B132" s="27">
        <v>2.2799999999999998</v>
      </c>
      <c r="C132" s="7" t="s">
        <v>219</v>
      </c>
      <c r="K132" s="46"/>
      <c r="L132" s="46"/>
      <c r="M132" s="46"/>
      <c r="N132" s="46"/>
      <c r="O132" s="24"/>
      <c r="P132" s="24"/>
      <c r="Q132" s="24"/>
      <c r="R132" s="24"/>
      <c r="S132" s="24"/>
      <c r="T132" s="24"/>
      <c r="U132" s="24"/>
      <c r="V132" s="24"/>
      <c r="W132" s="24"/>
    </row>
    <row r="133" spans="1:23" ht="14.5" customHeight="1" thickBot="1">
      <c r="A133" s="8" t="s">
        <v>220</v>
      </c>
      <c r="B133" s="1">
        <v>1.43</v>
      </c>
      <c r="C133" s="2" t="s">
        <v>221</v>
      </c>
      <c r="K133" s="46"/>
      <c r="L133" s="46"/>
      <c r="M133" s="46"/>
      <c r="N133" s="46"/>
      <c r="O133" s="24"/>
      <c r="P133" s="24"/>
      <c r="Q133" s="24"/>
      <c r="R133" s="24"/>
      <c r="S133" s="24"/>
      <c r="T133" s="24"/>
      <c r="U133" s="24"/>
      <c r="V133" s="24"/>
      <c r="W133" s="24"/>
    </row>
    <row r="134" spans="1:23" ht="14.5" customHeight="1">
      <c r="K134" s="46"/>
      <c r="L134" s="46"/>
      <c r="M134" s="46"/>
      <c r="N134" s="46"/>
      <c r="O134" s="24"/>
      <c r="P134" s="24"/>
      <c r="Q134" s="24"/>
      <c r="R134" s="24"/>
      <c r="S134" s="24"/>
      <c r="T134" s="24"/>
      <c r="U134" s="24"/>
      <c r="V134" s="24"/>
      <c r="W134" s="24"/>
    </row>
    <row r="135" spans="1:23" ht="14.5" customHeight="1">
      <c r="C135" s="24"/>
      <c r="K135" s="46"/>
      <c r="L135" s="46"/>
      <c r="M135" s="46"/>
      <c r="N135" s="46"/>
      <c r="O135" s="24"/>
      <c r="P135" s="24"/>
      <c r="Q135" s="24"/>
      <c r="R135" s="24"/>
      <c r="S135" s="24"/>
      <c r="T135" s="24"/>
      <c r="U135" s="24"/>
      <c r="V135" s="24"/>
      <c r="W135" s="24"/>
    </row>
    <row r="136" spans="1:23" ht="14.5" customHeight="1">
      <c r="J136" s="28"/>
      <c r="K136" s="46"/>
      <c r="L136" s="46"/>
      <c r="M136" s="46"/>
      <c r="N136" s="46"/>
      <c r="O136" s="24"/>
      <c r="P136" s="24"/>
      <c r="Q136" s="24"/>
      <c r="R136" s="24"/>
      <c r="S136" s="24"/>
      <c r="T136" s="24"/>
      <c r="U136" s="24"/>
      <c r="V136" s="24"/>
      <c r="W136" s="24"/>
    </row>
    <row r="137" spans="1:23" ht="14.5" customHeight="1">
      <c r="K137" s="46"/>
      <c r="L137" s="46"/>
      <c r="M137" s="46"/>
      <c r="N137" s="46"/>
      <c r="O137" s="24"/>
      <c r="P137" s="24"/>
      <c r="Q137" s="24"/>
      <c r="R137" s="24"/>
      <c r="S137" s="24"/>
      <c r="T137" s="24"/>
      <c r="U137" s="24"/>
      <c r="V137" s="24"/>
      <c r="W137" s="24"/>
    </row>
    <row r="138" spans="1:23" ht="14.5" customHeight="1">
      <c r="K138" s="46"/>
      <c r="L138" s="46"/>
      <c r="M138" s="46"/>
      <c r="N138" s="46"/>
      <c r="O138" s="24"/>
      <c r="P138" s="24"/>
      <c r="Q138" s="24"/>
      <c r="R138" s="24"/>
      <c r="S138" s="24"/>
      <c r="T138" s="24"/>
      <c r="U138" s="24"/>
      <c r="V138" s="24"/>
      <c r="W138" s="24"/>
    </row>
    <row r="139" spans="1:23" ht="14.5" customHeight="1">
      <c r="K139" s="46"/>
      <c r="L139" s="46"/>
      <c r="M139" s="46"/>
      <c r="N139" s="46"/>
      <c r="O139" s="24"/>
      <c r="P139" s="24"/>
      <c r="Q139" s="24"/>
      <c r="R139" s="24"/>
      <c r="S139" s="24"/>
      <c r="T139" s="24"/>
      <c r="U139" s="24"/>
      <c r="V139" s="24"/>
      <c r="W139" s="24"/>
    </row>
    <row r="140" spans="1:23" ht="14.5" customHeight="1">
      <c r="K140" s="46"/>
      <c r="L140" s="46"/>
      <c r="M140" s="46"/>
      <c r="N140" s="46"/>
      <c r="O140" s="24"/>
      <c r="P140" s="24"/>
      <c r="Q140" s="24"/>
      <c r="R140" s="24"/>
      <c r="S140" s="24"/>
      <c r="T140" s="24"/>
      <c r="U140" s="24"/>
      <c r="V140" s="24"/>
      <c r="W140" s="24"/>
    </row>
    <row r="141" spans="1:23" ht="14.5" customHeight="1">
      <c r="K141" s="46"/>
      <c r="L141" s="46"/>
      <c r="M141" s="46"/>
      <c r="N141" s="46"/>
      <c r="O141" s="24"/>
      <c r="P141" s="24"/>
      <c r="Q141" s="24"/>
      <c r="R141" s="24"/>
      <c r="S141" s="24"/>
      <c r="T141" s="24"/>
      <c r="U141" s="24"/>
      <c r="V141" s="24"/>
      <c r="W141" s="24"/>
    </row>
    <row r="142" spans="1:23" ht="14.5" customHeight="1">
      <c r="K142" s="46"/>
      <c r="L142" s="46"/>
      <c r="M142" s="46"/>
      <c r="N142" s="46"/>
      <c r="O142" s="24"/>
      <c r="P142" s="24"/>
      <c r="Q142" s="24"/>
      <c r="R142" s="24"/>
      <c r="S142" s="24"/>
      <c r="T142" s="24"/>
      <c r="U142" s="24"/>
      <c r="V142" s="24"/>
      <c r="W142" s="24"/>
    </row>
    <row r="143" spans="1:23" ht="14.5" customHeight="1">
      <c r="K143" s="46"/>
      <c r="L143" s="46"/>
      <c r="M143" s="46"/>
      <c r="N143" s="46"/>
      <c r="O143" s="24"/>
      <c r="P143" s="24"/>
      <c r="Q143" s="24"/>
      <c r="R143" s="24"/>
      <c r="S143" s="24"/>
      <c r="T143" s="24"/>
      <c r="U143" s="24"/>
      <c r="V143" s="24"/>
      <c r="W143" s="24"/>
    </row>
    <row r="144" spans="1:23" ht="14.5" customHeight="1">
      <c r="K144" s="46"/>
      <c r="L144" s="46"/>
      <c r="M144" s="46"/>
      <c r="N144" s="46"/>
      <c r="O144" s="24"/>
      <c r="P144" s="24"/>
      <c r="Q144" s="24"/>
      <c r="R144" s="24"/>
      <c r="S144" s="24"/>
      <c r="T144" s="24"/>
      <c r="U144" s="24"/>
      <c r="V144" s="24"/>
      <c r="W144" s="24"/>
    </row>
    <row r="145" spans="2:23" ht="14.5" customHeight="1">
      <c r="K145" s="46"/>
      <c r="L145" s="46"/>
      <c r="M145" s="46"/>
      <c r="N145" s="46"/>
      <c r="O145" s="24"/>
      <c r="P145" s="24"/>
      <c r="Q145" s="24"/>
      <c r="R145" s="24"/>
      <c r="S145" s="24"/>
      <c r="T145" s="24"/>
      <c r="U145" s="24"/>
      <c r="V145" s="24"/>
      <c r="W145" s="24"/>
    </row>
    <row r="146" spans="2:23" ht="14.5" customHeight="1">
      <c r="B146" s="41"/>
      <c r="K146" s="46"/>
      <c r="L146" s="46"/>
      <c r="M146" s="46"/>
      <c r="N146" s="46"/>
      <c r="O146" s="24"/>
      <c r="P146" s="24"/>
      <c r="Q146" s="24"/>
      <c r="R146" s="24"/>
      <c r="S146" s="24"/>
      <c r="T146" s="24"/>
      <c r="U146" s="24"/>
      <c r="V146" s="24"/>
      <c r="W146" s="24"/>
    </row>
    <row r="147" spans="2:23" ht="14.5" customHeight="1">
      <c r="K147" s="46"/>
      <c r="L147" s="46"/>
      <c r="M147" s="46"/>
      <c r="N147" s="46"/>
      <c r="O147" s="24"/>
      <c r="P147" s="24"/>
      <c r="Q147" s="24"/>
      <c r="R147" s="24"/>
      <c r="S147" s="24"/>
      <c r="T147" s="24"/>
      <c r="U147" s="24"/>
      <c r="V147" s="24"/>
      <c r="W147" s="24"/>
    </row>
    <row r="148" spans="2:23" ht="14.5" customHeight="1">
      <c r="K148" s="46"/>
      <c r="L148" s="46"/>
      <c r="M148" s="46"/>
      <c r="N148" s="46"/>
      <c r="O148" s="24"/>
      <c r="P148" s="24"/>
      <c r="Q148" s="24"/>
      <c r="R148" s="24"/>
      <c r="S148" s="24"/>
      <c r="T148" s="24"/>
      <c r="U148" s="24"/>
      <c r="V148" s="24"/>
      <c r="W148" s="24"/>
    </row>
    <row r="149" spans="2:23" ht="14.5" customHeight="1">
      <c r="K149" s="46"/>
      <c r="L149" s="46"/>
      <c r="M149" s="46"/>
      <c r="N149" s="46"/>
      <c r="O149" s="24"/>
      <c r="P149" s="24"/>
      <c r="Q149" s="24"/>
      <c r="R149" s="24"/>
      <c r="S149" s="24"/>
      <c r="T149" s="24"/>
      <c r="U149" s="24"/>
      <c r="V149" s="24"/>
      <c r="W149" s="24"/>
    </row>
    <row r="150" spans="2:23" ht="14.5" customHeight="1">
      <c r="K150" s="46"/>
      <c r="L150" s="46"/>
      <c r="M150" s="46"/>
      <c r="N150" s="46"/>
      <c r="O150" s="24"/>
      <c r="P150" s="24"/>
      <c r="Q150" s="24"/>
      <c r="R150" s="24"/>
      <c r="S150" s="24"/>
      <c r="T150" s="24"/>
      <c r="U150" s="24"/>
      <c r="V150" s="24"/>
      <c r="W150" s="24"/>
    </row>
    <row r="151" spans="2:23" ht="14.5" customHeight="1">
      <c r="K151" s="46"/>
      <c r="L151" s="46"/>
      <c r="M151" s="46"/>
      <c r="N151" s="46"/>
      <c r="O151" s="24"/>
      <c r="P151" s="24"/>
      <c r="Q151" s="24"/>
      <c r="R151" s="24"/>
      <c r="S151" s="24"/>
      <c r="T151" s="24"/>
      <c r="U151" s="24"/>
      <c r="V151" s="24"/>
      <c r="W151" s="24"/>
    </row>
    <row r="152" spans="2:23" ht="14.5" customHeight="1">
      <c r="K152" s="46"/>
      <c r="L152" s="46"/>
      <c r="M152" s="46"/>
      <c r="N152" s="46"/>
      <c r="O152" s="24"/>
      <c r="P152" s="24"/>
      <c r="Q152" s="24"/>
      <c r="R152" s="24"/>
      <c r="S152" s="24"/>
      <c r="T152" s="24"/>
      <c r="U152" s="24"/>
      <c r="V152" s="24"/>
      <c r="W152" s="24"/>
    </row>
    <row r="153" spans="2:23" ht="14.5" customHeight="1">
      <c r="K153" s="46"/>
      <c r="L153" s="46"/>
      <c r="M153" s="46"/>
      <c r="N153" s="46"/>
      <c r="O153" s="24"/>
      <c r="P153" s="24"/>
      <c r="Q153" s="24"/>
      <c r="R153" s="24"/>
      <c r="S153" s="24"/>
      <c r="T153" s="24"/>
      <c r="U153" s="24"/>
      <c r="V153" s="24"/>
      <c r="W153" s="24"/>
    </row>
    <row r="154" spans="2:23" ht="14.5" customHeight="1">
      <c r="K154" s="46"/>
      <c r="L154" s="46"/>
      <c r="M154" s="46"/>
      <c r="N154" s="46"/>
      <c r="O154" s="24"/>
      <c r="P154" s="24"/>
      <c r="Q154" s="24"/>
      <c r="R154" s="24"/>
      <c r="S154" s="24"/>
      <c r="T154" s="24"/>
      <c r="U154" s="24"/>
      <c r="V154" s="24"/>
      <c r="W154" s="24"/>
    </row>
    <row r="155" spans="2:23" ht="14.5" customHeight="1">
      <c r="K155" s="46"/>
      <c r="L155" s="46"/>
      <c r="M155" s="46"/>
      <c r="N155" s="46"/>
      <c r="O155" s="24"/>
      <c r="P155" s="24"/>
      <c r="Q155" s="24"/>
      <c r="R155" s="24"/>
      <c r="S155" s="24"/>
      <c r="T155" s="24"/>
      <c r="U155" s="24"/>
      <c r="V155" s="24"/>
      <c r="W155" s="24"/>
    </row>
    <row r="156" spans="2:23" ht="14.5" customHeight="1">
      <c r="K156" s="46"/>
      <c r="L156" s="46"/>
      <c r="M156" s="46"/>
      <c r="N156" s="46"/>
      <c r="O156" s="24"/>
      <c r="P156" s="24"/>
      <c r="Q156" s="24"/>
      <c r="R156" s="24"/>
      <c r="S156" s="24"/>
      <c r="T156" s="24"/>
      <c r="U156" s="24"/>
      <c r="V156" s="24"/>
      <c r="W156" s="24"/>
    </row>
    <row r="157" spans="2:23" ht="14.5" customHeight="1">
      <c r="K157" s="46"/>
      <c r="L157" s="46"/>
      <c r="M157" s="46"/>
      <c r="N157" s="46"/>
      <c r="O157" s="24"/>
      <c r="P157" s="24"/>
      <c r="Q157" s="24"/>
      <c r="R157" s="24"/>
      <c r="S157" s="24"/>
      <c r="T157" s="24"/>
      <c r="U157" s="24"/>
      <c r="V157" s="24"/>
      <c r="W157" s="24"/>
    </row>
    <row r="158" spans="2:23" ht="14.5" customHeight="1">
      <c r="K158" s="46"/>
      <c r="L158" s="46"/>
      <c r="M158" s="46"/>
      <c r="N158" s="46"/>
      <c r="O158" s="24"/>
      <c r="P158" s="24"/>
      <c r="Q158" s="24"/>
      <c r="R158" s="24"/>
      <c r="S158" s="24"/>
      <c r="T158" s="24"/>
      <c r="U158" s="24"/>
      <c r="V158" s="24"/>
      <c r="W158" s="24"/>
    </row>
    <row r="159" spans="2:23" ht="14.5" customHeight="1">
      <c r="K159" s="46"/>
      <c r="L159" s="46"/>
      <c r="M159" s="46"/>
      <c r="N159" s="46"/>
      <c r="O159" s="24"/>
      <c r="P159" s="24"/>
      <c r="Q159" s="24"/>
      <c r="R159" s="24"/>
      <c r="S159" s="24"/>
      <c r="T159" s="24"/>
      <c r="U159" s="24"/>
      <c r="V159" s="24"/>
      <c r="W159" s="24"/>
    </row>
    <row r="160" spans="2:23" ht="14.5" customHeight="1">
      <c r="K160" s="46"/>
      <c r="L160" s="46"/>
      <c r="M160" s="46"/>
      <c r="N160" s="46"/>
      <c r="O160" s="24"/>
      <c r="P160" s="24"/>
      <c r="Q160" s="24"/>
      <c r="R160" s="24"/>
      <c r="S160" s="24"/>
      <c r="T160" s="24"/>
      <c r="U160" s="24"/>
      <c r="V160" s="24"/>
      <c r="W160" s="24"/>
    </row>
    <row r="161" spans="2:23" ht="14.5" customHeight="1">
      <c r="K161" s="46"/>
      <c r="L161" s="46"/>
      <c r="M161" s="46"/>
      <c r="N161" s="46"/>
      <c r="O161" s="24"/>
      <c r="P161" s="24"/>
      <c r="Q161" s="24"/>
      <c r="R161" s="24"/>
      <c r="S161" s="24"/>
      <c r="T161" s="24"/>
      <c r="U161" s="24"/>
      <c r="V161" s="24"/>
      <c r="W161" s="24"/>
    </row>
    <row r="162" spans="2:23" ht="14.5" customHeight="1">
      <c r="K162" s="46"/>
      <c r="L162" s="46"/>
      <c r="M162" s="46"/>
      <c r="N162" s="46"/>
      <c r="O162" s="24"/>
      <c r="P162" s="24"/>
      <c r="Q162" s="24"/>
      <c r="R162" s="24"/>
      <c r="S162" s="24"/>
      <c r="T162" s="24"/>
      <c r="U162" s="24"/>
      <c r="V162" s="24"/>
      <c r="W162" s="24"/>
    </row>
    <row r="163" spans="2:23" ht="14.5" customHeight="1">
      <c r="K163" s="46"/>
      <c r="L163" s="46"/>
      <c r="M163" s="46"/>
      <c r="N163" s="46"/>
      <c r="O163" s="24"/>
      <c r="P163" s="24"/>
      <c r="Q163" s="24"/>
      <c r="R163" s="24"/>
      <c r="S163" s="24"/>
      <c r="T163" s="24"/>
      <c r="U163" s="24"/>
      <c r="V163" s="24"/>
      <c r="W163" s="24"/>
    </row>
    <row r="164" spans="2:23" ht="14.5" customHeight="1">
      <c r="K164" s="46"/>
      <c r="L164" s="46"/>
      <c r="M164" s="46"/>
      <c r="N164" s="46"/>
      <c r="O164" s="24"/>
      <c r="P164" s="24"/>
      <c r="Q164" s="24"/>
      <c r="R164" s="24"/>
      <c r="S164" s="24"/>
      <c r="T164" s="24"/>
      <c r="U164" s="24"/>
      <c r="V164" s="24"/>
      <c r="W164" s="24"/>
    </row>
    <row r="165" spans="2:23">
      <c r="B165" s="24"/>
      <c r="C165" s="135"/>
      <c r="D165" s="136"/>
      <c r="E165" s="46"/>
      <c r="F165" s="46"/>
      <c r="G165" s="46"/>
      <c r="K165" s="46"/>
      <c r="L165" s="46"/>
      <c r="M165" s="46"/>
      <c r="N165" s="46"/>
      <c r="O165" s="24"/>
      <c r="P165" s="24"/>
      <c r="Q165" s="24"/>
      <c r="R165" s="24"/>
      <c r="S165" s="24"/>
      <c r="T165" s="24"/>
      <c r="U165" s="24"/>
      <c r="V165" s="24"/>
      <c r="W165" s="24"/>
    </row>
    <row r="166" spans="2:23">
      <c r="B166" s="24"/>
      <c r="C166" s="135"/>
      <c r="D166" s="136"/>
      <c r="E166" s="46"/>
      <c r="F166" s="46"/>
      <c r="G166" s="46"/>
      <c r="H166" s="136"/>
      <c r="I166" s="46"/>
      <c r="J166" s="136"/>
      <c r="K166" s="46"/>
      <c r="L166" s="46"/>
      <c r="M166" s="46"/>
      <c r="N166" s="46"/>
      <c r="O166" s="24"/>
      <c r="P166" s="24"/>
      <c r="Q166" s="24"/>
      <c r="R166" s="24"/>
      <c r="S166" s="24"/>
      <c r="T166" s="24"/>
      <c r="U166" s="24"/>
      <c r="V166" s="24"/>
      <c r="W166" s="24"/>
    </row>
    <row r="167" spans="2:23">
      <c r="H167" s="136"/>
      <c r="I167" s="46"/>
      <c r="J167" s="136"/>
      <c r="K167" s="46"/>
      <c r="L167" s="46"/>
      <c r="M167" s="46"/>
      <c r="N167" s="46"/>
      <c r="O167" s="24"/>
    </row>
  </sheetData>
  <mergeCells count="16">
    <mergeCell ref="R28:T28"/>
    <mergeCell ref="H166:H167"/>
    <mergeCell ref="J166:J167"/>
    <mergeCell ref="B21:B23"/>
    <mergeCell ref="B24:B26"/>
    <mergeCell ref="A28:G28"/>
    <mergeCell ref="C36:E36"/>
    <mergeCell ref="F36:K36"/>
    <mergeCell ref="A98:C98"/>
    <mergeCell ref="A99:C99"/>
    <mergeCell ref="D17:F17"/>
    <mergeCell ref="A19:A20"/>
    <mergeCell ref="A21:A26"/>
    <mergeCell ref="A16:G16"/>
    <mergeCell ref="C165:C166"/>
    <mergeCell ref="D165:D166"/>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72A1B-62EE-466C-8D7E-2138CD72B931}">
  <dimension ref="A1:U39"/>
  <sheetViews>
    <sheetView topLeftCell="G1" workbookViewId="0">
      <selection activeCell="O9" sqref="O9"/>
    </sheetView>
  </sheetViews>
  <sheetFormatPr defaultRowHeight="14.5"/>
  <sheetData>
    <row r="1" spans="1:21" ht="15" thickBot="1">
      <c r="A1" s="109" t="s">
        <v>821</v>
      </c>
      <c r="B1" s="110"/>
      <c r="C1" s="110" t="s">
        <v>822</v>
      </c>
      <c r="D1" s="110"/>
      <c r="E1" s="110"/>
      <c r="F1" s="110"/>
      <c r="G1" s="110"/>
      <c r="H1" s="110" t="s">
        <v>823</v>
      </c>
      <c r="I1" s="110"/>
      <c r="J1" s="110"/>
      <c r="K1" s="110"/>
      <c r="L1" s="110"/>
      <c r="M1" s="110"/>
      <c r="N1" s="110"/>
      <c r="O1" s="110"/>
      <c r="P1" s="110"/>
      <c r="Q1" s="110"/>
      <c r="R1" s="111" t="s">
        <v>867</v>
      </c>
      <c r="S1" s="112"/>
      <c r="T1" s="112"/>
      <c r="U1" s="112"/>
    </row>
    <row r="2" spans="1:21">
      <c r="A2" s="51" t="s">
        <v>824</v>
      </c>
      <c r="B2" s="11" t="s">
        <v>825</v>
      </c>
      <c r="C2" s="11" t="s">
        <v>826</v>
      </c>
      <c r="D2" s="11" t="s">
        <v>183</v>
      </c>
      <c r="E2" s="11" t="s">
        <v>182</v>
      </c>
      <c r="F2" s="11" t="s">
        <v>827</v>
      </c>
      <c r="G2" s="11" t="s">
        <v>828</v>
      </c>
      <c r="H2" s="11" t="s">
        <v>829</v>
      </c>
      <c r="I2" s="11" t="s">
        <v>830</v>
      </c>
      <c r="J2" s="11" t="s">
        <v>831</v>
      </c>
      <c r="K2" s="11"/>
      <c r="L2" s="11"/>
      <c r="M2" s="12"/>
      <c r="R2" s="3" t="s">
        <v>832</v>
      </c>
    </row>
    <row r="3" spans="1:21">
      <c r="A3" s="6"/>
      <c r="B3" t="s">
        <v>833</v>
      </c>
      <c r="C3" t="s">
        <v>834</v>
      </c>
      <c r="D3" t="s">
        <v>114</v>
      </c>
      <c r="E3" t="s">
        <v>114</v>
      </c>
      <c r="F3" t="s">
        <v>114</v>
      </c>
      <c r="G3" t="s">
        <v>146</v>
      </c>
      <c r="H3" t="s">
        <v>114</v>
      </c>
      <c r="I3" t="s">
        <v>114</v>
      </c>
      <c r="J3" t="s">
        <v>146</v>
      </c>
      <c r="K3" t="s">
        <v>5</v>
      </c>
      <c r="L3" t="s">
        <v>7</v>
      </c>
      <c r="M3" s="7"/>
      <c r="R3" t="s">
        <v>835</v>
      </c>
    </row>
    <row r="4" spans="1:21">
      <c r="A4" s="6" t="s">
        <v>836</v>
      </c>
      <c r="B4">
        <v>2</v>
      </c>
      <c r="C4">
        <f>4.5*60</f>
        <v>270</v>
      </c>
      <c r="D4">
        <v>2.1</v>
      </c>
      <c r="E4">
        <v>7.37</v>
      </c>
      <c r="F4">
        <v>2.73</v>
      </c>
      <c r="G4">
        <f>D4*E4</f>
        <v>15.477</v>
      </c>
      <c r="H4">
        <v>5</v>
      </c>
      <c r="I4">
        <v>5</v>
      </c>
      <c r="J4">
        <f>((D4+H4)*(E4+I4))*B4</f>
        <v>175.654</v>
      </c>
      <c r="K4" t="s">
        <v>869</v>
      </c>
      <c r="L4" t="s">
        <v>862</v>
      </c>
      <c r="M4" s="7"/>
      <c r="R4" t="s">
        <v>837</v>
      </c>
    </row>
    <row r="5" spans="1:21">
      <c r="A5" s="6" t="s">
        <v>838</v>
      </c>
      <c r="B5">
        <v>1</v>
      </c>
      <c r="C5">
        <v>90</v>
      </c>
      <c r="D5">
        <v>2.2000000000000002</v>
      </c>
      <c r="E5">
        <v>5.7</v>
      </c>
      <c r="F5">
        <v>2.2000000000000002</v>
      </c>
      <c r="G5">
        <f>D5*E5</f>
        <v>12.540000000000001</v>
      </c>
      <c r="H5">
        <v>5</v>
      </c>
      <c r="I5">
        <v>4</v>
      </c>
      <c r="J5">
        <f>((D5+H5)*(E5+I5))*B5</f>
        <v>69.84</v>
      </c>
      <c r="K5" t="s">
        <v>870</v>
      </c>
      <c r="L5" t="s">
        <v>865</v>
      </c>
      <c r="M5" s="7"/>
      <c r="R5" t="s">
        <v>839</v>
      </c>
    </row>
    <row r="6" spans="1:21">
      <c r="A6" s="6" t="s">
        <v>610</v>
      </c>
      <c r="B6">
        <v>3</v>
      </c>
      <c r="C6">
        <v>88.2</v>
      </c>
      <c r="D6">
        <v>3</v>
      </c>
      <c r="E6">
        <v>6</v>
      </c>
      <c r="F6">
        <v>3</v>
      </c>
      <c r="G6">
        <f>D6*E6</f>
        <v>18</v>
      </c>
      <c r="H6">
        <v>5</v>
      </c>
      <c r="I6">
        <v>4</v>
      </c>
      <c r="J6">
        <f t="shared" ref="J6:J15" si="0">((D6+H6)*(E6+I6))*B6</f>
        <v>240</v>
      </c>
      <c r="K6" t="s">
        <v>873</v>
      </c>
      <c r="M6" s="7"/>
    </row>
    <row r="7" spans="1:21">
      <c r="A7" s="6" t="s">
        <v>840</v>
      </c>
      <c r="B7">
        <v>1</v>
      </c>
      <c r="C7">
        <f>7200*0.026147</f>
        <v>188.25839999999999</v>
      </c>
      <c r="D7">
        <v>1.4</v>
      </c>
      <c r="E7">
        <v>6.4</v>
      </c>
      <c r="F7">
        <v>1.5</v>
      </c>
      <c r="G7">
        <f t="shared" ref="G7:G10" si="1">D7*E7</f>
        <v>8.9599999999999991</v>
      </c>
      <c r="H7">
        <v>5</v>
      </c>
      <c r="I7">
        <v>4</v>
      </c>
      <c r="J7">
        <f t="shared" si="0"/>
        <v>66.56</v>
      </c>
      <c r="K7" t="s">
        <v>874</v>
      </c>
      <c r="M7" s="7"/>
    </row>
    <row r="8" spans="1:21">
      <c r="A8" s="6" t="s">
        <v>841</v>
      </c>
      <c r="B8">
        <v>2</v>
      </c>
      <c r="C8">
        <f>2.5*60</f>
        <v>150</v>
      </c>
      <c r="D8">
        <v>2</v>
      </c>
      <c r="E8">
        <v>4</v>
      </c>
      <c r="F8">
        <v>2</v>
      </c>
      <c r="G8">
        <f t="shared" si="1"/>
        <v>8</v>
      </c>
      <c r="H8">
        <v>5</v>
      </c>
      <c r="I8">
        <v>5</v>
      </c>
      <c r="J8">
        <f t="shared" si="0"/>
        <v>126</v>
      </c>
      <c r="K8" t="s">
        <v>876</v>
      </c>
      <c r="L8" t="s">
        <v>877</v>
      </c>
      <c r="M8" s="7"/>
    </row>
    <row r="9" spans="1:21">
      <c r="A9" s="6" t="s">
        <v>842</v>
      </c>
      <c r="B9">
        <v>1</v>
      </c>
      <c r="C9">
        <f>'[1]electricity consumption'!AB120</f>
        <v>88.179200000000009</v>
      </c>
      <c r="D9">
        <f>'[1]electricity consumption'!AB123</f>
        <v>2.4</v>
      </c>
      <c r="E9">
        <f>'[1]electricity consumption'!AB122</f>
        <v>35</v>
      </c>
      <c r="F9">
        <v>3</v>
      </c>
      <c r="G9">
        <f t="shared" si="1"/>
        <v>84</v>
      </c>
      <c r="H9">
        <v>4</v>
      </c>
      <c r="I9">
        <v>6</v>
      </c>
      <c r="J9">
        <f t="shared" si="0"/>
        <v>262.40000000000003</v>
      </c>
      <c r="K9" t="s">
        <v>874</v>
      </c>
      <c r="M9" s="7"/>
    </row>
    <row r="10" spans="1:21">
      <c r="A10" s="6" t="s">
        <v>843</v>
      </c>
      <c r="B10">
        <v>2</v>
      </c>
      <c r="C10">
        <f>C9</f>
        <v>88.179200000000009</v>
      </c>
      <c r="D10">
        <v>2.4</v>
      </c>
      <c r="E10">
        <v>14.1</v>
      </c>
      <c r="F10">
        <v>3</v>
      </c>
      <c r="G10">
        <f t="shared" si="1"/>
        <v>33.839999999999996</v>
      </c>
      <c r="H10">
        <v>4</v>
      </c>
      <c r="I10">
        <v>5</v>
      </c>
      <c r="J10">
        <f t="shared" si="0"/>
        <v>244.48000000000002</v>
      </c>
      <c r="K10" t="s">
        <v>874</v>
      </c>
      <c r="M10" s="7"/>
    </row>
    <row r="11" spans="1:21">
      <c r="A11" s="6" t="s">
        <v>844</v>
      </c>
      <c r="B11">
        <v>2</v>
      </c>
      <c r="C11">
        <f>1.2*0.72*60</f>
        <v>51.839999999999996</v>
      </c>
      <c r="D11">
        <f>2.9*(0.6/1.1)</f>
        <v>1.5818181818181816</v>
      </c>
      <c r="E11">
        <f>24.3*(1.2/2.05)</f>
        <v>14.224390243902441</v>
      </c>
      <c r="F11">
        <v>1.7</v>
      </c>
      <c r="G11">
        <f>D11*E11</f>
        <v>22.50039911308204</v>
      </c>
      <c r="H11">
        <v>4</v>
      </c>
      <c r="I11">
        <v>4</v>
      </c>
      <c r="J11">
        <f t="shared" si="0"/>
        <v>203.45046563192906</v>
      </c>
      <c r="K11" t="s">
        <v>879</v>
      </c>
      <c r="L11" t="s">
        <v>880</v>
      </c>
      <c r="M11" s="7"/>
    </row>
    <row r="12" spans="1:21" ht="15" customHeight="1">
      <c r="A12" s="6" t="s">
        <v>845</v>
      </c>
      <c r="B12">
        <v>1</v>
      </c>
      <c r="C12">
        <f>1/0.673*60</f>
        <v>89.153046062407128</v>
      </c>
      <c r="D12">
        <v>2.5</v>
      </c>
      <c r="E12">
        <v>5</v>
      </c>
      <c r="F12">
        <v>2</v>
      </c>
      <c r="G12">
        <f t="shared" ref="G12:G15" si="2">D12*E12</f>
        <v>12.5</v>
      </c>
      <c r="H12">
        <v>4</v>
      </c>
      <c r="I12">
        <v>4</v>
      </c>
      <c r="J12">
        <f t="shared" si="0"/>
        <v>58.5</v>
      </c>
      <c r="K12" t="s">
        <v>882</v>
      </c>
      <c r="M12" s="7"/>
    </row>
    <row r="13" spans="1:21" ht="15" customHeight="1">
      <c r="A13" s="6" t="s">
        <v>846</v>
      </c>
      <c r="B13">
        <v>1</v>
      </c>
      <c r="C13">
        <f t="shared" ref="C13:C15" si="3">1/0.673*60</f>
        <v>89.153046062407128</v>
      </c>
      <c r="D13">
        <v>2.5</v>
      </c>
      <c r="E13">
        <v>2.5</v>
      </c>
      <c r="F13">
        <v>2</v>
      </c>
      <c r="G13">
        <f t="shared" si="2"/>
        <v>6.25</v>
      </c>
      <c r="H13">
        <v>4</v>
      </c>
      <c r="I13">
        <v>4</v>
      </c>
      <c r="J13">
        <f t="shared" si="0"/>
        <v>42.25</v>
      </c>
      <c r="K13" t="s">
        <v>883</v>
      </c>
      <c r="M13" s="7"/>
    </row>
    <row r="14" spans="1:21" ht="15" customHeight="1">
      <c r="A14" s="6" t="s">
        <v>585</v>
      </c>
      <c r="B14">
        <v>1</v>
      </c>
      <c r="C14">
        <f t="shared" si="3"/>
        <v>89.153046062407128</v>
      </c>
      <c r="D14">
        <v>1</v>
      </c>
      <c r="E14">
        <v>2.5</v>
      </c>
      <c r="F14">
        <v>2</v>
      </c>
      <c r="G14">
        <f t="shared" si="2"/>
        <v>2.5</v>
      </c>
      <c r="H14">
        <v>5</v>
      </c>
      <c r="I14">
        <v>4</v>
      </c>
      <c r="J14">
        <f t="shared" si="0"/>
        <v>39</v>
      </c>
      <c r="K14" t="s">
        <v>882</v>
      </c>
      <c r="M14" s="7"/>
    </row>
    <row r="15" spans="1:21" ht="15" customHeight="1" thickBot="1">
      <c r="A15" s="6" t="s">
        <v>847</v>
      </c>
      <c r="B15">
        <v>1</v>
      </c>
      <c r="C15">
        <f t="shared" si="3"/>
        <v>89.153046062407128</v>
      </c>
      <c r="D15">
        <v>2.5</v>
      </c>
      <c r="E15">
        <v>2.5</v>
      </c>
      <c r="F15">
        <v>2</v>
      </c>
      <c r="G15">
        <f t="shared" si="2"/>
        <v>6.25</v>
      </c>
      <c r="H15">
        <v>5</v>
      </c>
      <c r="I15">
        <v>5</v>
      </c>
      <c r="J15">
        <f t="shared" si="0"/>
        <v>56.25</v>
      </c>
      <c r="K15" t="s">
        <v>883</v>
      </c>
      <c r="M15" s="7"/>
    </row>
    <row r="16" spans="1:21" ht="15" thickBot="1">
      <c r="A16" s="113" t="s">
        <v>848</v>
      </c>
      <c r="B16" s="17"/>
      <c r="C16" s="17"/>
      <c r="D16" s="17">
        <f t="shared" ref="D16:E16" si="4">SUM(D4:D15)</f>
        <v>25.581818181818182</v>
      </c>
      <c r="E16" s="17">
        <f t="shared" si="4"/>
        <v>105.29439024390243</v>
      </c>
      <c r="F16" s="17"/>
      <c r="G16" s="17">
        <f>SUM(G4:G15)</f>
        <v>230.81739911308205</v>
      </c>
      <c r="H16" s="17"/>
      <c r="I16" s="17"/>
      <c r="J16" s="18">
        <f>SUM(J4:J15)</f>
        <v>1584.3844656319293</v>
      </c>
      <c r="K16" s="27"/>
      <c r="M16" s="7"/>
    </row>
    <row r="17" spans="1:13" ht="15" thickBot="1">
      <c r="A17" s="113" t="s">
        <v>849</v>
      </c>
      <c r="B17" s="17"/>
      <c r="C17" s="17"/>
      <c r="D17" s="17"/>
      <c r="E17" s="17"/>
      <c r="F17" s="17"/>
      <c r="G17" s="17"/>
      <c r="H17" s="17">
        <v>4</v>
      </c>
      <c r="I17" s="17">
        <v>4</v>
      </c>
      <c r="J17" s="18">
        <f>(SQRT(J16)+H17)^2</f>
        <v>1918.8190834115351</v>
      </c>
      <c r="K17" s="27"/>
      <c r="L17" t="s">
        <v>884</v>
      </c>
      <c r="M17" s="7"/>
    </row>
    <row r="18" spans="1:13" ht="15" thickBot="1">
      <c r="A18" s="113" t="s">
        <v>850</v>
      </c>
      <c r="B18" s="17"/>
      <c r="C18" s="17"/>
      <c r="D18" s="17"/>
      <c r="E18" s="17"/>
      <c r="F18" s="17"/>
      <c r="G18" s="17"/>
      <c r="H18" s="17"/>
      <c r="I18" s="17"/>
      <c r="J18" s="18">
        <f>2*J17</f>
        <v>3837.6381668230702</v>
      </c>
      <c r="K18" s="27"/>
      <c r="M18" s="7"/>
    </row>
    <row r="19" spans="1:13">
      <c r="A19" s="6" t="s">
        <v>851</v>
      </c>
      <c r="J19">
        <f>J$18*0.1</f>
        <v>383.76381668230704</v>
      </c>
      <c r="L19" t="s">
        <v>863</v>
      </c>
      <c r="M19" s="7"/>
    </row>
    <row r="20" spans="1:13">
      <c r="A20" s="6" t="s">
        <v>852</v>
      </c>
      <c r="J20">
        <f t="shared" ref="J20:J22" si="5">J$18*0.1</f>
        <v>383.76381668230704</v>
      </c>
      <c r="L20" t="s">
        <v>863</v>
      </c>
      <c r="M20" s="7"/>
    </row>
    <row r="21" spans="1:13">
      <c r="A21" s="6" t="s">
        <v>853</v>
      </c>
      <c r="J21">
        <f>J$18*0.15</f>
        <v>575.6457250234605</v>
      </c>
      <c r="L21" t="s">
        <v>864</v>
      </c>
      <c r="M21" s="7"/>
    </row>
    <row r="22" spans="1:13" ht="15" thickBot="1">
      <c r="A22" s="6" t="s">
        <v>854</v>
      </c>
      <c r="J22">
        <f t="shared" si="5"/>
        <v>383.76381668230704</v>
      </c>
      <c r="L22" t="s">
        <v>863</v>
      </c>
      <c r="M22" s="7"/>
    </row>
    <row r="23" spans="1:13" ht="15" thickBot="1">
      <c r="A23" s="113" t="s">
        <v>855</v>
      </c>
      <c r="B23" s="17"/>
      <c r="C23" s="17"/>
      <c r="D23" s="17"/>
      <c r="E23" s="17"/>
      <c r="F23" s="17"/>
      <c r="G23" s="17"/>
      <c r="H23" s="17"/>
      <c r="I23" s="17"/>
      <c r="J23" s="18">
        <f>SUM(J18:J22)</f>
        <v>5564.5753418934519</v>
      </c>
      <c r="K23" s="1"/>
      <c r="L23" s="1"/>
      <c r="M23" s="2"/>
    </row>
    <row r="25" spans="1:13" ht="15" thickBot="1">
      <c r="A25" s="114" t="s">
        <v>866</v>
      </c>
      <c r="B25" s="115"/>
      <c r="C25" s="115"/>
      <c r="D25" s="115"/>
      <c r="E25" s="115"/>
    </row>
    <row r="26" spans="1:13">
      <c r="A26" s="10"/>
      <c r="B26" s="11" t="s">
        <v>856</v>
      </c>
      <c r="C26" s="11" t="s">
        <v>149</v>
      </c>
      <c r="D26" s="11" t="s">
        <v>149</v>
      </c>
      <c r="E26" s="12" t="s">
        <v>149</v>
      </c>
    </row>
    <row r="27" spans="1:13">
      <c r="A27" s="6"/>
      <c r="B27" t="s">
        <v>146</v>
      </c>
      <c r="C27" t="s">
        <v>857</v>
      </c>
      <c r="D27" t="s">
        <v>150</v>
      </c>
      <c r="E27" s="7" t="s">
        <v>108</v>
      </c>
    </row>
    <row r="28" spans="1:13">
      <c r="A28" s="13" t="s">
        <v>858</v>
      </c>
      <c r="E28" s="7"/>
      <c r="J28" s="3"/>
    </row>
    <row r="29" spans="1:13">
      <c r="A29" s="6" t="s">
        <v>859</v>
      </c>
      <c r="B29">
        <f>J18</f>
        <v>3837.6381668230702</v>
      </c>
      <c r="C29">
        <v>100</v>
      </c>
      <c r="D29">
        <f>B29*C29/1000</f>
        <v>383.76381668230698</v>
      </c>
      <c r="E29" s="7">
        <f>D29/(C9*2)</f>
        <v>2.1760450122155053</v>
      </c>
    </row>
    <row r="30" spans="1:13">
      <c r="A30" s="6" t="s">
        <v>860</v>
      </c>
      <c r="B30">
        <f>SUM(J19:J22)</f>
        <v>1726.9371750703817</v>
      </c>
      <c r="C30">
        <v>30</v>
      </c>
      <c r="D30">
        <f>B30*C30/1000</f>
        <v>51.808115252111449</v>
      </c>
      <c r="E30" s="7">
        <f>D30/(C10*2)</f>
        <v>0.29376607664909321</v>
      </c>
    </row>
    <row r="31" spans="1:13">
      <c r="A31" s="13" t="s">
        <v>861</v>
      </c>
      <c r="E31" s="7"/>
    </row>
    <row r="32" spans="1:13">
      <c r="A32" s="6" t="s">
        <v>859</v>
      </c>
      <c r="B32">
        <f>J18</f>
        <v>3837.6381668230702</v>
      </c>
      <c r="C32">
        <v>30</v>
      </c>
      <c r="D32">
        <f>B32*C32/1000</f>
        <v>115.12914500469211</v>
      </c>
      <c r="E32" s="7">
        <f>D32/(C12*2)</f>
        <v>0.64568262156798162</v>
      </c>
    </row>
    <row r="33" spans="1:5" ht="15" thickBot="1">
      <c r="A33" s="6" t="s">
        <v>860</v>
      </c>
      <c r="B33">
        <f>B30</f>
        <v>1726.9371750703817</v>
      </c>
      <c r="C33">
        <v>20</v>
      </c>
      <c r="D33">
        <f>B33*C33/1000</f>
        <v>34.53874350140763</v>
      </c>
      <c r="E33" s="7">
        <f>D33/(C13*2)</f>
        <v>0.19370478647039446</v>
      </c>
    </row>
    <row r="34" spans="1:5" ht="15" thickBot="1">
      <c r="A34" s="113" t="s">
        <v>152</v>
      </c>
      <c r="B34" s="17">
        <f>SUM(B29:B30)</f>
        <v>5564.5753418934519</v>
      </c>
      <c r="C34" s="17"/>
      <c r="D34" s="17">
        <f>SUM(D29:D30)</f>
        <v>435.57193193441844</v>
      </c>
      <c r="E34" s="18">
        <f>SUM(E29:E33)</f>
        <v>3.3091984969029746</v>
      </c>
    </row>
    <row r="39" spans="1:5">
      <c r="A39" s="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965EE-0562-42C1-A99C-00D73CC1DC42}">
  <dimension ref="A1:AD216"/>
  <sheetViews>
    <sheetView workbookViewId="0">
      <selection activeCell="C34" sqref="C34"/>
    </sheetView>
  </sheetViews>
  <sheetFormatPr defaultRowHeight="14.5"/>
  <cols>
    <col min="1" max="1" width="15.08984375" bestFit="1" customWidth="1"/>
    <col min="2" max="2" width="10.54296875" bestFit="1" customWidth="1"/>
    <col min="3" max="3" width="7.1796875" bestFit="1" customWidth="1"/>
    <col min="4" max="4" width="6.453125" bestFit="1" customWidth="1"/>
    <col min="5" max="5" width="11.26953125" bestFit="1" customWidth="1"/>
    <col min="6" max="6" width="18.08984375" bestFit="1" customWidth="1"/>
    <col min="7" max="7" width="12.08984375" bestFit="1" customWidth="1"/>
    <col min="8" max="8" width="16.08984375" customWidth="1"/>
    <col min="9" max="9" width="27.08984375" bestFit="1" customWidth="1"/>
    <col min="10" max="10" width="26.6328125" bestFit="1" customWidth="1"/>
  </cols>
  <sheetData>
    <row r="1" spans="1:10">
      <c r="A1" s="10"/>
      <c r="B1" s="15" t="s">
        <v>286</v>
      </c>
      <c r="C1" s="15" t="s">
        <v>287</v>
      </c>
      <c r="D1" s="11"/>
      <c r="E1" s="15" t="s">
        <v>288</v>
      </c>
      <c r="F1" s="15" t="s">
        <v>289</v>
      </c>
      <c r="G1" s="15" t="s">
        <v>290</v>
      </c>
      <c r="H1" s="11"/>
      <c r="I1" s="15" t="s">
        <v>291</v>
      </c>
      <c r="J1" s="71" t="s">
        <v>292</v>
      </c>
    </row>
    <row r="2" spans="1:10">
      <c r="A2" s="6"/>
      <c r="B2" s="27" t="s">
        <v>293</v>
      </c>
      <c r="C2" s="27" t="s">
        <v>294</v>
      </c>
      <c r="D2" s="29" t="s">
        <v>5</v>
      </c>
      <c r="E2" s="27" t="s">
        <v>213</v>
      </c>
      <c r="F2" s="27" t="s">
        <v>295</v>
      </c>
      <c r="G2" s="27" t="s">
        <v>296</v>
      </c>
      <c r="H2" s="28" t="s">
        <v>5</v>
      </c>
      <c r="I2" s="27" t="s">
        <v>295</v>
      </c>
      <c r="J2" s="7" t="s">
        <v>295</v>
      </c>
    </row>
    <row r="3" spans="1:10">
      <c r="A3" s="116" t="s">
        <v>352</v>
      </c>
      <c r="B3" s="117"/>
      <c r="C3" s="117"/>
      <c r="D3" s="117"/>
      <c r="E3" s="117"/>
      <c r="F3" s="117"/>
      <c r="G3" s="117"/>
      <c r="H3" s="117"/>
      <c r="I3" s="117"/>
      <c r="J3" s="142"/>
    </row>
    <row r="4" spans="1:10">
      <c r="A4" s="6" t="s">
        <v>98</v>
      </c>
      <c r="B4" s="27">
        <v>60.095999999999997</v>
      </c>
      <c r="C4" s="27">
        <v>0.78600000000000003</v>
      </c>
      <c r="D4" s="27" t="s">
        <v>297</v>
      </c>
      <c r="E4" s="27">
        <v>82.5</v>
      </c>
      <c r="F4" s="27">
        <f>45.3/B4*1000</f>
        <v>753.79392971246011</v>
      </c>
      <c r="G4" s="27">
        <v>1.54</v>
      </c>
      <c r="H4" s="27" t="s">
        <v>298</v>
      </c>
      <c r="I4" s="27">
        <f>(E4-25)*G4+F4</f>
        <v>842.34392971246007</v>
      </c>
      <c r="J4" s="7">
        <f>(E4-20)*G4+F4</f>
        <v>850.04392971246011</v>
      </c>
    </row>
    <row r="5" spans="1:10">
      <c r="A5" s="6" t="s">
        <v>240</v>
      </c>
      <c r="B5" s="27">
        <v>32.042000000000002</v>
      </c>
      <c r="C5" s="27">
        <v>0.79100000000000004</v>
      </c>
      <c r="D5" s="27" t="s">
        <v>297</v>
      </c>
      <c r="E5" s="27">
        <v>78.23</v>
      </c>
      <c r="F5" s="27">
        <f>37.6/B5*1000</f>
        <v>1173.4598339679171</v>
      </c>
      <c r="G5" s="27">
        <f>81.32/B5</f>
        <v>2.5379189813369947</v>
      </c>
      <c r="H5" s="27" t="s">
        <v>298</v>
      </c>
      <c r="I5" s="27">
        <f t="shared" ref="I5:I11" si="0">(E5-25)*G5+F5</f>
        <v>1308.5532613444852</v>
      </c>
      <c r="J5" s="7">
        <f t="shared" ref="J5:J11" si="1">(E5-20)*G5+F5</f>
        <v>1321.2428562511705</v>
      </c>
    </row>
    <row r="6" spans="1:10">
      <c r="A6" s="6" t="s">
        <v>299</v>
      </c>
      <c r="B6" s="27">
        <v>46.07</v>
      </c>
      <c r="C6" s="27">
        <v>0.79</v>
      </c>
      <c r="D6" s="27" t="s">
        <v>297</v>
      </c>
      <c r="E6" s="27">
        <v>64.7</v>
      </c>
      <c r="F6" s="27">
        <f>42.3/B6*1000</f>
        <v>918.1680052094639</v>
      </c>
      <c r="G6" s="27">
        <v>2.46</v>
      </c>
      <c r="H6" s="27" t="s">
        <v>298</v>
      </c>
      <c r="I6" s="27">
        <f t="shared" si="0"/>
        <v>1015.8300052094639</v>
      </c>
      <c r="J6" s="7">
        <f t="shared" si="1"/>
        <v>1028.1300052094639</v>
      </c>
    </row>
    <row r="7" spans="1:10">
      <c r="A7" s="6" t="s">
        <v>300</v>
      </c>
      <c r="B7" s="27">
        <v>73.09</v>
      </c>
      <c r="C7" s="27">
        <v>0.94399999999999995</v>
      </c>
      <c r="D7" s="27" t="s">
        <v>297</v>
      </c>
      <c r="E7" s="27">
        <v>153</v>
      </c>
      <c r="F7" s="27">
        <f>56.7/B7*1000</f>
        <v>775.7559173621562</v>
      </c>
      <c r="G7" s="27">
        <f>146.05/B7</f>
        <v>1.9982213709125736</v>
      </c>
      <c r="H7" s="27" t="s">
        <v>298</v>
      </c>
      <c r="I7" s="27">
        <f t="shared" si="0"/>
        <v>1031.5282528389657</v>
      </c>
      <c r="J7" s="7">
        <f t="shared" si="1"/>
        <v>1041.5193596935285</v>
      </c>
    </row>
    <row r="8" spans="1:10">
      <c r="A8" s="6" t="s">
        <v>301</v>
      </c>
      <c r="B8" s="27">
        <v>78.13</v>
      </c>
      <c r="C8" s="27">
        <v>1.1000000000000001</v>
      </c>
      <c r="D8" s="27" t="s">
        <v>297</v>
      </c>
      <c r="E8" s="27">
        <v>189</v>
      </c>
      <c r="F8" s="27">
        <f>52.9/B8*1000</f>
        <v>677.07666709330601</v>
      </c>
      <c r="G8" s="27">
        <f>152.3063/B8</f>
        <v>1.9493958786637655</v>
      </c>
      <c r="H8" s="27" t="s">
        <v>298</v>
      </c>
      <c r="I8" s="27">
        <f t="shared" si="0"/>
        <v>996.77759119416351</v>
      </c>
      <c r="J8" s="7">
        <f t="shared" si="1"/>
        <v>1006.5245705874825</v>
      </c>
    </row>
    <row r="9" spans="1:10">
      <c r="A9" s="6" t="s">
        <v>302</v>
      </c>
      <c r="B9" s="27">
        <v>92.14</v>
      </c>
      <c r="C9" s="27">
        <v>0.86499999999999999</v>
      </c>
      <c r="D9" s="27" t="s">
        <v>297</v>
      </c>
      <c r="E9" s="27">
        <v>110.6</v>
      </c>
      <c r="F9" s="27">
        <f>37/B9*1000</f>
        <v>401.56283915780335</v>
      </c>
      <c r="G9" s="27">
        <f>157.09/B9</f>
        <v>1.7049055784675493</v>
      </c>
      <c r="H9" s="27" t="s">
        <v>298</v>
      </c>
      <c r="I9" s="27">
        <f t="shared" si="0"/>
        <v>547.50275667462552</v>
      </c>
      <c r="J9" s="7">
        <f t="shared" si="1"/>
        <v>556.02728456696332</v>
      </c>
    </row>
    <row r="10" spans="1:10">
      <c r="A10" s="6" t="s">
        <v>303</v>
      </c>
      <c r="B10" s="27">
        <v>74.12</v>
      </c>
      <c r="C10" s="27">
        <v>0.71299999999999997</v>
      </c>
      <c r="D10" s="27" t="s">
        <v>297</v>
      </c>
      <c r="E10" s="27">
        <v>34.6</v>
      </c>
      <c r="F10" s="27">
        <f>27.1/B10*1000</f>
        <v>365.62331354560172</v>
      </c>
      <c r="G10" s="27">
        <f>172/B10</f>
        <v>2.3205612520237451</v>
      </c>
      <c r="H10" s="27" t="s">
        <v>298</v>
      </c>
      <c r="I10" s="27">
        <f t="shared" si="0"/>
        <v>387.90070156502969</v>
      </c>
      <c r="J10" s="7">
        <f t="shared" si="1"/>
        <v>399.5035078251484</v>
      </c>
    </row>
    <row r="11" spans="1:10">
      <c r="A11" s="6" t="s">
        <v>304</v>
      </c>
      <c r="B11" s="27">
        <v>78.11</v>
      </c>
      <c r="C11" s="27">
        <v>0.876</v>
      </c>
      <c r="D11" s="27" t="s">
        <v>297</v>
      </c>
      <c r="E11" s="27">
        <v>80.099999999999994</v>
      </c>
      <c r="F11" s="27">
        <f>33/B11*1000</f>
        <v>422.48111637434386</v>
      </c>
      <c r="G11" s="27">
        <f>135.69/B11</f>
        <v>1.7371655357828704</v>
      </c>
      <c r="H11" s="27" t="s">
        <v>298</v>
      </c>
      <c r="I11" s="27">
        <f t="shared" si="0"/>
        <v>518.19893739598001</v>
      </c>
      <c r="J11" s="7">
        <f t="shared" si="1"/>
        <v>526.8847650748944</v>
      </c>
    </row>
    <row r="12" spans="1:10">
      <c r="A12" s="6" t="s">
        <v>305</v>
      </c>
      <c r="B12" s="27">
        <v>74.120999999999995</v>
      </c>
      <c r="C12" s="27">
        <v>0.81</v>
      </c>
      <c r="D12" s="27" t="s">
        <v>297</v>
      </c>
      <c r="E12" s="27">
        <v>117.7</v>
      </c>
      <c r="F12" s="27">
        <f>43.29/B12*1000</f>
        <v>584.04500748775661</v>
      </c>
      <c r="G12" s="27">
        <f>183.3/B12</f>
        <v>2.4729833650382487</v>
      </c>
      <c r="H12" s="27" t="s">
        <v>298</v>
      </c>
      <c r="I12" s="27">
        <f>(E12-25)*G12+F12</f>
        <v>813.29056542680223</v>
      </c>
      <c r="J12" s="7">
        <f>(E12-20)*G12+F12</f>
        <v>825.65548225199348</v>
      </c>
    </row>
    <row r="13" spans="1:10">
      <c r="A13" s="6" t="s">
        <v>47</v>
      </c>
      <c r="B13" s="27"/>
      <c r="C13" s="27"/>
      <c r="D13" s="27"/>
      <c r="E13" s="27">
        <v>100</v>
      </c>
      <c r="F13" s="27">
        <v>2257</v>
      </c>
      <c r="G13" s="27">
        <v>4.1840000000000002</v>
      </c>
      <c r="H13" s="27" t="s">
        <v>298</v>
      </c>
      <c r="I13" s="27"/>
      <c r="J13" s="7"/>
    </row>
    <row r="14" spans="1:10">
      <c r="A14" s="6" t="s">
        <v>306</v>
      </c>
      <c r="B14" s="27">
        <v>98.078999999999994</v>
      </c>
      <c r="C14" s="27">
        <v>1.83</v>
      </c>
      <c r="D14" s="27"/>
      <c r="E14" s="27">
        <f>431.54-273.15</f>
        <v>158.39000000000004</v>
      </c>
      <c r="F14" s="27">
        <f>56/B14*1000</f>
        <v>570.9683010634285</v>
      </c>
      <c r="G14" s="27">
        <f>293/B14</f>
        <v>2.9873877180640096</v>
      </c>
      <c r="H14" s="27" t="s">
        <v>353</v>
      </c>
      <c r="I14" s="27"/>
      <c r="J14" s="7"/>
    </row>
    <row r="15" spans="1:10">
      <c r="A15" t="s">
        <v>785</v>
      </c>
      <c r="B15">
        <v>86.09</v>
      </c>
      <c r="C15">
        <v>1.1295999999999999</v>
      </c>
      <c r="D15" t="s">
        <v>786</v>
      </c>
      <c r="F15" s="27"/>
      <c r="G15" s="27"/>
      <c r="H15" s="27"/>
      <c r="I15" s="27"/>
      <c r="J15" s="7"/>
    </row>
    <row r="16" spans="1:10">
      <c r="A16" s="116" t="s">
        <v>351</v>
      </c>
      <c r="B16" s="117"/>
      <c r="C16" s="117"/>
      <c r="D16" s="117"/>
      <c r="E16" s="117"/>
      <c r="F16" s="117"/>
      <c r="G16" s="117"/>
      <c r="H16" s="117"/>
      <c r="I16" s="117"/>
      <c r="J16" s="142"/>
    </row>
    <row r="17" spans="1:30">
      <c r="A17" s="82" t="s">
        <v>278</v>
      </c>
      <c r="B17" s="27">
        <v>166.00280000000001</v>
      </c>
      <c r="C17" s="27"/>
      <c r="D17" s="27"/>
      <c r="E17" s="27"/>
      <c r="F17" s="27"/>
      <c r="G17" s="27">
        <v>0.313</v>
      </c>
      <c r="H17" s="27" t="s">
        <v>353</v>
      </c>
      <c r="I17" s="27"/>
      <c r="J17" s="7"/>
    </row>
    <row r="18" spans="1:30" ht="15" thickBot="1">
      <c r="A18" s="8" t="s">
        <v>437</v>
      </c>
      <c r="B18" s="1">
        <v>56.106299999999997</v>
      </c>
      <c r="C18" s="1"/>
      <c r="D18" s="1"/>
      <c r="E18" s="1"/>
      <c r="F18" s="1"/>
      <c r="G18" s="1">
        <f>2722/B18</f>
        <v>48.515050894462831</v>
      </c>
      <c r="H18" s="1">
        <f>82.72/B18</f>
        <v>1.4743442358523018</v>
      </c>
      <c r="I18" s="1" t="s">
        <v>298</v>
      </c>
      <c r="J18" s="2"/>
      <c r="Z18" s="8" t="s">
        <v>16</v>
      </c>
      <c r="AA18" s="1" t="s">
        <v>362</v>
      </c>
      <c r="AB18" s="1">
        <f>AB13*100/1000</f>
        <v>0</v>
      </c>
      <c r="AC18" s="1" t="s">
        <v>363</v>
      </c>
      <c r="AD18" t="s">
        <v>367</v>
      </c>
    </row>
    <row r="19" spans="1:30" s="30" customFormat="1" ht="15" thickBot="1">
      <c r="A19" s="31" t="s">
        <v>354</v>
      </c>
    </row>
    <row r="20" spans="1:30" ht="15" thickBot="1">
      <c r="A20" s="118" t="s">
        <v>387</v>
      </c>
      <c r="B20" s="119"/>
      <c r="C20" s="119"/>
      <c r="D20" s="130"/>
      <c r="E20" s="27"/>
      <c r="F20" s="134" t="s">
        <v>389</v>
      </c>
      <c r="G20" s="134"/>
      <c r="H20" s="134"/>
      <c r="I20" s="134"/>
      <c r="J20" s="24"/>
      <c r="K20" s="24"/>
      <c r="L20" s="24"/>
      <c r="M20" s="24"/>
      <c r="N20" s="26"/>
      <c r="O20" s="26"/>
      <c r="P20" s="26"/>
      <c r="Q20" s="26"/>
      <c r="R20" s="26"/>
      <c r="S20" s="26"/>
    </row>
    <row r="21" spans="1:30">
      <c r="A21" s="13" t="s">
        <v>356</v>
      </c>
      <c r="B21" s="28" t="s">
        <v>357</v>
      </c>
      <c r="C21" s="28" t="s">
        <v>5</v>
      </c>
      <c r="D21" s="7"/>
      <c r="E21" s="27"/>
      <c r="F21" s="118" t="s">
        <v>355</v>
      </c>
      <c r="G21" s="119"/>
      <c r="H21" s="119"/>
      <c r="I21" s="130"/>
      <c r="J21" s="28"/>
      <c r="K21" s="27"/>
      <c r="L21" s="27"/>
      <c r="M21" s="27"/>
    </row>
    <row r="22" spans="1:30">
      <c r="A22" s="6" t="s">
        <v>303</v>
      </c>
      <c r="B22" s="27">
        <v>33.866999999999997</v>
      </c>
      <c r="C22" s="27" t="s">
        <v>888</v>
      </c>
      <c r="D22" s="7"/>
      <c r="E22" s="27"/>
      <c r="F22" s="6"/>
      <c r="G22" s="27"/>
      <c r="H22" s="28" t="s">
        <v>142</v>
      </c>
      <c r="I22" s="16" t="s">
        <v>4</v>
      </c>
      <c r="J22" s="28"/>
      <c r="K22" s="27"/>
      <c r="L22" s="27"/>
      <c r="M22" s="27"/>
    </row>
    <row r="23" spans="1:30">
      <c r="A23" s="6" t="s">
        <v>299</v>
      </c>
      <c r="B23" s="27">
        <v>26.7</v>
      </c>
      <c r="C23" s="27" t="s">
        <v>388</v>
      </c>
      <c r="D23" s="7"/>
      <c r="E23" s="27"/>
      <c r="F23" s="6" t="s">
        <v>8</v>
      </c>
      <c r="G23" s="27" t="s">
        <v>358</v>
      </c>
      <c r="H23" s="27">
        <v>1</v>
      </c>
      <c r="I23" s="7" t="s">
        <v>10</v>
      </c>
      <c r="J23" s="27"/>
      <c r="K23" s="27"/>
      <c r="L23" s="27"/>
      <c r="M23" s="27"/>
    </row>
    <row r="24" spans="1:30">
      <c r="A24" s="6" t="s">
        <v>360</v>
      </c>
      <c r="B24" s="27">
        <v>40.938000000000002</v>
      </c>
      <c r="C24" s="27" t="s">
        <v>388</v>
      </c>
      <c r="D24" s="7"/>
      <c r="E24" s="27"/>
      <c r="F24" s="6" t="s">
        <v>8</v>
      </c>
      <c r="G24" s="27" t="s">
        <v>359</v>
      </c>
      <c r="H24" s="27">
        <f>(B23-B$37)*0.6</f>
        <v>3</v>
      </c>
      <c r="I24" s="7" t="s">
        <v>14</v>
      </c>
      <c r="J24" s="27"/>
      <c r="K24" s="27"/>
      <c r="L24" s="27"/>
      <c r="M24" s="27"/>
    </row>
    <row r="25" spans="1:30">
      <c r="A25" s="6" t="s">
        <v>98</v>
      </c>
      <c r="B25" s="27">
        <v>30.446999999999999</v>
      </c>
      <c r="C25" s="27" t="s">
        <v>388</v>
      </c>
      <c r="D25" s="7"/>
      <c r="E25" s="27"/>
      <c r="F25" s="6" t="s">
        <v>20</v>
      </c>
      <c r="G25" s="27" t="s">
        <v>361</v>
      </c>
      <c r="H25" s="27">
        <v>1</v>
      </c>
      <c r="I25" s="7" t="s">
        <v>10</v>
      </c>
      <c r="J25" s="27"/>
      <c r="K25" s="28"/>
      <c r="L25" s="27"/>
      <c r="M25" s="27"/>
    </row>
    <row r="26" spans="1:30">
      <c r="A26" s="6" t="s">
        <v>240</v>
      </c>
      <c r="B26" s="27">
        <v>21.103999999999999</v>
      </c>
      <c r="C26" s="27" t="s">
        <v>889</v>
      </c>
      <c r="D26" s="7"/>
      <c r="E26" s="27"/>
      <c r="F26" s="116" t="s">
        <v>101</v>
      </c>
      <c r="G26" s="117"/>
      <c r="H26" s="117"/>
      <c r="I26" s="142"/>
      <c r="J26" s="32"/>
      <c r="K26" s="27"/>
      <c r="L26" s="27"/>
      <c r="M26" s="27"/>
    </row>
    <row r="27" spans="1:30" ht="15" thickBot="1">
      <c r="A27" s="6" t="s">
        <v>302</v>
      </c>
      <c r="B27" s="27">
        <v>40.588999999999999</v>
      </c>
      <c r="C27" s="27" t="s">
        <v>388</v>
      </c>
      <c r="D27" s="7"/>
      <c r="E27" s="27"/>
      <c r="F27" s="8" t="s">
        <v>16</v>
      </c>
      <c r="G27" s="1" t="s">
        <v>362</v>
      </c>
      <c r="H27" s="1">
        <f>H23*100/1000</f>
        <v>0.1</v>
      </c>
      <c r="I27" s="2" t="s">
        <v>363</v>
      </c>
      <c r="J27" s="27"/>
      <c r="K27" s="27"/>
      <c r="L27" s="27"/>
      <c r="M27" s="27"/>
    </row>
    <row r="28" spans="1:30" ht="15" thickBot="1">
      <c r="A28" s="6" t="s">
        <v>77</v>
      </c>
      <c r="B28" s="27">
        <v>28.547999999999998</v>
      </c>
      <c r="C28" s="27" t="s">
        <v>388</v>
      </c>
      <c r="D28" s="7"/>
      <c r="E28" s="27"/>
      <c r="F28" s="27"/>
      <c r="G28" s="27"/>
      <c r="H28" s="27"/>
      <c r="I28" s="27"/>
      <c r="J28" s="27"/>
      <c r="K28" s="27"/>
      <c r="L28" s="27"/>
      <c r="M28" s="27"/>
    </row>
    <row r="29" spans="1:30">
      <c r="A29" s="6" t="s">
        <v>300</v>
      </c>
      <c r="B29" s="27">
        <f>26.25-(2.766*(73.095-7*1.00794)/73.095)</f>
        <v>23.750991371229222</v>
      </c>
      <c r="C29" s="27" t="s">
        <v>388</v>
      </c>
      <c r="D29" s="7"/>
      <c r="E29" s="27"/>
      <c r="F29" s="118" t="s">
        <v>364</v>
      </c>
      <c r="G29" s="119"/>
      <c r="H29" s="119"/>
      <c r="I29" s="130"/>
      <c r="J29" s="27"/>
      <c r="K29" s="27"/>
      <c r="L29" s="27"/>
      <c r="M29" s="27"/>
    </row>
    <row r="30" spans="1:30">
      <c r="A30" s="6" t="s">
        <v>301</v>
      </c>
      <c r="B30" s="27">
        <f>(6.05*4.184)-(2.766*(78.13-6*1.00794)/78.13)</f>
        <v>22.761301782157943</v>
      </c>
      <c r="C30" s="27" t="s">
        <v>388</v>
      </c>
      <c r="D30" s="7"/>
      <c r="E30" s="27"/>
      <c r="F30" s="6" t="s">
        <v>8</v>
      </c>
      <c r="G30" s="27" t="s">
        <v>365</v>
      </c>
      <c r="H30" s="27">
        <v>1</v>
      </c>
      <c r="I30" s="7" t="s">
        <v>10</v>
      </c>
      <c r="J30" s="27"/>
      <c r="K30" s="27"/>
      <c r="L30" s="27"/>
      <c r="M30" s="27"/>
    </row>
    <row r="31" spans="1:30">
      <c r="A31" s="6" t="s">
        <v>304</v>
      </c>
      <c r="B31" s="27">
        <v>40.17</v>
      </c>
      <c r="C31" s="27" t="s">
        <v>388</v>
      </c>
      <c r="D31" s="7"/>
      <c r="E31" s="27"/>
      <c r="F31" s="6" t="s">
        <v>8</v>
      </c>
      <c r="G31" s="27" t="s">
        <v>359</v>
      </c>
      <c r="H31" s="27">
        <f>(B22-B$37)*0.6</f>
        <v>7.3001999999999985</v>
      </c>
      <c r="I31" s="7" t="s">
        <v>14</v>
      </c>
      <c r="J31" s="27"/>
      <c r="K31" s="27"/>
      <c r="L31" s="27"/>
      <c r="M31" s="27"/>
    </row>
    <row r="32" spans="1:30">
      <c r="A32" s="6" t="s">
        <v>305</v>
      </c>
      <c r="B32" s="27">
        <v>34.4</v>
      </c>
      <c r="C32" s="27" t="s">
        <v>388</v>
      </c>
      <c r="D32" s="7"/>
      <c r="E32" s="27"/>
      <c r="F32" s="6" t="s">
        <v>20</v>
      </c>
      <c r="G32" s="27" t="s">
        <v>361</v>
      </c>
      <c r="H32" s="27">
        <v>1</v>
      </c>
      <c r="I32" s="7" t="s">
        <v>10</v>
      </c>
      <c r="J32" s="27"/>
      <c r="K32" s="27"/>
      <c r="L32" s="27"/>
      <c r="M32" s="27"/>
    </row>
    <row r="33" spans="1:13">
      <c r="A33" s="6" t="s">
        <v>368</v>
      </c>
      <c r="B33" s="27">
        <v>21.34</v>
      </c>
      <c r="C33" s="27" t="s">
        <v>890</v>
      </c>
      <c r="D33" s="7"/>
      <c r="E33" s="27"/>
      <c r="F33" s="116" t="s">
        <v>101</v>
      </c>
      <c r="G33" s="117"/>
      <c r="H33" s="117"/>
      <c r="I33" s="142"/>
      <c r="J33" s="27"/>
      <c r="K33" s="27"/>
      <c r="L33" s="27"/>
      <c r="M33" s="27"/>
    </row>
    <row r="34" spans="1:13" ht="15" thickBot="1">
      <c r="A34" s="8" t="s">
        <v>370</v>
      </c>
      <c r="B34" s="1">
        <f>3110/0.11256/1000</f>
        <v>27.629708599857857</v>
      </c>
      <c r="C34" s="1" t="s">
        <v>388</v>
      </c>
      <c r="D34" s="2"/>
      <c r="E34" s="27"/>
      <c r="F34" s="8" t="s">
        <v>16</v>
      </c>
      <c r="G34" s="1" t="s">
        <v>362</v>
      </c>
      <c r="H34" s="1">
        <f>H30*100/1000</f>
        <v>0.1</v>
      </c>
      <c r="I34" s="2" t="s">
        <v>363</v>
      </c>
      <c r="J34" s="27"/>
      <c r="K34" s="27"/>
      <c r="L34" s="27"/>
      <c r="M34" s="27"/>
    </row>
    <row r="35" spans="1:13" ht="15" thickBot="1">
      <c r="F35" s="27"/>
      <c r="G35" s="27"/>
      <c r="H35" s="27"/>
      <c r="I35" s="27"/>
      <c r="J35" s="27"/>
      <c r="K35" s="27"/>
      <c r="L35" s="27"/>
      <c r="M35" s="27"/>
    </row>
    <row r="36" spans="1:13">
      <c r="A36" s="10"/>
      <c r="B36" s="15" t="s">
        <v>371</v>
      </c>
      <c r="C36" s="11"/>
      <c r="D36" s="12"/>
      <c r="E36" s="27"/>
      <c r="F36" s="118" t="s">
        <v>366</v>
      </c>
      <c r="G36" s="119"/>
      <c r="H36" s="119"/>
      <c r="I36" s="130"/>
      <c r="J36" s="27"/>
      <c r="K36" s="27"/>
      <c r="L36" s="27"/>
      <c r="M36" s="27"/>
    </row>
    <row r="37" spans="1:13" ht="15" thickBot="1">
      <c r="A37" s="8" t="s">
        <v>361</v>
      </c>
      <c r="B37" s="1">
        <v>21.7</v>
      </c>
      <c r="C37" s="1" t="s">
        <v>372</v>
      </c>
      <c r="D37" s="2" t="s">
        <v>373</v>
      </c>
      <c r="E37" s="27"/>
      <c r="F37" s="6" t="s">
        <v>8</v>
      </c>
      <c r="G37" s="27" t="s">
        <v>369</v>
      </c>
      <c r="H37" s="27">
        <v>1</v>
      </c>
      <c r="I37" s="7" t="s">
        <v>10</v>
      </c>
      <c r="J37" s="27"/>
      <c r="K37" s="27"/>
      <c r="L37" s="27"/>
      <c r="M37" s="27"/>
    </row>
    <row r="38" spans="1:13">
      <c r="A38" s="27"/>
      <c r="B38" s="27"/>
      <c r="C38" s="27"/>
      <c r="D38" s="27"/>
      <c r="E38" s="27"/>
      <c r="F38" s="6" t="s">
        <v>8</v>
      </c>
      <c r="G38" s="27" t="s">
        <v>359</v>
      </c>
      <c r="H38" s="27">
        <f>(B27-B$37)*0.6</f>
        <v>11.333399999999999</v>
      </c>
      <c r="I38" s="7" t="s">
        <v>14</v>
      </c>
      <c r="J38" s="27"/>
      <c r="K38" s="27"/>
      <c r="L38" s="27"/>
      <c r="M38" s="27"/>
    </row>
    <row r="39" spans="1:13">
      <c r="E39" s="27"/>
      <c r="F39" s="6" t="s">
        <v>20</v>
      </c>
      <c r="G39" s="27" t="s">
        <v>361</v>
      </c>
      <c r="H39" s="27">
        <v>1</v>
      </c>
      <c r="I39" s="7" t="s">
        <v>10</v>
      </c>
      <c r="J39" s="27"/>
      <c r="K39" s="27"/>
      <c r="L39" s="27"/>
      <c r="M39" s="27"/>
    </row>
    <row r="40" spans="1:13">
      <c r="E40" s="27"/>
      <c r="F40" s="116" t="s">
        <v>101</v>
      </c>
      <c r="G40" s="117"/>
      <c r="H40" s="117"/>
      <c r="I40" s="142"/>
      <c r="J40" s="27"/>
      <c r="K40" s="27"/>
      <c r="L40" s="27"/>
      <c r="M40" s="27"/>
    </row>
    <row r="41" spans="1:13" ht="15" thickBot="1">
      <c r="A41" s="27"/>
      <c r="B41" s="27"/>
      <c r="C41" s="27"/>
      <c r="D41" s="27"/>
      <c r="E41" s="27"/>
      <c r="F41" s="8" t="s">
        <v>16</v>
      </c>
      <c r="G41" s="1" t="s">
        <v>362</v>
      </c>
      <c r="H41" s="1">
        <f>H37*100/1000</f>
        <v>0.1</v>
      </c>
      <c r="I41" s="2" t="s">
        <v>363</v>
      </c>
      <c r="J41" s="27"/>
      <c r="K41" s="27"/>
      <c r="L41" s="27"/>
      <c r="M41" s="27"/>
    </row>
    <row r="42" spans="1:13" ht="15" thickBot="1">
      <c r="A42" s="27"/>
      <c r="B42" s="28"/>
      <c r="C42" s="27"/>
      <c r="D42" s="28"/>
      <c r="E42" s="27"/>
      <c r="J42" s="27"/>
      <c r="K42" s="27"/>
      <c r="L42" s="27"/>
      <c r="M42" s="27"/>
    </row>
    <row r="43" spans="1:13">
      <c r="A43" s="28"/>
      <c r="B43" s="28"/>
      <c r="C43" s="28"/>
      <c r="D43" s="27"/>
      <c r="E43" s="27"/>
      <c r="F43" s="118" t="s">
        <v>60</v>
      </c>
      <c r="G43" s="119"/>
      <c r="H43" s="119"/>
      <c r="I43" s="130"/>
      <c r="J43" s="27"/>
      <c r="K43" s="27"/>
      <c r="L43" s="27"/>
      <c r="M43" s="27"/>
    </row>
    <row r="44" spans="1:13">
      <c r="A44" s="27"/>
      <c r="B44" s="27"/>
      <c r="C44" s="27"/>
      <c r="D44" s="27"/>
      <c r="E44" s="27"/>
      <c r="F44" s="6" t="s">
        <v>8</v>
      </c>
      <c r="G44" s="27" t="s">
        <v>374</v>
      </c>
      <c r="H44" s="27">
        <v>1</v>
      </c>
      <c r="I44" s="7" t="s">
        <v>10</v>
      </c>
      <c r="J44" s="27"/>
      <c r="K44" s="27"/>
      <c r="L44" s="27"/>
      <c r="M44" s="27"/>
    </row>
    <row r="45" spans="1:13">
      <c r="A45" s="27"/>
      <c r="B45" s="27"/>
      <c r="C45" s="27"/>
      <c r="D45" s="27"/>
      <c r="E45" s="27"/>
      <c r="F45" s="6" t="s">
        <v>8</v>
      </c>
      <c r="G45" s="27" t="s">
        <v>359</v>
      </c>
      <c r="H45" s="27">
        <f>(B25-B$37)*0.6</f>
        <v>5.2481999999999998</v>
      </c>
      <c r="I45" s="7" t="s">
        <v>14</v>
      </c>
      <c r="J45" s="27"/>
      <c r="K45" s="27"/>
      <c r="L45" s="27"/>
      <c r="M45" s="27"/>
    </row>
    <row r="46" spans="1:13">
      <c r="A46" s="27"/>
      <c r="B46" s="27"/>
      <c r="C46" s="27"/>
      <c r="D46" s="27"/>
      <c r="E46" s="27"/>
      <c r="F46" s="6" t="s">
        <v>20</v>
      </c>
      <c r="G46" s="27" t="s">
        <v>361</v>
      </c>
      <c r="H46" s="27">
        <v>1</v>
      </c>
      <c r="I46" s="7" t="s">
        <v>10</v>
      </c>
      <c r="J46" s="27"/>
      <c r="K46" s="27"/>
      <c r="L46" s="27"/>
      <c r="M46" s="27"/>
    </row>
    <row r="47" spans="1:13">
      <c r="A47" s="27"/>
      <c r="B47" s="27"/>
      <c r="C47" s="27"/>
      <c r="D47" s="27"/>
      <c r="E47" s="27"/>
      <c r="F47" s="116" t="s">
        <v>101</v>
      </c>
      <c r="G47" s="117"/>
      <c r="H47" s="117"/>
      <c r="I47" s="142"/>
      <c r="J47" s="27"/>
      <c r="K47" s="27"/>
      <c r="L47" s="27"/>
      <c r="M47" s="27"/>
    </row>
    <row r="48" spans="1:13" ht="15" thickBot="1">
      <c r="A48" s="27"/>
      <c r="B48" s="27"/>
      <c r="C48" s="27"/>
      <c r="D48" s="27"/>
      <c r="E48" s="27"/>
      <c r="F48" s="8" t="s">
        <v>16</v>
      </c>
      <c r="G48" s="1" t="s">
        <v>362</v>
      </c>
      <c r="H48" s="1">
        <f>H44*100/1000</f>
        <v>0.1</v>
      </c>
      <c r="I48" s="2" t="s">
        <v>363</v>
      </c>
      <c r="J48" s="27"/>
      <c r="K48" s="27"/>
      <c r="L48" s="27"/>
      <c r="M48" s="27"/>
    </row>
    <row r="49" spans="1:17" ht="15" thickBot="1">
      <c r="A49" s="27"/>
      <c r="B49" s="27"/>
      <c r="C49" s="27"/>
      <c r="D49" s="27"/>
      <c r="E49" s="27"/>
      <c r="J49" s="27"/>
      <c r="K49" s="27"/>
      <c r="L49" s="27"/>
      <c r="M49" s="27"/>
    </row>
    <row r="50" spans="1:17">
      <c r="A50" s="27"/>
      <c r="B50" s="27"/>
      <c r="C50" s="27"/>
      <c r="D50" s="27"/>
      <c r="E50" s="27"/>
      <c r="F50" s="118" t="s">
        <v>375</v>
      </c>
      <c r="G50" s="119"/>
      <c r="H50" s="119"/>
      <c r="I50" s="130"/>
      <c r="J50" s="27"/>
      <c r="K50" s="27"/>
      <c r="L50" s="27"/>
      <c r="M50" s="27"/>
    </row>
    <row r="51" spans="1:17">
      <c r="A51" s="27"/>
      <c r="B51" s="27"/>
      <c r="C51" s="27"/>
      <c r="D51" s="27"/>
      <c r="E51" s="27"/>
      <c r="F51" s="6" t="s">
        <v>8</v>
      </c>
      <c r="G51" s="27" t="s">
        <v>376</v>
      </c>
      <c r="H51" s="27">
        <v>1</v>
      </c>
      <c r="I51" s="7" t="s">
        <v>10</v>
      </c>
      <c r="J51" s="27"/>
      <c r="K51" s="27"/>
      <c r="L51" s="27"/>
      <c r="M51" s="27"/>
    </row>
    <row r="52" spans="1:17">
      <c r="A52" s="24"/>
      <c r="B52" s="24"/>
      <c r="C52" s="24"/>
      <c r="D52" s="24"/>
      <c r="E52" s="24"/>
      <c r="F52" s="6" t="s">
        <v>8</v>
      </c>
      <c r="G52" s="27" t="s">
        <v>359</v>
      </c>
      <c r="H52" s="27">
        <f>(B26-B$37)*0.6</f>
        <v>-0.35760000000000003</v>
      </c>
      <c r="I52" s="7" t="s">
        <v>14</v>
      </c>
      <c r="J52" s="27"/>
      <c r="K52" s="27"/>
      <c r="L52" s="27"/>
      <c r="M52" s="27"/>
      <c r="P52" s="26"/>
      <c r="Q52" s="26"/>
    </row>
    <row r="53" spans="1:17">
      <c r="A53" s="24"/>
      <c r="B53" s="24"/>
      <c r="C53" s="24"/>
      <c r="D53" s="24"/>
      <c r="E53" s="24"/>
      <c r="F53" s="6" t="s">
        <v>20</v>
      </c>
      <c r="G53" s="27" t="s">
        <v>361</v>
      </c>
      <c r="H53" s="27">
        <v>1</v>
      </c>
      <c r="I53" s="7" t="s">
        <v>10</v>
      </c>
      <c r="J53" s="24"/>
      <c r="K53" s="24"/>
      <c r="L53" s="24"/>
      <c r="M53" s="24"/>
      <c r="N53" s="26"/>
      <c r="O53" s="26"/>
      <c r="P53" s="26"/>
      <c r="Q53" s="26"/>
    </row>
    <row r="54" spans="1:17">
      <c r="A54" s="26"/>
      <c r="B54" s="26"/>
      <c r="C54" s="26"/>
      <c r="D54" s="26"/>
      <c r="E54" s="26"/>
      <c r="F54" s="116" t="s">
        <v>101</v>
      </c>
      <c r="G54" s="117"/>
      <c r="H54" s="117"/>
      <c r="I54" s="142"/>
      <c r="J54" s="24"/>
      <c r="K54" s="24"/>
      <c r="L54" s="24"/>
      <c r="M54" s="24"/>
      <c r="N54" s="26"/>
      <c r="O54" s="26"/>
      <c r="P54" s="26"/>
      <c r="Q54" s="26"/>
    </row>
    <row r="55" spans="1:17" ht="15" thickBot="1">
      <c r="A55" s="26"/>
      <c r="B55" s="26"/>
      <c r="C55" s="26"/>
      <c r="D55" s="26"/>
      <c r="E55" s="26"/>
      <c r="F55" s="8" t="s">
        <v>16</v>
      </c>
      <c r="G55" s="1" t="s">
        <v>362</v>
      </c>
      <c r="H55" s="1">
        <f>H51*100/1000</f>
        <v>0.1</v>
      </c>
      <c r="I55" s="2" t="s">
        <v>363</v>
      </c>
      <c r="J55" s="24"/>
      <c r="K55" s="24"/>
      <c r="L55" s="24"/>
      <c r="M55" s="24"/>
      <c r="N55" s="26"/>
      <c r="O55" s="26"/>
      <c r="P55" s="26"/>
      <c r="Q55" s="26"/>
    </row>
    <row r="56" spans="1:17" ht="15" thickBot="1">
      <c r="A56" s="26"/>
      <c r="B56" s="26"/>
      <c r="C56" s="26"/>
      <c r="D56" s="26"/>
      <c r="E56" s="26"/>
      <c r="J56" s="24"/>
      <c r="K56" s="24"/>
      <c r="L56" s="24"/>
      <c r="M56" s="24"/>
      <c r="N56" s="26"/>
      <c r="O56" s="26"/>
      <c r="P56" s="26"/>
      <c r="Q56" s="26"/>
    </row>
    <row r="57" spans="1:17">
      <c r="A57" s="26"/>
      <c r="B57" s="26"/>
      <c r="C57" s="26"/>
      <c r="D57" s="26"/>
      <c r="E57" s="26"/>
      <c r="F57" s="118" t="s">
        <v>377</v>
      </c>
      <c r="G57" s="119"/>
      <c r="H57" s="119"/>
      <c r="I57" s="130"/>
      <c r="J57" s="24"/>
      <c r="K57" s="24"/>
      <c r="L57" s="24"/>
      <c r="M57" s="24"/>
      <c r="N57" s="26"/>
      <c r="O57" s="26"/>
      <c r="P57" s="26"/>
      <c r="Q57" s="26"/>
    </row>
    <row r="58" spans="1:17">
      <c r="A58" s="26"/>
      <c r="B58" s="26"/>
      <c r="C58" s="26"/>
      <c r="D58" s="26"/>
      <c r="E58" s="26"/>
      <c r="F58" s="6" t="s">
        <v>8</v>
      </c>
      <c r="G58" s="27" t="s">
        <v>368</v>
      </c>
      <c r="H58" s="27">
        <v>1</v>
      </c>
      <c r="I58" s="7" t="s">
        <v>10</v>
      </c>
      <c r="J58" s="24"/>
      <c r="K58" s="24"/>
      <c r="L58" s="24"/>
      <c r="M58" s="24"/>
      <c r="N58" s="26"/>
      <c r="O58" s="26"/>
      <c r="P58" s="26"/>
      <c r="Q58" s="26"/>
    </row>
    <row r="59" spans="1:17">
      <c r="A59" s="26"/>
      <c r="B59" s="26"/>
      <c r="C59" s="26"/>
      <c r="D59" s="26"/>
      <c r="E59" s="26"/>
      <c r="F59" s="6" t="s">
        <v>8</v>
      </c>
      <c r="G59" s="27" t="s">
        <v>359</v>
      </c>
      <c r="H59" s="27">
        <f>(B33-B$37)*0.6</f>
        <v>-0.21599999999999966</v>
      </c>
      <c r="I59" s="7" t="s">
        <v>14</v>
      </c>
      <c r="J59" s="24"/>
      <c r="K59" s="24"/>
      <c r="L59" s="24"/>
      <c r="M59" s="24"/>
      <c r="N59" s="26"/>
      <c r="O59" s="26"/>
      <c r="P59" s="26"/>
      <c r="Q59" s="26"/>
    </row>
    <row r="60" spans="1:17">
      <c r="A60" s="26"/>
      <c r="B60" s="26"/>
      <c r="C60" s="26"/>
      <c r="D60" s="26"/>
      <c r="E60" s="26"/>
      <c r="F60" s="6" t="s">
        <v>20</v>
      </c>
      <c r="G60" s="27" t="s">
        <v>361</v>
      </c>
      <c r="H60" s="27">
        <v>1</v>
      </c>
      <c r="I60" s="7" t="s">
        <v>10</v>
      </c>
      <c r="J60" s="24"/>
      <c r="K60" s="24"/>
      <c r="L60" s="24"/>
      <c r="M60" s="24"/>
      <c r="N60" s="26"/>
      <c r="O60" s="26"/>
      <c r="P60" s="26"/>
      <c r="Q60" s="26"/>
    </row>
    <row r="61" spans="1:17">
      <c r="A61" s="26"/>
      <c r="B61" s="26"/>
      <c r="C61" s="26"/>
      <c r="D61" s="26"/>
      <c r="E61" s="26"/>
      <c r="F61" s="116" t="s">
        <v>101</v>
      </c>
      <c r="G61" s="117"/>
      <c r="H61" s="117"/>
      <c r="I61" s="142"/>
      <c r="J61" s="24"/>
      <c r="K61" s="24"/>
      <c r="L61" s="24"/>
      <c r="M61" s="24"/>
      <c r="N61" s="26"/>
      <c r="O61" s="26"/>
      <c r="P61" s="26"/>
      <c r="Q61" s="26"/>
    </row>
    <row r="62" spans="1:17" ht="15" thickBot="1">
      <c r="A62" s="26"/>
      <c r="B62" s="26"/>
      <c r="C62" s="26"/>
      <c r="D62" s="26"/>
      <c r="E62" s="26"/>
      <c r="F62" s="8" t="s">
        <v>16</v>
      </c>
      <c r="G62" s="1" t="s">
        <v>362</v>
      </c>
      <c r="H62" s="1">
        <f>H58*100/1000</f>
        <v>0.1</v>
      </c>
      <c r="I62" s="2" t="s">
        <v>363</v>
      </c>
      <c r="J62" s="24"/>
      <c r="K62" s="24"/>
      <c r="L62" s="24"/>
      <c r="M62" s="24"/>
      <c r="N62" s="26"/>
      <c r="O62" s="26"/>
      <c r="P62" s="26"/>
      <c r="Q62" s="26"/>
    </row>
    <row r="63" spans="1:17" ht="15" thickBot="1">
      <c r="A63" s="25"/>
      <c r="B63" s="26"/>
      <c r="C63" s="26"/>
      <c r="D63" s="26"/>
      <c r="E63" s="26"/>
      <c r="J63" s="24"/>
      <c r="K63" s="24"/>
      <c r="L63" s="24"/>
      <c r="M63" s="24"/>
      <c r="N63" s="26"/>
      <c r="O63" s="26"/>
      <c r="P63" s="26"/>
      <c r="Q63" s="26"/>
    </row>
    <row r="64" spans="1:17">
      <c r="A64" s="26"/>
      <c r="B64" s="26"/>
      <c r="C64" s="26"/>
      <c r="D64" s="26"/>
      <c r="E64" s="26"/>
      <c r="F64" s="118" t="s">
        <v>378</v>
      </c>
      <c r="G64" s="119"/>
      <c r="H64" s="119"/>
      <c r="I64" s="130"/>
      <c r="J64" s="24"/>
      <c r="K64" s="24"/>
      <c r="L64" s="24"/>
      <c r="M64" s="24"/>
      <c r="N64" s="26"/>
      <c r="O64" s="26"/>
      <c r="P64" s="26"/>
      <c r="Q64" s="26"/>
    </row>
    <row r="65" spans="1:17">
      <c r="A65" s="26"/>
      <c r="B65" s="26"/>
      <c r="C65" s="26"/>
      <c r="D65" s="26"/>
      <c r="E65" s="26"/>
      <c r="F65" s="6" t="s">
        <v>8</v>
      </c>
      <c r="G65" s="27" t="s">
        <v>379</v>
      </c>
      <c r="H65" s="27">
        <v>1</v>
      </c>
      <c r="I65" s="7" t="s">
        <v>10</v>
      </c>
      <c r="J65" s="24"/>
      <c r="K65" s="24"/>
      <c r="L65" s="24"/>
      <c r="M65" s="24"/>
      <c r="N65" s="26"/>
      <c r="O65" s="26"/>
      <c r="P65" s="26"/>
      <c r="Q65" s="26"/>
    </row>
    <row r="66" spans="1:17">
      <c r="A66" s="26"/>
      <c r="B66" s="26"/>
      <c r="C66" s="26"/>
      <c r="D66" s="26"/>
      <c r="E66" s="26"/>
      <c r="F66" s="6" t="s">
        <v>8</v>
      </c>
      <c r="G66" s="27" t="s">
        <v>359</v>
      </c>
      <c r="H66" s="27">
        <f>(B29-B$37)*0.6</f>
        <v>1.2305948227375338</v>
      </c>
      <c r="I66" s="7" t="s">
        <v>14</v>
      </c>
      <c r="J66" s="24"/>
      <c r="K66" s="24"/>
      <c r="L66" s="24"/>
      <c r="M66" s="24"/>
      <c r="N66" s="26"/>
      <c r="O66" s="26"/>
      <c r="P66" s="26"/>
      <c r="Q66" s="26"/>
    </row>
    <row r="67" spans="1:17">
      <c r="A67" s="26"/>
      <c r="B67" s="26"/>
      <c r="C67" s="26"/>
      <c r="D67" s="26"/>
      <c r="E67" s="26"/>
      <c r="F67" s="6" t="s">
        <v>20</v>
      </c>
      <c r="G67" s="27" t="s">
        <v>380</v>
      </c>
      <c r="H67" s="27">
        <v>1</v>
      </c>
      <c r="I67" s="7" t="s">
        <v>10</v>
      </c>
      <c r="J67" s="24"/>
      <c r="K67" s="24"/>
      <c r="L67" s="24"/>
      <c r="M67" s="24"/>
      <c r="N67" s="26"/>
      <c r="O67" s="26"/>
      <c r="P67" s="26"/>
      <c r="Q67" s="26"/>
    </row>
    <row r="68" spans="1:17">
      <c r="A68" s="26"/>
      <c r="B68" s="26"/>
      <c r="C68" s="26"/>
      <c r="D68" s="26"/>
      <c r="E68" s="26"/>
      <c r="F68" s="116" t="s">
        <v>101</v>
      </c>
      <c r="G68" s="117"/>
      <c r="H68" s="117"/>
      <c r="I68" s="142"/>
      <c r="J68" s="24"/>
      <c r="K68" s="24"/>
      <c r="L68" s="24"/>
      <c r="M68" s="24"/>
      <c r="N68" s="26"/>
      <c r="O68" s="26"/>
      <c r="P68" s="26"/>
      <c r="Q68" s="26"/>
    </row>
    <row r="69" spans="1:17" ht="15" thickBot="1">
      <c r="A69" s="26"/>
      <c r="B69" s="26"/>
      <c r="C69" s="26"/>
      <c r="D69" s="26"/>
      <c r="E69" s="26"/>
      <c r="F69" s="8" t="s">
        <v>16</v>
      </c>
      <c r="G69" s="1" t="s">
        <v>362</v>
      </c>
      <c r="H69" s="1">
        <f>H65*100/1000</f>
        <v>0.1</v>
      </c>
      <c r="I69" s="2" t="s">
        <v>363</v>
      </c>
      <c r="J69" s="24"/>
      <c r="K69" s="24"/>
      <c r="L69" s="24"/>
      <c r="M69" s="24"/>
      <c r="N69" s="26"/>
      <c r="O69" s="26"/>
      <c r="P69" s="26"/>
      <c r="Q69" s="26"/>
    </row>
    <row r="70" spans="1:17" ht="15" thickBot="1">
      <c r="A70" s="26"/>
      <c r="B70" s="26"/>
      <c r="C70" s="26"/>
      <c r="D70" s="26"/>
      <c r="E70" s="26"/>
      <c r="F70" s="27"/>
      <c r="G70" s="27"/>
      <c r="H70" s="27"/>
      <c r="I70" s="27"/>
      <c r="J70" s="24"/>
      <c r="K70" s="24"/>
      <c r="L70" s="24"/>
      <c r="M70" s="24"/>
      <c r="N70" s="26"/>
      <c r="O70" s="26"/>
      <c r="P70" s="26"/>
      <c r="Q70" s="26"/>
    </row>
    <row r="71" spans="1:17">
      <c r="A71" s="26"/>
      <c r="B71" s="26"/>
      <c r="C71" s="26"/>
      <c r="D71" s="26"/>
      <c r="E71" s="26"/>
      <c r="F71" s="118" t="s">
        <v>381</v>
      </c>
      <c r="G71" s="119"/>
      <c r="H71" s="119"/>
      <c r="I71" s="130"/>
      <c r="J71" s="24"/>
      <c r="K71" s="24"/>
      <c r="L71" s="24"/>
      <c r="M71" s="24"/>
      <c r="N71" s="26"/>
      <c r="O71" s="26"/>
      <c r="P71" s="26"/>
      <c r="Q71" s="26"/>
    </row>
    <row r="72" spans="1:17">
      <c r="F72" s="6" t="s">
        <v>8</v>
      </c>
      <c r="G72" s="27" t="s">
        <v>382</v>
      </c>
      <c r="H72" s="27">
        <v>1</v>
      </c>
      <c r="I72" s="7" t="s">
        <v>10</v>
      </c>
      <c r="J72" s="24"/>
      <c r="K72" s="24"/>
      <c r="L72" s="24"/>
      <c r="M72" s="24"/>
      <c r="N72" s="26"/>
      <c r="O72" s="26"/>
    </row>
    <row r="73" spans="1:17">
      <c r="F73" s="6" t="s">
        <v>8</v>
      </c>
      <c r="G73" s="27" t="s">
        <v>359</v>
      </c>
      <c r="H73" s="27">
        <f>(B30-B$37)*0.6</f>
        <v>0.63678106929476641</v>
      </c>
      <c r="I73" s="7" t="s">
        <v>14</v>
      </c>
      <c r="J73" s="27"/>
      <c r="K73" s="27"/>
      <c r="L73" s="27"/>
      <c r="M73" s="27"/>
    </row>
    <row r="74" spans="1:17">
      <c r="F74" s="6" t="s">
        <v>20</v>
      </c>
      <c r="G74" s="27" t="s">
        <v>380</v>
      </c>
      <c r="H74" s="27">
        <v>1</v>
      </c>
      <c r="I74" s="7" t="s">
        <v>10</v>
      </c>
      <c r="J74" s="27"/>
      <c r="K74" s="27"/>
      <c r="L74" s="27"/>
      <c r="M74" s="27"/>
    </row>
    <row r="75" spans="1:17">
      <c r="F75" s="116" t="s">
        <v>101</v>
      </c>
      <c r="G75" s="117"/>
      <c r="H75" s="117"/>
      <c r="I75" s="142"/>
      <c r="J75" s="27"/>
      <c r="K75" s="27"/>
      <c r="L75" s="27"/>
      <c r="M75" s="27"/>
    </row>
    <row r="76" spans="1:17" ht="15" thickBot="1">
      <c r="F76" s="8" t="s">
        <v>16</v>
      </c>
      <c r="G76" s="1" t="s">
        <v>362</v>
      </c>
      <c r="H76" s="1">
        <f>H72*100/1000</f>
        <v>0.1</v>
      </c>
      <c r="I76" s="2" t="s">
        <v>363</v>
      </c>
      <c r="J76" s="27"/>
      <c r="K76" s="27"/>
      <c r="L76" s="27"/>
      <c r="M76" s="27"/>
    </row>
    <row r="77" spans="1:17" ht="15" thickBot="1">
      <c r="E77" s="28"/>
      <c r="J77" s="27"/>
      <c r="K77" s="27"/>
      <c r="L77" s="27"/>
      <c r="M77" s="27"/>
    </row>
    <row r="78" spans="1:17">
      <c r="E78" s="27"/>
      <c r="F78" s="118" t="s">
        <v>383</v>
      </c>
      <c r="G78" s="119"/>
      <c r="H78" s="119"/>
      <c r="I78" s="130"/>
      <c r="J78" s="27"/>
      <c r="K78" s="27"/>
      <c r="L78" s="27"/>
      <c r="M78" s="27"/>
    </row>
    <row r="79" spans="1:17">
      <c r="E79" s="27"/>
      <c r="F79" s="6" t="s">
        <v>8</v>
      </c>
      <c r="G79" s="27" t="s">
        <v>63</v>
      </c>
      <c r="H79" s="27">
        <v>1</v>
      </c>
      <c r="I79" s="7" t="s">
        <v>10</v>
      </c>
      <c r="J79" s="27"/>
      <c r="K79" s="27"/>
      <c r="L79" s="27"/>
      <c r="M79" s="27"/>
    </row>
    <row r="80" spans="1:17">
      <c r="E80" s="27"/>
      <c r="F80" s="6" t="s">
        <v>8</v>
      </c>
      <c r="G80" s="27" t="s">
        <v>359</v>
      </c>
      <c r="H80" s="27">
        <f>(B31-B$37)*0.6</f>
        <v>11.082000000000001</v>
      </c>
      <c r="I80" s="7" t="s">
        <v>14</v>
      </c>
      <c r="J80" s="27"/>
      <c r="K80" s="27"/>
      <c r="L80" s="27"/>
      <c r="M80" s="27"/>
    </row>
    <row r="81" spans="5:13">
      <c r="E81" s="27"/>
      <c r="F81" s="6" t="s">
        <v>20</v>
      </c>
      <c r="G81" s="27" t="s">
        <v>380</v>
      </c>
      <c r="H81" s="27">
        <v>1</v>
      </c>
      <c r="I81" s="7" t="s">
        <v>10</v>
      </c>
      <c r="J81" s="27"/>
      <c r="K81" s="27"/>
      <c r="L81" s="27"/>
      <c r="M81" s="27"/>
    </row>
    <row r="82" spans="5:13">
      <c r="E82" s="27"/>
      <c r="F82" s="116" t="s">
        <v>101</v>
      </c>
      <c r="G82" s="117"/>
      <c r="H82" s="117"/>
      <c r="I82" s="142"/>
      <c r="J82" s="27"/>
      <c r="K82" s="27"/>
      <c r="L82" s="27"/>
      <c r="M82" s="27"/>
    </row>
    <row r="83" spans="5:13" ht="15" thickBot="1">
      <c r="E83" s="27"/>
      <c r="F83" s="8" t="s">
        <v>16</v>
      </c>
      <c r="G83" s="1" t="s">
        <v>362</v>
      </c>
      <c r="H83" s="1">
        <f>H79*100/1000</f>
        <v>0.1</v>
      </c>
      <c r="I83" s="2" t="s">
        <v>363</v>
      </c>
      <c r="J83" s="27"/>
      <c r="K83" s="27"/>
      <c r="L83" s="27"/>
      <c r="M83" s="27"/>
    </row>
    <row r="84" spans="5:13" ht="15" thickBot="1">
      <c r="E84" s="27"/>
      <c r="J84" s="27"/>
      <c r="K84" s="27"/>
      <c r="L84" s="27"/>
      <c r="M84" s="27"/>
    </row>
    <row r="85" spans="5:13">
      <c r="E85" s="27"/>
      <c r="F85" s="118" t="s">
        <v>270</v>
      </c>
      <c r="G85" s="119"/>
      <c r="H85" s="119"/>
      <c r="I85" s="130"/>
      <c r="J85" s="27"/>
      <c r="K85" s="27"/>
      <c r="L85" s="27"/>
      <c r="M85" s="27"/>
    </row>
    <row r="86" spans="5:13">
      <c r="E86" s="27"/>
      <c r="F86" s="6" t="s">
        <v>8</v>
      </c>
      <c r="G86" s="27" t="s">
        <v>384</v>
      </c>
      <c r="H86" s="27">
        <v>1</v>
      </c>
      <c r="I86" s="7" t="s">
        <v>10</v>
      </c>
      <c r="J86" s="27"/>
      <c r="K86" s="27"/>
      <c r="L86" s="27"/>
      <c r="M86" s="27"/>
    </row>
    <row r="87" spans="5:13">
      <c r="E87" s="27"/>
      <c r="F87" s="6" t="s">
        <v>8</v>
      </c>
      <c r="G87" s="27" t="s">
        <v>359</v>
      </c>
      <c r="H87" s="27">
        <f>(B32-B$37)*0.6</f>
        <v>7.6199999999999992</v>
      </c>
      <c r="I87" s="7" t="s">
        <v>14</v>
      </c>
      <c r="J87" s="27"/>
      <c r="K87" s="27"/>
      <c r="L87" s="27"/>
      <c r="M87" s="27"/>
    </row>
    <row r="88" spans="5:13">
      <c r="E88" s="27"/>
      <c r="F88" s="6" t="s">
        <v>20</v>
      </c>
      <c r="G88" s="27" t="s">
        <v>380</v>
      </c>
      <c r="H88" s="27">
        <v>1</v>
      </c>
      <c r="I88" s="7" t="s">
        <v>10</v>
      </c>
      <c r="J88" s="27"/>
      <c r="K88" s="27"/>
      <c r="L88" s="27"/>
      <c r="M88" s="27"/>
    </row>
    <row r="89" spans="5:13">
      <c r="E89" s="27"/>
      <c r="F89" s="116" t="s">
        <v>101</v>
      </c>
      <c r="G89" s="117"/>
      <c r="H89" s="117"/>
      <c r="I89" s="142"/>
      <c r="J89" s="27"/>
      <c r="K89" s="27"/>
      <c r="L89" s="27"/>
      <c r="M89" s="27"/>
    </row>
    <row r="90" spans="5:13" ht="15" thickBot="1">
      <c r="E90" s="27"/>
      <c r="F90" s="8" t="s">
        <v>16</v>
      </c>
      <c r="G90" s="1" t="s">
        <v>362</v>
      </c>
      <c r="H90" s="1">
        <f>H86*100/1000</f>
        <v>0.1</v>
      </c>
      <c r="I90" s="2" t="s">
        <v>363</v>
      </c>
      <c r="J90" s="27"/>
      <c r="K90" s="27"/>
      <c r="L90" s="27"/>
      <c r="M90" s="27"/>
    </row>
    <row r="91" spans="5:13" ht="15" thickBot="1">
      <c r="E91" s="27"/>
      <c r="F91" s="27"/>
      <c r="G91" s="27"/>
      <c r="H91" s="27"/>
      <c r="I91" s="27"/>
      <c r="J91" s="27"/>
      <c r="K91" s="27"/>
      <c r="L91" s="27"/>
      <c r="M91" s="27"/>
    </row>
    <row r="92" spans="5:13">
      <c r="E92" s="27"/>
      <c r="F92" s="118" t="s">
        <v>385</v>
      </c>
      <c r="G92" s="119"/>
      <c r="H92" s="119"/>
      <c r="I92" s="130"/>
      <c r="J92" s="27"/>
      <c r="K92" s="27"/>
      <c r="L92" s="27"/>
      <c r="M92" s="27"/>
    </row>
    <row r="93" spans="5:13">
      <c r="E93" s="27"/>
      <c r="F93" s="6" t="s">
        <v>8</v>
      </c>
      <c r="G93" s="27" t="s">
        <v>385</v>
      </c>
      <c r="H93" s="27">
        <v>1</v>
      </c>
      <c r="I93" s="7" t="s">
        <v>10</v>
      </c>
      <c r="J93" s="27"/>
      <c r="K93" s="27"/>
      <c r="L93" s="27"/>
      <c r="M93" s="27"/>
    </row>
    <row r="94" spans="5:13">
      <c r="E94" s="27"/>
      <c r="F94" s="6" t="s">
        <v>8</v>
      </c>
      <c r="G94" s="27" t="s">
        <v>359</v>
      </c>
      <c r="H94" s="27">
        <f>(B28-B$37)*0.6</f>
        <v>4.1087999999999996</v>
      </c>
      <c r="I94" s="7" t="s">
        <v>14</v>
      </c>
      <c r="J94" s="27"/>
      <c r="K94" s="27"/>
      <c r="L94" s="27"/>
      <c r="M94" s="27"/>
    </row>
    <row r="95" spans="5:13">
      <c r="E95" s="27"/>
      <c r="F95" s="6" t="s">
        <v>20</v>
      </c>
      <c r="G95" s="27" t="s">
        <v>380</v>
      </c>
      <c r="H95" s="27">
        <v>1</v>
      </c>
      <c r="I95" s="7" t="s">
        <v>10</v>
      </c>
      <c r="J95" s="27"/>
      <c r="K95" s="27"/>
      <c r="L95" s="27"/>
      <c r="M95" s="27"/>
    </row>
    <row r="96" spans="5:13">
      <c r="E96" s="27"/>
      <c r="F96" s="116" t="s">
        <v>101</v>
      </c>
      <c r="G96" s="117"/>
      <c r="H96" s="117"/>
      <c r="I96" s="142"/>
      <c r="J96" s="27"/>
      <c r="K96" s="27"/>
      <c r="L96" s="27"/>
      <c r="M96" s="27"/>
    </row>
    <row r="97" spans="1:13" ht="15" thickBot="1">
      <c r="E97" s="27"/>
      <c r="F97" s="8" t="s">
        <v>16</v>
      </c>
      <c r="G97" s="1" t="s">
        <v>362</v>
      </c>
      <c r="H97" s="1">
        <f>H93*100/1000</f>
        <v>0.1</v>
      </c>
      <c r="I97" s="2" t="s">
        <v>363</v>
      </c>
      <c r="J97" s="27"/>
      <c r="K97" s="27"/>
      <c r="L97" s="27"/>
      <c r="M97" s="27"/>
    </row>
    <row r="98" spans="1:13" ht="15" thickBot="1">
      <c r="E98" s="27"/>
      <c r="J98" s="27"/>
      <c r="K98" s="27"/>
      <c r="L98" s="27"/>
      <c r="M98" s="27"/>
    </row>
    <row r="99" spans="1:13">
      <c r="E99" s="27"/>
      <c r="F99" s="118" t="s">
        <v>370</v>
      </c>
      <c r="G99" s="119"/>
      <c r="H99" s="119"/>
      <c r="I99" s="130"/>
      <c r="J99" s="27"/>
      <c r="K99" s="27"/>
      <c r="L99" s="27"/>
      <c r="M99" s="27"/>
    </row>
    <row r="100" spans="1:13">
      <c r="E100" s="27"/>
      <c r="F100" s="6" t="s">
        <v>8</v>
      </c>
      <c r="G100" s="27" t="s">
        <v>386</v>
      </c>
      <c r="H100" s="27">
        <v>1</v>
      </c>
      <c r="I100" s="7" t="s">
        <v>10</v>
      </c>
      <c r="J100" s="27"/>
      <c r="K100" s="27"/>
      <c r="L100" s="27"/>
      <c r="M100" s="27"/>
    </row>
    <row r="101" spans="1:13">
      <c r="E101" s="27"/>
      <c r="F101" s="6" t="s">
        <v>8</v>
      </c>
      <c r="G101" s="27" t="s">
        <v>359</v>
      </c>
      <c r="H101" s="27">
        <f>(B34-B$37)*0.6</f>
        <v>3.5578251599147142</v>
      </c>
      <c r="I101" s="7" t="s">
        <v>14</v>
      </c>
      <c r="J101" s="27"/>
      <c r="K101" s="27"/>
      <c r="L101" s="27"/>
      <c r="M101" s="27"/>
    </row>
    <row r="102" spans="1:13">
      <c r="E102" s="27"/>
      <c r="F102" s="6" t="s">
        <v>20</v>
      </c>
      <c r="G102" s="27" t="s">
        <v>380</v>
      </c>
      <c r="H102" s="27">
        <v>1</v>
      </c>
      <c r="I102" s="7" t="s">
        <v>10</v>
      </c>
      <c r="J102" s="27"/>
      <c r="K102" s="27"/>
      <c r="L102" s="27"/>
      <c r="M102" s="27"/>
    </row>
    <row r="103" spans="1:13">
      <c r="E103" s="27"/>
      <c r="F103" s="116" t="s">
        <v>101</v>
      </c>
      <c r="G103" s="117"/>
      <c r="H103" s="117"/>
      <c r="I103" s="142"/>
      <c r="J103" s="27"/>
      <c r="K103" s="27"/>
      <c r="L103" s="27"/>
      <c r="M103" s="27"/>
    </row>
    <row r="104" spans="1:13" ht="15" thickBot="1">
      <c r="E104" s="27"/>
      <c r="F104" s="8" t="s">
        <v>16</v>
      </c>
      <c r="G104" s="1" t="s">
        <v>362</v>
      </c>
      <c r="H104" s="1">
        <f>H100*100/1000</f>
        <v>0.1</v>
      </c>
      <c r="I104" s="2" t="s">
        <v>363</v>
      </c>
      <c r="J104" s="27"/>
      <c r="K104" s="27"/>
      <c r="L104" s="27"/>
      <c r="M104" s="27"/>
    </row>
    <row r="105" spans="1:13">
      <c r="E105" s="27"/>
      <c r="J105" s="27"/>
      <c r="K105" s="27"/>
      <c r="L105" s="27"/>
      <c r="M105" s="27"/>
    </row>
    <row r="106" spans="1:13" s="30" customFormat="1" ht="15" thickBot="1">
      <c r="A106" s="31" t="s">
        <v>542</v>
      </c>
    </row>
    <row r="107" spans="1:13">
      <c r="A107" s="10"/>
      <c r="B107" s="11" t="s">
        <v>547</v>
      </c>
      <c r="C107" s="11" t="s">
        <v>548</v>
      </c>
      <c r="D107" s="11" t="s">
        <v>5</v>
      </c>
      <c r="E107" s="11"/>
      <c r="F107" s="12"/>
      <c r="J107" s="27"/>
      <c r="K107" s="27"/>
      <c r="L107" s="27"/>
      <c r="M107" s="27"/>
    </row>
    <row r="108" spans="1:13">
      <c r="A108" s="6" t="s">
        <v>537</v>
      </c>
      <c r="B108" s="27">
        <v>158.97</v>
      </c>
      <c r="C108" s="27">
        <v>1</v>
      </c>
      <c r="D108" s="43" t="s">
        <v>550</v>
      </c>
      <c r="E108" s="27"/>
      <c r="F108" s="7"/>
      <c r="J108" s="27"/>
      <c r="K108" s="27"/>
      <c r="L108" s="27"/>
      <c r="M108" s="27"/>
    </row>
    <row r="109" spans="1:13">
      <c r="A109" s="6" t="s">
        <v>148</v>
      </c>
      <c r="B109" s="27">
        <v>461.01</v>
      </c>
      <c r="C109" s="27">
        <v>6.1</v>
      </c>
      <c r="D109" s="43" t="s">
        <v>550</v>
      </c>
      <c r="E109" s="27"/>
      <c r="F109" s="7"/>
      <c r="J109" s="27"/>
      <c r="K109" s="27"/>
      <c r="L109" s="27"/>
      <c r="M109" s="27"/>
    </row>
    <row r="110" spans="1:13">
      <c r="A110" s="6" t="s">
        <v>549</v>
      </c>
      <c r="B110" s="27">
        <f>B109+B108</f>
        <v>619.98</v>
      </c>
      <c r="C110" s="27">
        <v>4.16</v>
      </c>
      <c r="D110" s="43" t="s">
        <v>551</v>
      </c>
      <c r="E110" s="27"/>
      <c r="F110" s="7"/>
      <c r="G110" s="27"/>
      <c r="H110" s="27"/>
      <c r="I110" s="27"/>
      <c r="J110" s="27"/>
      <c r="K110" s="27"/>
      <c r="L110" s="27"/>
      <c r="M110" s="27"/>
    </row>
    <row r="111" spans="1:13">
      <c r="A111" s="6" t="s">
        <v>301</v>
      </c>
      <c r="B111" s="27">
        <v>78.13</v>
      </c>
      <c r="C111" s="27">
        <v>1.1004</v>
      </c>
      <c r="D111" s="27" t="s">
        <v>297</v>
      </c>
      <c r="E111" s="27"/>
      <c r="F111" s="7"/>
      <c r="G111" s="27"/>
      <c r="H111" s="27"/>
      <c r="I111" s="27"/>
      <c r="J111" s="27"/>
      <c r="K111" s="27"/>
      <c r="L111" s="27"/>
      <c r="M111" s="27"/>
    </row>
    <row r="112" spans="1:13" ht="15" thickBot="1">
      <c r="A112" s="8" t="s">
        <v>300</v>
      </c>
      <c r="B112" s="1">
        <v>73.09</v>
      </c>
      <c r="C112" s="1">
        <v>0.94399999999999995</v>
      </c>
      <c r="D112" s="1" t="s">
        <v>388</v>
      </c>
      <c r="E112" s="1"/>
      <c r="F112" s="2"/>
      <c r="H112" s="27"/>
      <c r="I112" s="27"/>
      <c r="J112" s="27"/>
      <c r="K112" s="27"/>
      <c r="L112" s="27"/>
      <c r="M112" s="27"/>
    </row>
    <row r="113" spans="1:13" ht="15" thickBot="1">
      <c r="E113" s="27"/>
      <c r="H113" s="27"/>
      <c r="I113" s="27"/>
      <c r="J113" s="27"/>
      <c r="K113" s="27"/>
      <c r="L113" s="27"/>
      <c r="M113" s="27"/>
    </row>
    <row r="114" spans="1:13">
      <c r="A114" s="51" t="s">
        <v>543</v>
      </c>
      <c r="B114" s="11"/>
      <c r="C114" s="44" t="s">
        <v>544</v>
      </c>
      <c r="D114" s="44"/>
      <c r="E114" s="44" t="s">
        <v>545</v>
      </c>
      <c r="F114" s="44"/>
      <c r="G114" s="71" t="s">
        <v>546</v>
      </c>
      <c r="H114" s="27"/>
      <c r="I114" s="27"/>
      <c r="J114" s="27"/>
      <c r="K114" s="27"/>
      <c r="L114" s="27"/>
      <c r="M114" s="27"/>
    </row>
    <row r="115" spans="1:13">
      <c r="A115" s="13" t="s">
        <v>300</v>
      </c>
      <c r="B115" s="28" t="s">
        <v>301</v>
      </c>
      <c r="C115" s="28" t="s">
        <v>300</v>
      </c>
      <c r="D115" s="28" t="s">
        <v>301</v>
      </c>
      <c r="E115" s="28" t="s">
        <v>300</v>
      </c>
      <c r="F115" s="28" t="s">
        <v>301</v>
      </c>
      <c r="G115" s="7"/>
      <c r="H115" s="27"/>
      <c r="I115" s="27"/>
      <c r="J115" s="27"/>
      <c r="K115" s="27"/>
      <c r="L115" s="27"/>
      <c r="M115" s="27"/>
    </row>
    <row r="116" spans="1:13" ht="15" thickBot="1">
      <c r="A116" s="8">
        <v>0.7</v>
      </c>
      <c r="B116" s="1">
        <v>0.3</v>
      </c>
      <c r="C116" s="1">
        <f>A116*$B$112/($B$112*A116*B116*$B$111)</f>
        <v>4.2663936174751484E-2</v>
      </c>
      <c r="D116" s="1">
        <f>1-C116</f>
        <v>0.9573360638252485</v>
      </c>
      <c r="E116" s="1">
        <f>B112*A116/C112/(B112*A116/C112+B111*B116/C111)</f>
        <v>0.71786952186829156</v>
      </c>
      <c r="F116" s="1">
        <f>1-E116</f>
        <v>0.28213047813170844</v>
      </c>
      <c r="G116" s="2">
        <f>E116*C112+F116*C111</f>
        <v>0.9881252067797992</v>
      </c>
      <c r="H116" s="27"/>
      <c r="I116" s="27"/>
      <c r="J116" s="27"/>
      <c r="K116" s="27"/>
      <c r="L116" s="27"/>
      <c r="M116" s="27"/>
    </row>
    <row r="117" spans="1:13">
      <c r="H117" s="27"/>
      <c r="I117" s="27"/>
      <c r="J117" s="27"/>
      <c r="K117" s="27"/>
      <c r="L117" s="27"/>
      <c r="M117" s="27"/>
    </row>
    <row r="118" spans="1:13">
      <c r="E118" s="27"/>
      <c r="F118" s="27"/>
      <c r="G118" s="27"/>
      <c r="H118" s="27"/>
      <c r="I118" s="27"/>
      <c r="J118" s="27"/>
      <c r="K118" s="27"/>
      <c r="L118" s="27"/>
      <c r="M118" s="27"/>
    </row>
    <row r="119" spans="1:13">
      <c r="E119" s="27"/>
      <c r="F119" s="27"/>
      <c r="G119" s="27"/>
      <c r="H119" s="27"/>
      <c r="I119" s="27"/>
      <c r="J119" s="27"/>
      <c r="K119" s="27"/>
      <c r="L119" s="27"/>
      <c r="M119" s="27"/>
    </row>
    <row r="120" spans="1:13">
      <c r="E120" s="27"/>
      <c r="F120" s="27"/>
      <c r="G120" s="27"/>
      <c r="H120" s="27"/>
      <c r="I120" s="27"/>
      <c r="J120" s="27"/>
      <c r="K120" s="27"/>
      <c r="L120" s="27"/>
      <c r="M120" s="27"/>
    </row>
    <row r="121" spans="1:13">
      <c r="E121" s="27"/>
      <c r="F121" s="27"/>
      <c r="G121" s="27"/>
      <c r="H121" s="27"/>
      <c r="I121" s="27"/>
      <c r="J121" s="27"/>
      <c r="K121" s="27"/>
      <c r="L121" s="27"/>
      <c r="M121" s="27"/>
    </row>
    <row r="122" spans="1:13">
      <c r="E122" s="27"/>
      <c r="F122" s="27"/>
      <c r="G122" s="27"/>
      <c r="H122" s="27"/>
      <c r="I122" s="27"/>
      <c r="J122" s="27"/>
      <c r="K122" s="27"/>
      <c r="L122" s="27"/>
      <c r="M122" s="27"/>
    </row>
    <row r="123" spans="1:13">
      <c r="E123" s="27"/>
      <c r="F123" s="27"/>
      <c r="G123" s="27"/>
      <c r="H123" s="27"/>
      <c r="I123" s="27"/>
      <c r="J123" s="27"/>
      <c r="K123" s="27"/>
      <c r="L123" s="27"/>
      <c r="M123" s="27"/>
    </row>
    <row r="124" spans="1:13">
      <c r="E124" s="27"/>
      <c r="F124" s="27"/>
      <c r="G124" s="27"/>
      <c r="H124" s="27"/>
      <c r="I124" s="27"/>
      <c r="J124" s="27"/>
      <c r="K124" s="27"/>
      <c r="L124" s="27"/>
      <c r="M124" s="27"/>
    </row>
    <row r="125" spans="1:13">
      <c r="E125" s="27"/>
      <c r="F125" s="27"/>
      <c r="G125" s="27"/>
      <c r="H125" s="27"/>
      <c r="I125" s="27"/>
      <c r="J125" s="27"/>
      <c r="K125" s="27"/>
      <c r="L125" s="27"/>
      <c r="M125" s="27"/>
    </row>
    <row r="126" spans="1:13">
      <c r="E126" s="27"/>
      <c r="F126" s="27"/>
      <c r="G126" s="27"/>
      <c r="H126" s="27"/>
      <c r="I126" s="27"/>
      <c r="J126" s="27"/>
      <c r="K126" s="27"/>
      <c r="L126" s="27"/>
      <c r="M126" s="27"/>
    </row>
    <row r="127" spans="1:13">
      <c r="E127" s="27"/>
      <c r="F127" s="27"/>
      <c r="G127" s="27"/>
      <c r="H127" s="27"/>
      <c r="I127" s="27"/>
      <c r="J127" s="27"/>
      <c r="K127" s="27"/>
      <c r="L127" s="27"/>
      <c r="M127" s="27"/>
    </row>
    <row r="128" spans="1:13">
      <c r="E128" s="27"/>
      <c r="F128" s="27"/>
      <c r="G128" s="27"/>
      <c r="H128" s="27"/>
      <c r="I128" s="27"/>
      <c r="J128" s="27"/>
      <c r="K128" s="27"/>
      <c r="L128" s="27"/>
      <c r="M128" s="27"/>
    </row>
    <row r="129" spans="5:13">
      <c r="E129" s="27"/>
      <c r="F129" s="27"/>
      <c r="G129" s="27"/>
      <c r="H129" s="27"/>
      <c r="I129" s="27"/>
      <c r="J129" s="27"/>
      <c r="K129" s="27"/>
      <c r="L129" s="27"/>
      <c r="M129" s="27"/>
    </row>
    <row r="130" spans="5:13">
      <c r="E130" s="27"/>
      <c r="F130" s="27"/>
      <c r="G130" s="27"/>
      <c r="H130" s="27"/>
      <c r="I130" s="27"/>
      <c r="J130" s="27"/>
      <c r="K130" s="27"/>
      <c r="L130" s="27"/>
      <c r="M130" s="27"/>
    </row>
    <row r="131" spans="5:13">
      <c r="E131" s="27"/>
      <c r="F131" s="27"/>
      <c r="G131" s="27"/>
      <c r="H131" s="27"/>
      <c r="I131" s="27"/>
      <c r="J131" s="27"/>
      <c r="K131" s="27"/>
      <c r="L131" s="27"/>
      <c r="M131" s="27"/>
    </row>
    <row r="132" spans="5:13">
      <c r="E132" s="27"/>
      <c r="F132" s="27"/>
      <c r="G132" s="27"/>
      <c r="H132" s="27"/>
      <c r="I132" s="27"/>
      <c r="J132" s="27"/>
      <c r="K132" s="27"/>
      <c r="L132" s="27"/>
      <c r="M132" s="27"/>
    </row>
    <row r="133" spans="5:13">
      <c r="E133" s="27"/>
      <c r="F133" s="27"/>
      <c r="G133" s="27"/>
      <c r="H133" s="27"/>
      <c r="I133" s="27"/>
      <c r="J133" s="27"/>
      <c r="K133" s="27"/>
      <c r="L133" s="27"/>
      <c r="M133" s="27"/>
    </row>
    <row r="134" spans="5:13">
      <c r="E134" s="27"/>
      <c r="F134" s="27"/>
      <c r="G134" s="27"/>
      <c r="H134" s="27"/>
      <c r="I134" s="27"/>
      <c r="J134" s="27"/>
      <c r="K134" s="27"/>
      <c r="L134" s="27"/>
      <c r="M134" s="27"/>
    </row>
    <row r="135" spans="5:13">
      <c r="E135" s="27"/>
      <c r="F135" s="27"/>
      <c r="G135" s="27"/>
      <c r="H135" s="27"/>
      <c r="I135" s="27"/>
      <c r="J135" s="27"/>
      <c r="K135" s="27"/>
      <c r="L135" s="27"/>
      <c r="M135" s="27"/>
    </row>
    <row r="136" spans="5:13">
      <c r="E136" s="27"/>
      <c r="F136" s="27"/>
      <c r="G136" s="27"/>
      <c r="H136" s="27"/>
      <c r="I136" s="27"/>
      <c r="J136" s="27"/>
      <c r="K136" s="27"/>
      <c r="L136" s="27"/>
      <c r="M136" s="27"/>
    </row>
    <row r="137" spans="5:13">
      <c r="E137" s="27"/>
      <c r="F137" s="27"/>
      <c r="G137" s="27"/>
      <c r="H137" s="27"/>
      <c r="I137" s="27"/>
      <c r="J137" s="27"/>
      <c r="K137" s="27"/>
      <c r="L137" s="27"/>
      <c r="M137" s="27"/>
    </row>
    <row r="138" spans="5:13">
      <c r="E138" s="27"/>
      <c r="F138" s="27"/>
      <c r="G138" s="27"/>
      <c r="H138" s="27"/>
      <c r="I138" s="27"/>
      <c r="J138" s="27"/>
      <c r="K138" s="27"/>
      <c r="L138" s="27"/>
      <c r="M138" s="27"/>
    </row>
    <row r="139" spans="5:13">
      <c r="E139" s="27"/>
      <c r="F139" s="27"/>
      <c r="G139" s="27"/>
      <c r="H139" s="27"/>
      <c r="I139" s="27"/>
      <c r="J139" s="27"/>
      <c r="K139" s="27"/>
      <c r="L139" s="27"/>
      <c r="M139" s="27"/>
    </row>
    <row r="140" spans="5:13">
      <c r="E140" s="27"/>
      <c r="F140" s="27"/>
      <c r="G140" s="27"/>
      <c r="H140" s="27"/>
      <c r="I140" s="27"/>
      <c r="J140" s="27"/>
      <c r="K140" s="27"/>
      <c r="L140" s="27"/>
      <c r="M140" s="27"/>
    </row>
    <row r="141" spans="5:13">
      <c r="E141" s="27"/>
      <c r="F141" s="27"/>
      <c r="G141" s="27"/>
      <c r="H141" s="27"/>
      <c r="I141" s="27"/>
      <c r="J141" s="27"/>
      <c r="K141" s="27"/>
      <c r="L141" s="27"/>
      <c r="M141" s="27"/>
    </row>
    <row r="142" spans="5:13">
      <c r="E142" s="27"/>
      <c r="F142" s="27"/>
      <c r="G142" s="27"/>
      <c r="H142" s="27"/>
      <c r="I142" s="27"/>
      <c r="J142" s="27"/>
      <c r="K142" s="27"/>
      <c r="L142" s="27"/>
      <c r="M142" s="27"/>
    </row>
    <row r="143" spans="5:13">
      <c r="E143" s="27"/>
      <c r="F143" s="27"/>
      <c r="G143" s="27"/>
      <c r="H143" s="27"/>
      <c r="I143" s="27"/>
      <c r="J143" s="27"/>
      <c r="K143" s="27"/>
      <c r="L143" s="27"/>
      <c r="M143" s="27"/>
    </row>
    <row r="144" spans="5:13">
      <c r="E144" s="27"/>
      <c r="F144" s="27"/>
      <c r="G144" s="27"/>
      <c r="H144" s="27"/>
      <c r="I144" s="27"/>
      <c r="J144" s="27"/>
      <c r="K144" s="27"/>
      <c r="L144" s="27"/>
      <c r="M144" s="27"/>
    </row>
    <row r="145" spans="5:13">
      <c r="E145" s="27"/>
      <c r="F145" s="27"/>
      <c r="G145" s="27"/>
      <c r="H145" s="27"/>
      <c r="I145" s="27"/>
      <c r="J145" s="27"/>
      <c r="K145" s="27"/>
      <c r="L145" s="27"/>
      <c r="M145" s="27"/>
    </row>
    <row r="146" spans="5:13">
      <c r="E146" s="27"/>
      <c r="F146" s="27"/>
      <c r="G146" s="27"/>
      <c r="H146" s="27"/>
      <c r="I146" s="27"/>
      <c r="J146" s="27"/>
      <c r="K146" s="27"/>
      <c r="L146" s="27"/>
      <c r="M146" s="27"/>
    </row>
    <row r="147" spans="5:13">
      <c r="E147" s="27"/>
      <c r="F147" s="27"/>
      <c r="G147" s="27"/>
      <c r="H147" s="27"/>
      <c r="I147" s="27"/>
      <c r="J147" s="27"/>
      <c r="K147" s="27"/>
      <c r="L147" s="27"/>
      <c r="M147" s="27"/>
    </row>
    <row r="148" spans="5:13">
      <c r="E148" s="27"/>
      <c r="F148" s="27"/>
      <c r="G148" s="27"/>
      <c r="H148" s="27"/>
      <c r="I148" s="27"/>
      <c r="J148" s="27"/>
      <c r="K148" s="27"/>
      <c r="L148" s="27"/>
      <c r="M148" s="27"/>
    </row>
    <row r="149" spans="5:13">
      <c r="E149" s="27"/>
      <c r="F149" s="27"/>
      <c r="G149" s="27"/>
      <c r="H149" s="27"/>
      <c r="I149" s="27"/>
      <c r="J149" s="27"/>
      <c r="K149" s="27"/>
      <c r="L149" s="27"/>
      <c r="M149" s="27"/>
    </row>
    <row r="150" spans="5:13">
      <c r="E150" s="27"/>
      <c r="F150" s="27"/>
      <c r="G150" s="27"/>
      <c r="H150" s="27"/>
      <c r="I150" s="27"/>
      <c r="J150" s="27"/>
      <c r="K150" s="27"/>
      <c r="L150" s="27"/>
      <c r="M150" s="27"/>
    </row>
    <row r="151" spans="5:13">
      <c r="F151" s="27"/>
      <c r="G151" s="27"/>
      <c r="H151" s="27"/>
      <c r="I151" s="27"/>
      <c r="J151" s="27"/>
      <c r="K151" s="27"/>
      <c r="L151" s="27"/>
      <c r="M151" s="27"/>
    </row>
    <row r="152" spans="5:13">
      <c r="F152" s="27"/>
      <c r="G152" s="27"/>
      <c r="H152" s="27"/>
      <c r="I152" s="27"/>
      <c r="J152" s="27"/>
      <c r="K152" s="27"/>
      <c r="L152" s="27"/>
      <c r="M152" s="27"/>
    </row>
    <row r="153" spans="5:13">
      <c r="F153" s="27"/>
      <c r="G153" s="27"/>
      <c r="H153" s="27"/>
      <c r="I153" s="27"/>
      <c r="J153" s="27"/>
      <c r="K153" s="27"/>
      <c r="L153" s="27"/>
      <c r="M153" s="27"/>
    </row>
    <row r="154" spans="5:13">
      <c r="F154" s="27"/>
      <c r="G154" s="27"/>
      <c r="H154" s="27"/>
      <c r="I154" s="27"/>
      <c r="J154" s="27"/>
      <c r="K154" s="27"/>
      <c r="L154" s="27"/>
      <c r="M154" s="27"/>
    </row>
    <row r="155" spans="5:13">
      <c r="F155" s="27"/>
      <c r="G155" s="27"/>
      <c r="H155" s="27"/>
      <c r="I155" s="27"/>
      <c r="J155" s="27"/>
      <c r="K155" s="27"/>
      <c r="L155" s="27"/>
      <c r="M155" s="27"/>
    </row>
    <row r="156" spans="5:13">
      <c r="F156" s="27"/>
      <c r="G156" s="27"/>
      <c r="H156" s="27"/>
      <c r="I156" s="27"/>
      <c r="J156" s="27"/>
      <c r="K156" s="27"/>
      <c r="L156" s="27"/>
      <c r="M156" s="27"/>
    </row>
    <row r="157" spans="5:13">
      <c r="F157" s="27"/>
      <c r="G157" s="27"/>
      <c r="H157" s="27"/>
      <c r="I157" s="27"/>
      <c r="J157" s="27"/>
      <c r="K157" s="27"/>
      <c r="L157" s="27"/>
      <c r="M157" s="27"/>
    </row>
    <row r="158" spans="5:13">
      <c r="F158" s="27"/>
      <c r="G158" s="27"/>
      <c r="H158" s="27"/>
      <c r="I158" s="27"/>
      <c r="J158" s="27"/>
      <c r="K158" s="27"/>
      <c r="L158" s="27"/>
      <c r="M158" s="27"/>
    </row>
    <row r="159" spans="5:13">
      <c r="F159" s="27"/>
      <c r="G159" s="27"/>
      <c r="H159" s="27"/>
      <c r="I159" s="27"/>
      <c r="J159" s="27"/>
      <c r="K159" s="27"/>
      <c r="L159" s="27"/>
      <c r="M159" s="27"/>
    </row>
    <row r="160" spans="5:13">
      <c r="F160" s="27"/>
      <c r="G160" s="27"/>
      <c r="H160" s="27"/>
      <c r="I160" s="27"/>
      <c r="J160" s="27"/>
      <c r="K160" s="27"/>
      <c r="L160" s="27"/>
      <c r="M160" s="27"/>
    </row>
    <row r="161" spans="6:13">
      <c r="F161" s="27"/>
      <c r="G161" s="27"/>
      <c r="H161" s="27"/>
      <c r="I161" s="27"/>
      <c r="J161" s="27"/>
      <c r="K161" s="27"/>
      <c r="L161" s="27"/>
      <c r="M161" s="27"/>
    </row>
    <row r="162" spans="6:13">
      <c r="F162" s="27"/>
      <c r="G162" s="27"/>
      <c r="H162" s="27"/>
      <c r="I162" s="27"/>
      <c r="J162" s="27"/>
      <c r="K162" s="27"/>
      <c r="L162" s="27"/>
      <c r="M162" s="27"/>
    </row>
    <row r="163" spans="6:13">
      <c r="F163" s="27"/>
      <c r="G163" s="27"/>
      <c r="H163" s="27"/>
      <c r="I163" s="27"/>
      <c r="J163" s="27"/>
      <c r="K163" s="27"/>
      <c r="L163" s="27"/>
      <c r="M163" s="27"/>
    </row>
    <row r="164" spans="6:13">
      <c r="F164" s="27"/>
      <c r="G164" s="27"/>
      <c r="H164" s="27"/>
      <c r="I164" s="27"/>
      <c r="J164" s="27"/>
      <c r="K164" s="27"/>
      <c r="L164" s="27"/>
      <c r="M164" s="27"/>
    </row>
    <row r="165" spans="6:13">
      <c r="F165" s="27"/>
      <c r="G165" s="27"/>
      <c r="H165" s="27"/>
      <c r="I165" s="27"/>
      <c r="J165" s="27"/>
      <c r="K165" s="27"/>
      <c r="L165" s="27"/>
      <c r="M165" s="27"/>
    </row>
    <row r="166" spans="6:13">
      <c r="F166" s="27"/>
      <c r="G166" s="27"/>
      <c r="H166" s="27"/>
      <c r="I166" s="27"/>
      <c r="J166" s="27"/>
      <c r="K166" s="27"/>
      <c r="L166" s="27"/>
      <c r="M166" s="27"/>
    </row>
    <row r="167" spans="6:13">
      <c r="F167" s="27"/>
      <c r="G167" s="27"/>
      <c r="H167" s="27"/>
      <c r="I167" s="27"/>
      <c r="J167" s="27"/>
      <c r="K167" s="27"/>
      <c r="L167" s="27"/>
      <c r="M167" s="27"/>
    </row>
    <row r="168" spans="6:13">
      <c r="F168" s="27"/>
      <c r="G168" s="27"/>
      <c r="H168" s="27"/>
      <c r="I168" s="27"/>
      <c r="J168" s="27"/>
      <c r="K168" s="27"/>
      <c r="L168" s="27"/>
      <c r="M168" s="27"/>
    </row>
    <row r="169" spans="6:13">
      <c r="F169" s="27"/>
      <c r="G169" s="27"/>
      <c r="H169" s="27"/>
      <c r="I169" s="27"/>
      <c r="J169" s="27"/>
      <c r="K169" s="27"/>
      <c r="L169" s="27"/>
      <c r="M169" s="27"/>
    </row>
    <row r="170" spans="6:13">
      <c r="F170" s="27"/>
      <c r="G170" s="27"/>
      <c r="H170" s="27"/>
      <c r="I170" s="27"/>
      <c r="J170" s="27"/>
      <c r="K170" s="27"/>
      <c r="L170" s="27"/>
      <c r="M170" s="27"/>
    </row>
    <row r="171" spans="6:13">
      <c r="F171" s="27"/>
      <c r="G171" s="27"/>
      <c r="H171" s="27"/>
      <c r="I171" s="27"/>
      <c r="J171" s="27"/>
      <c r="K171" s="27"/>
      <c r="L171" s="27"/>
      <c r="M171" s="27"/>
    </row>
    <row r="172" spans="6:13">
      <c r="F172" s="27"/>
      <c r="G172" s="27"/>
      <c r="H172" s="27"/>
      <c r="I172" s="27"/>
      <c r="J172" s="27"/>
      <c r="K172" s="27"/>
      <c r="L172" s="27"/>
      <c r="M172" s="27"/>
    </row>
    <row r="173" spans="6:13">
      <c r="F173" s="27"/>
      <c r="G173" s="27"/>
      <c r="H173" s="27"/>
      <c r="I173" s="27"/>
      <c r="J173" s="27"/>
      <c r="K173" s="27"/>
      <c r="L173" s="27"/>
      <c r="M173" s="27"/>
    </row>
    <row r="174" spans="6:13">
      <c r="F174" s="27"/>
      <c r="G174" s="27"/>
      <c r="H174" s="27"/>
      <c r="I174" s="27"/>
      <c r="J174" s="27"/>
      <c r="K174" s="27"/>
      <c r="L174" s="27"/>
      <c r="M174" s="27"/>
    </row>
    <row r="175" spans="6:13">
      <c r="F175" s="27"/>
      <c r="G175" s="27"/>
      <c r="H175" s="27"/>
      <c r="I175" s="27"/>
      <c r="J175" s="27"/>
      <c r="K175" s="27"/>
      <c r="L175" s="27"/>
      <c r="M175" s="27"/>
    </row>
    <row r="176" spans="6:13">
      <c r="F176" s="27"/>
      <c r="G176" s="27"/>
      <c r="H176" s="27"/>
      <c r="I176" s="27"/>
      <c r="J176" s="27"/>
      <c r="K176" s="27"/>
      <c r="L176" s="27"/>
      <c r="M176" s="27"/>
    </row>
    <row r="177" spans="6:13">
      <c r="F177" s="27"/>
      <c r="G177" s="27"/>
      <c r="H177" s="27"/>
      <c r="I177" s="27"/>
      <c r="J177" s="27"/>
      <c r="K177" s="27"/>
      <c r="L177" s="27"/>
      <c r="M177" s="27"/>
    </row>
    <row r="178" spans="6:13">
      <c r="F178" s="27"/>
      <c r="G178" s="27"/>
      <c r="H178" s="27"/>
      <c r="I178" s="27"/>
      <c r="J178" s="27"/>
      <c r="K178" s="27"/>
      <c r="L178" s="27"/>
      <c r="M178" s="27"/>
    </row>
    <row r="179" spans="6:13">
      <c r="F179" s="27"/>
      <c r="G179" s="27"/>
      <c r="H179" s="27"/>
      <c r="I179" s="27"/>
      <c r="J179" s="27"/>
      <c r="K179" s="27"/>
      <c r="L179" s="27"/>
      <c r="M179" s="27"/>
    </row>
    <row r="180" spans="6:13">
      <c r="F180" s="27"/>
      <c r="G180" s="27"/>
      <c r="H180" s="27"/>
      <c r="I180" s="27"/>
      <c r="J180" s="27"/>
      <c r="K180" s="27"/>
      <c r="L180" s="27"/>
      <c r="M180" s="27"/>
    </row>
    <row r="181" spans="6:13">
      <c r="F181" s="27"/>
      <c r="G181" s="27"/>
      <c r="H181" s="27"/>
      <c r="I181" s="27"/>
      <c r="J181" s="27"/>
      <c r="K181" s="27"/>
      <c r="L181" s="27"/>
      <c r="M181" s="27"/>
    </row>
    <row r="182" spans="6:13">
      <c r="F182" s="27"/>
      <c r="G182" s="27"/>
      <c r="H182" s="27"/>
      <c r="I182" s="27"/>
      <c r="J182" s="27"/>
      <c r="K182" s="27"/>
      <c r="L182" s="27"/>
      <c r="M182" s="27"/>
    </row>
    <row r="183" spans="6:13">
      <c r="F183" s="27"/>
      <c r="G183" s="27"/>
      <c r="H183" s="27"/>
      <c r="I183" s="27"/>
      <c r="J183" s="27"/>
      <c r="K183" s="27"/>
      <c r="L183" s="27"/>
      <c r="M183" s="27"/>
    </row>
    <row r="184" spans="6:13">
      <c r="F184" s="27"/>
      <c r="G184" s="27"/>
      <c r="H184" s="27"/>
      <c r="I184" s="27"/>
      <c r="J184" s="27"/>
      <c r="K184" s="27"/>
      <c r="L184" s="27"/>
      <c r="M184" s="27"/>
    </row>
    <row r="185" spans="6:13">
      <c r="F185" s="27"/>
      <c r="G185" s="27"/>
      <c r="H185" s="27"/>
      <c r="I185" s="27"/>
      <c r="J185" s="27"/>
      <c r="K185" s="27"/>
      <c r="L185" s="27"/>
      <c r="M185" s="27"/>
    </row>
    <row r="186" spans="6:13">
      <c r="F186" s="27"/>
      <c r="G186" s="27"/>
      <c r="H186" s="27"/>
      <c r="I186" s="27"/>
      <c r="J186" s="27"/>
      <c r="K186" s="27"/>
      <c r="L186" s="27"/>
      <c r="M186" s="27"/>
    </row>
    <row r="187" spans="6:13">
      <c r="F187" s="27"/>
      <c r="G187" s="27"/>
      <c r="H187" s="27"/>
      <c r="I187" s="27"/>
      <c r="J187" s="27"/>
      <c r="K187" s="27"/>
      <c r="L187" s="27"/>
      <c r="M187" s="27"/>
    </row>
    <row r="188" spans="6:13">
      <c r="F188" s="27"/>
      <c r="G188" s="27"/>
      <c r="H188" s="27"/>
      <c r="I188" s="27"/>
      <c r="J188" s="27"/>
      <c r="K188" s="27"/>
      <c r="L188" s="27"/>
      <c r="M188" s="27"/>
    </row>
    <row r="189" spans="6:13">
      <c r="F189" s="27"/>
      <c r="G189" s="27"/>
      <c r="H189" s="27"/>
      <c r="I189" s="27"/>
      <c r="J189" s="27"/>
      <c r="K189" s="27"/>
      <c r="L189" s="27"/>
      <c r="M189" s="27"/>
    </row>
    <row r="190" spans="6:13">
      <c r="F190" s="27"/>
      <c r="G190" s="27"/>
      <c r="H190" s="27"/>
      <c r="I190" s="27"/>
      <c r="J190" s="27"/>
      <c r="K190" s="27"/>
      <c r="L190" s="27"/>
      <c r="M190" s="27"/>
    </row>
    <row r="191" spans="6:13">
      <c r="F191" s="27"/>
      <c r="G191" s="27"/>
      <c r="H191" s="27"/>
      <c r="I191" s="27"/>
      <c r="J191" s="27"/>
      <c r="K191" s="27"/>
      <c r="L191" s="27"/>
      <c r="M191" s="27"/>
    </row>
    <row r="192" spans="6:13">
      <c r="F192" s="27"/>
      <c r="G192" s="27"/>
      <c r="H192" s="27"/>
      <c r="I192" s="27"/>
      <c r="J192" s="27"/>
      <c r="K192" s="27"/>
      <c r="L192" s="27"/>
      <c r="M192" s="27"/>
    </row>
    <row r="193" spans="6:13">
      <c r="F193" s="27"/>
      <c r="G193" s="27"/>
      <c r="H193" s="27"/>
      <c r="I193" s="27"/>
      <c r="J193" s="27"/>
      <c r="K193" s="27"/>
      <c r="L193" s="27"/>
      <c r="M193" s="27"/>
    </row>
    <row r="194" spans="6:13">
      <c r="F194" s="27"/>
      <c r="G194" s="27"/>
      <c r="H194" s="27"/>
      <c r="I194" s="27"/>
      <c r="J194" s="27"/>
      <c r="K194" s="27"/>
      <c r="L194" s="27"/>
      <c r="M194" s="27"/>
    </row>
    <row r="195" spans="6:13">
      <c r="F195" s="27"/>
      <c r="G195" s="27"/>
      <c r="H195" s="27"/>
      <c r="I195" s="27"/>
      <c r="J195" s="27"/>
      <c r="K195" s="27"/>
      <c r="L195" s="27"/>
      <c r="M195" s="27"/>
    </row>
    <row r="196" spans="6:13">
      <c r="F196" s="27"/>
      <c r="G196" s="27"/>
      <c r="H196" s="27"/>
      <c r="I196" s="27"/>
      <c r="J196" s="27"/>
      <c r="K196" s="27"/>
      <c r="L196" s="27"/>
      <c r="M196" s="27"/>
    </row>
    <row r="197" spans="6:13">
      <c r="F197" s="27"/>
      <c r="G197" s="27"/>
      <c r="H197" s="27"/>
      <c r="I197" s="27"/>
      <c r="J197" s="27"/>
      <c r="K197" s="27"/>
      <c r="L197" s="27"/>
      <c r="M197" s="27"/>
    </row>
    <row r="198" spans="6:13">
      <c r="F198" s="27"/>
      <c r="G198" s="27"/>
      <c r="H198" s="27"/>
      <c r="I198" s="27"/>
      <c r="J198" s="27"/>
      <c r="K198" s="27"/>
      <c r="L198" s="27"/>
      <c r="M198" s="27"/>
    </row>
    <row r="199" spans="6:13">
      <c r="F199" s="27"/>
      <c r="G199" s="27"/>
      <c r="H199" s="27"/>
      <c r="I199" s="27"/>
      <c r="J199" s="27"/>
      <c r="K199" s="27"/>
      <c r="L199" s="27"/>
      <c r="M199" s="27"/>
    </row>
    <row r="200" spans="6:13">
      <c r="F200" s="27"/>
      <c r="G200" s="27"/>
      <c r="H200" s="27"/>
      <c r="I200" s="27"/>
      <c r="J200" s="27"/>
      <c r="K200" s="27"/>
      <c r="L200" s="27"/>
      <c r="M200" s="27"/>
    </row>
    <row r="201" spans="6:13">
      <c r="F201" s="27"/>
      <c r="G201" s="27"/>
      <c r="H201" s="27"/>
      <c r="I201" s="27"/>
      <c r="J201" s="27"/>
      <c r="K201" s="27"/>
      <c r="L201" s="27"/>
      <c r="M201" s="27"/>
    </row>
    <row r="202" spans="6:13">
      <c r="F202" s="27"/>
      <c r="G202" s="27"/>
      <c r="H202" s="27"/>
      <c r="I202" s="27"/>
      <c r="J202" s="27"/>
      <c r="K202" s="27"/>
      <c r="L202" s="27"/>
      <c r="M202" s="27"/>
    </row>
    <row r="203" spans="6:13">
      <c r="F203" s="27"/>
      <c r="G203" s="27"/>
      <c r="H203" s="27"/>
      <c r="I203" s="27"/>
      <c r="J203" s="27"/>
      <c r="K203" s="27"/>
      <c r="L203" s="27"/>
      <c r="M203" s="27"/>
    </row>
    <row r="204" spans="6:13">
      <c r="F204" s="27"/>
      <c r="G204" s="27"/>
      <c r="H204" s="27"/>
      <c r="I204" s="27"/>
      <c r="J204" s="27"/>
      <c r="K204" s="27"/>
      <c r="L204" s="27"/>
      <c r="M204" s="27"/>
    </row>
    <row r="205" spans="6:13">
      <c r="F205" s="27"/>
      <c r="G205" s="27"/>
      <c r="H205" s="27"/>
      <c r="I205" s="27"/>
      <c r="J205" s="27"/>
      <c r="K205" s="27"/>
      <c r="L205" s="27"/>
      <c r="M205" s="27"/>
    </row>
    <row r="206" spans="6:13">
      <c r="F206" s="27"/>
      <c r="G206" s="27"/>
      <c r="H206" s="27"/>
      <c r="I206" s="27"/>
      <c r="J206" s="27"/>
      <c r="K206" s="27"/>
      <c r="L206" s="27"/>
      <c r="M206" s="27"/>
    </row>
    <row r="207" spans="6:13">
      <c r="F207" s="27"/>
      <c r="G207" s="27"/>
      <c r="H207" s="27"/>
      <c r="I207" s="27"/>
      <c r="J207" s="27"/>
      <c r="K207" s="27"/>
      <c r="L207" s="27"/>
      <c r="M207" s="27"/>
    </row>
    <row r="208" spans="6:13">
      <c r="F208" s="27"/>
      <c r="G208" s="27"/>
      <c r="H208" s="27"/>
      <c r="I208" s="27"/>
      <c r="J208" s="27"/>
      <c r="K208" s="27"/>
      <c r="L208" s="27"/>
      <c r="M208" s="27"/>
    </row>
    <row r="209" spans="6:13">
      <c r="F209" s="27"/>
      <c r="G209" s="27"/>
      <c r="H209" s="27"/>
      <c r="I209" s="27"/>
      <c r="J209" s="27"/>
      <c r="K209" s="27"/>
      <c r="L209" s="27"/>
      <c r="M209" s="27"/>
    </row>
    <row r="210" spans="6:13">
      <c r="F210" s="27"/>
      <c r="G210" s="27"/>
      <c r="H210" s="27"/>
      <c r="I210" s="27"/>
      <c r="J210" s="27"/>
      <c r="K210" s="27"/>
      <c r="L210" s="27"/>
      <c r="M210" s="27"/>
    </row>
    <row r="211" spans="6:13">
      <c r="F211" s="27"/>
      <c r="G211" s="27"/>
      <c r="H211" s="27"/>
      <c r="I211" s="27"/>
      <c r="J211" s="27"/>
      <c r="K211" s="27"/>
      <c r="L211" s="27"/>
      <c r="M211" s="27"/>
    </row>
    <row r="212" spans="6:13">
      <c r="F212" s="27"/>
      <c r="G212" s="27"/>
      <c r="H212" s="27"/>
      <c r="I212" s="27"/>
      <c r="J212" s="27"/>
      <c r="K212" s="27"/>
      <c r="L212" s="27"/>
      <c r="M212" s="27"/>
    </row>
    <row r="213" spans="6:13">
      <c r="J213" s="27"/>
      <c r="K213" s="27"/>
      <c r="L213" s="27"/>
      <c r="M213" s="27"/>
    </row>
    <row r="214" spans="6:13">
      <c r="J214" s="27"/>
      <c r="K214" s="27"/>
      <c r="L214" s="27"/>
      <c r="M214" s="27"/>
    </row>
    <row r="215" spans="6:13">
      <c r="J215" s="27"/>
      <c r="K215" s="27"/>
      <c r="L215" s="27"/>
      <c r="M215" s="27"/>
    </row>
    <row r="216" spans="6:13">
      <c r="J216" s="27"/>
      <c r="K216" s="27"/>
      <c r="L216" s="27"/>
      <c r="M216" s="27"/>
    </row>
  </sheetData>
  <mergeCells count="28">
    <mergeCell ref="F47:I47"/>
    <mergeCell ref="F50:I50"/>
    <mergeCell ref="F33:I33"/>
    <mergeCell ref="F29:I29"/>
    <mergeCell ref="F36:I36"/>
    <mergeCell ref="F40:I40"/>
    <mergeCell ref="F43:I43"/>
    <mergeCell ref="A3:J3"/>
    <mergeCell ref="A16:J16"/>
    <mergeCell ref="F21:I21"/>
    <mergeCell ref="A20:D20"/>
    <mergeCell ref="F26:I26"/>
    <mergeCell ref="F20:I20"/>
    <mergeCell ref="F54:I54"/>
    <mergeCell ref="F57:I57"/>
    <mergeCell ref="F61:I61"/>
    <mergeCell ref="F64:I64"/>
    <mergeCell ref="F92:I92"/>
    <mergeCell ref="F68:I68"/>
    <mergeCell ref="F96:I96"/>
    <mergeCell ref="F99:I99"/>
    <mergeCell ref="F103:I103"/>
    <mergeCell ref="F71:I71"/>
    <mergeCell ref="F75:I75"/>
    <mergeCell ref="F78:I78"/>
    <mergeCell ref="F82:I82"/>
    <mergeCell ref="F85:I85"/>
    <mergeCell ref="F89:I89"/>
  </mergeCells>
  <hyperlinks>
    <hyperlink ref="D108" r:id="rId1" tooltip="Persistent link using digital object identifier" display="https://doi-org.proxy.library.uu.nl/10.1016/j.joule.2020.02.001" xr:uid="{8CDA9F6B-B8E1-4269-A0F9-24F38DCD8064}"/>
    <hyperlink ref="D109" r:id="rId2" tooltip="Persistent link using digital object identifier" display="https://doi-org.proxy.library.uu.nl/10.1016/j.joule.2020.02.001" xr:uid="{F16D82C8-D321-4D25-BDD0-8AA399CDC6C9}"/>
    <hyperlink ref="D110" r:id="rId3" xr:uid="{44F3CD96-CE95-406F-9AC2-E65C2C6209BF}"/>
  </hyperlinks>
  <pageMargins left="0.7" right="0.7" top="0.75" bottom="0.75" header="0.3" footer="0.3"/>
  <pageSetup orientation="portrait"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03119-AE11-4B74-BEC4-E4A18C257B26}">
  <dimension ref="A1:G29"/>
  <sheetViews>
    <sheetView workbookViewId="0">
      <selection activeCell="E10" sqref="E10"/>
    </sheetView>
  </sheetViews>
  <sheetFormatPr defaultRowHeight="14.5"/>
  <sheetData>
    <row r="1" spans="1:7" ht="15" thickBot="1"/>
    <row r="2" spans="1:7" ht="15" thickBot="1">
      <c r="A2" s="143" t="s">
        <v>430</v>
      </c>
      <c r="B2" s="144"/>
      <c r="C2" s="144"/>
      <c r="D2" s="144"/>
      <c r="E2" s="37"/>
      <c r="F2" s="17"/>
      <c r="G2" s="18"/>
    </row>
    <row r="3" spans="1:7">
      <c r="A3" s="4" t="s">
        <v>588</v>
      </c>
      <c r="B3" s="3" t="s">
        <v>1</v>
      </c>
      <c r="C3" s="3" t="s">
        <v>3</v>
      </c>
      <c r="D3" s="3" t="s">
        <v>4</v>
      </c>
      <c r="E3" s="3" t="s">
        <v>5</v>
      </c>
      <c r="F3" s="3" t="s">
        <v>6</v>
      </c>
      <c r="G3" s="5" t="s">
        <v>7</v>
      </c>
    </row>
    <row r="4" spans="1:7">
      <c r="A4" s="6" t="s">
        <v>8</v>
      </c>
      <c r="B4" s="27" t="s">
        <v>431</v>
      </c>
      <c r="C4" s="27">
        <v>1</v>
      </c>
      <c r="D4" s="27" t="s">
        <v>10</v>
      </c>
      <c r="E4" s="27"/>
      <c r="F4" s="27"/>
      <c r="G4" s="7"/>
    </row>
    <row r="5" spans="1:7">
      <c r="A5" s="6" t="s">
        <v>11</v>
      </c>
      <c r="B5" s="27" t="s">
        <v>432</v>
      </c>
      <c r="C5" s="36">
        <v>1.024</v>
      </c>
      <c r="D5" s="27" t="s">
        <v>10</v>
      </c>
      <c r="E5" s="27"/>
      <c r="F5" s="27"/>
      <c r="G5" s="7" t="s">
        <v>433</v>
      </c>
    </row>
    <row r="6" spans="1:7">
      <c r="A6" s="6" t="s">
        <v>16</v>
      </c>
      <c r="B6" s="27" t="s">
        <v>434</v>
      </c>
      <c r="C6" s="27">
        <v>1.024</v>
      </c>
      <c r="D6" s="27" t="s">
        <v>10</v>
      </c>
      <c r="E6" s="27"/>
      <c r="F6" s="27"/>
      <c r="G6" s="7"/>
    </row>
    <row r="7" spans="1:7">
      <c r="A7" s="116" t="s">
        <v>19</v>
      </c>
      <c r="B7" s="117"/>
      <c r="C7" s="117"/>
      <c r="D7" s="117"/>
      <c r="E7" s="27"/>
      <c r="F7" s="27"/>
      <c r="G7" s="7"/>
    </row>
    <row r="8" spans="1:7" ht="15" thickBot="1">
      <c r="A8" s="8" t="s">
        <v>20</v>
      </c>
      <c r="B8" s="1" t="s">
        <v>435</v>
      </c>
      <c r="C8" s="1">
        <v>2.4E-2</v>
      </c>
      <c r="D8" s="1" t="s">
        <v>10</v>
      </c>
      <c r="E8" s="1"/>
      <c r="F8" s="1"/>
      <c r="G8" s="2"/>
    </row>
    <row r="9" spans="1:7" ht="15" thickBot="1"/>
    <row r="10" spans="1:7">
      <c r="A10" s="118" t="s">
        <v>448</v>
      </c>
      <c r="B10" s="119"/>
      <c r="C10" s="119"/>
      <c r="D10" s="119"/>
      <c r="E10" s="34"/>
      <c r="F10" s="11"/>
      <c r="G10" s="12"/>
    </row>
    <row r="11" spans="1:7">
      <c r="A11" s="4" t="s">
        <v>588</v>
      </c>
      <c r="B11" s="3" t="s">
        <v>1</v>
      </c>
      <c r="C11" s="3" t="s">
        <v>3</v>
      </c>
      <c r="D11" s="3" t="s">
        <v>4</v>
      </c>
      <c r="E11" s="3" t="s">
        <v>5</v>
      </c>
      <c r="F11" s="3" t="s">
        <v>6</v>
      </c>
      <c r="G11" s="5" t="s">
        <v>7</v>
      </c>
    </row>
    <row r="12" spans="1:7">
      <c r="A12" s="6" t="s">
        <v>8</v>
      </c>
      <c r="B12" s="27" t="s">
        <v>437</v>
      </c>
      <c r="C12" s="35">
        <v>1</v>
      </c>
      <c r="D12" s="27" t="s">
        <v>10</v>
      </c>
      <c r="E12" s="27"/>
      <c r="F12" s="27"/>
      <c r="G12" s="7"/>
    </row>
    <row r="13" spans="1:7">
      <c r="A13" s="6" t="s">
        <v>8</v>
      </c>
      <c r="B13" s="27" t="s">
        <v>438</v>
      </c>
      <c r="C13" s="35">
        <v>0.03</v>
      </c>
      <c r="D13" s="27" t="s">
        <v>10</v>
      </c>
      <c r="E13" s="27"/>
      <c r="F13" s="27"/>
      <c r="G13" s="7" t="s">
        <v>439</v>
      </c>
    </row>
    <row r="14" spans="1:7">
      <c r="A14" s="6" t="s">
        <v>11</v>
      </c>
      <c r="B14" s="27" t="s">
        <v>440</v>
      </c>
      <c r="C14" s="35">
        <f>1/4.5*1.36</f>
        <v>0.30222222222222223</v>
      </c>
      <c r="D14" s="27" t="s">
        <v>10</v>
      </c>
      <c r="E14" s="27"/>
      <c r="F14" s="27"/>
      <c r="G14" s="7" t="s">
        <v>441</v>
      </c>
    </row>
    <row r="15" spans="1:7">
      <c r="A15" s="6" t="s">
        <v>11</v>
      </c>
      <c r="B15" s="27" t="s">
        <v>442</v>
      </c>
      <c r="C15" s="35">
        <v>7.0999999999999994E-2</v>
      </c>
      <c r="D15" s="27" t="s">
        <v>10</v>
      </c>
      <c r="E15" s="27"/>
      <c r="F15" s="27"/>
      <c r="G15" s="7" t="s">
        <v>443</v>
      </c>
    </row>
    <row r="16" spans="1:7">
      <c r="A16" s="6" t="s">
        <v>11</v>
      </c>
      <c r="B16" s="27" t="s">
        <v>444</v>
      </c>
      <c r="C16" s="35">
        <f>(271+565)/2/1000</f>
        <v>0.41799999999999998</v>
      </c>
      <c r="D16" s="27" t="s">
        <v>10</v>
      </c>
      <c r="E16" s="27"/>
      <c r="F16" s="27"/>
      <c r="G16" s="7" t="s">
        <v>445</v>
      </c>
    </row>
    <row r="17" spans="1:7">
      <c r="A17" s="6" t="s">
        <v>16</v>
      </c>
      <c r="B17" s="27" t="s">
        <v>446</v>
      </c>
      <c r="C17" s="35">
        <v>14.21</v>
      </c>
      <c r="D17" s="27" t="s">
        <v>14</v>
      </c>
      <c r="E17" s="27"/>
      <c r="F17" s="27"/>
      <c r="G17" s="7"/>
    </row>
    <row r="18" spans="1:7">
      <c r="A18" s="6" t="s">
        <v>16</v>
      </c>
      <c r="B18" s="27" t="s">
        <v>43</v>
      </c>
      <c r="C18" s="35">
        <v>0.06</v>
      </c>
      <c r="D18" s="27" t="s">
        <v>44</v>
      </c>
      <c r="E18" s="27"/>
      <c r="F18" s="27"/>
      <c r="G18" s="7"/>
    </row>
    <row r="19" spans="1:7">
      <c r="A19" s="6" t="s">
        <v>16</v>
      </c>
      <c r="B19" s="27" t="s">
        <v>447</v>
      </c>
      <c r="C19" s="35">
        <v>173.5</v>
      </c>
      <c r="D19" s="27" t="s">
        <v>10</v>
      </c>
      <c r="E19" s="27"/>
      <c r="F19" s="27"/>
      <c r="G19" s="7" t="s">
        <v>203</v>
      </c>
    </row>
    <row r="20" spans="1:7">
      <c r="A20" s="6" t="s">
        <v>16</v>
      </c>
      <c r="B20" s="27" t="s">
        <v>17</v>
      </c>
      <c r="C20" s="38">
        <f>'[1]electricity consumption'!$Z$11</f>
        <v>4.0000000000000001E-10</v>
      </c>
      <c r="D20" s="27" t="s">
        <v>18</v>
      </c>
      <c r="E20" s="27"/>
      <c r="F20" s="27"/>
      <c r="G20" s="7"/>
    </row>
    <row r="21" spans="1:7">
      <c r="A21" s="116" t="s">
        <v>35</v>
      </c>
      <c r="B21" s="117"/>
      <c r="C21" s="117"/>
      <c r="D21" s="117"/>
      <c r="E21" s="32"/>
      <c r="F21" s="27"/>
      <c r="G21" s="7"/>
    </row>
    <row r="22" spans="1:7" ht="15" thickBot="1">
      <c r="A22" s="8" t="s">
        <v>31</v>
      </c>
      <c r="B22" s="1" t="s">
        <v>255</v>
      </c>
      <c r="C22" s="9">
        <f>C18*3.6</f>
        <v>0.216</v>
      </c>
      <c r="D22" s="1" t="s">
        <v>14</v>
      </c>
      <c r="E22" s="1"/>
      <c r="F22" s="1"/>
      <c r="G22" s="2"/>
    </row>
    <row r="23" spans="1:7" ht="15" thickBot="1"/>
    <row r="24" spans="1:7">
      <c r="A24" s="118" t="s">
        <v>452</v>
      </c>
      <c r="B24" s="119"/>
      <c r="C24" s="119"/>
      <c r="D24" s="119"/>
      <c r="E24" s="34"/>
      <c r="F24" s="11"/>
      <c r="G24" s="12"/>
    </row>
    <row r="25" spans="1:7">
      <c r="A25" s="4" t="s">
        <v>588</v>
      </c>
      <c r="B25" s="3" t="s">
        <v>1</v>
      </c>
      <c r="C25" s="3" t="s">
        <v>3</v>
      </c>
      <c r="D25" s="3" t="s">
        <v>4</v>
      </c>
      <c r="E25" s="3" t="s">
        <v>5</v>
      </c>
      <c r="F25" s="3" t="s">
        <v>6</v>
      </c>
      <c r="G25" s="5" t="s">
        <v>7</v>
      </c>
    </row>
    <row r="26" spans="1:7">
      <c r="A26" s="6" t="s">
        <v>8</v>
      </c>
      <c r="B26" s="27" t="s">
        <v>450</v>
      </c>
      <c r="C26" s="35">
        <v>1</v>
      </c>
      <c r="D26" s="27" t="s">
        <v>10</v>
      </c>
      <c r="E26" s="27"/>
      <c r="F26" s="27"/>
      <c r="G26" s="7"/>
    </row>
    <row r="27" spans="1:7">
      <c r="A27" s="6" t="s">
        <v>11</v>
      </c>
      <c r="B27" s="27" t="s">
        <v>437</v>
      </c>
      <c r="C27" s="35">
        <v>0.77500000000000002</v>
      </c>
      <c r="D27" s="27" t="s">
        <v>10</v>
      </c>
      <c r="E27" s="27"/>
      <c r="F27" s="27"/>
      <c r="G27" s="7"/>
    </row>
    <row r="28" spans="1:7">
      <c r="A28" s="6" t="s">
        <v>11</v>
      </c>
      <c r="B28" s="27" t="s">
        <v>449</v>
      </c>
      <c r="C28" s="35">
        <f>1-C27</f>
        <v>0.22499999999999998</v>
      </c>
      <c r="D28" s="27" t="s">
        <v>10</v>
      </c>
      <c r="E28" s="27"/>
      <c r="F28" s="27"/>
      <c r="G28" s="7"/>
    </row>
    <row r="29" spans="1:7" ht="15" thickBot="1">
      <c r="A29" s="8" t="s">
        <v>16</v>
      </c>
      <c r="B29" s="1" t="s">
        <v>43</v>
      </c>
      <c r="C29" s="9">
        <f>(C27*'Chemicals &amp; Solvents background'!H18*120)/1000/'electricity consumption'!B133/3.6</f>
        <v>2.663442384115464E-2</v>
      </c>
      <c r="D29" s="1" t="s">
        <v>44</v>
      </c>
      <c r="E29" s="1" t="s">
        <v>451</v>
      </c>
      <c r="F29" s="1"/>
      <c r="G29" s="2"/>
    </row>
  </sheetData>
  <mergeCells count="5">
    <mergeCell ref="A2:D2"/>
    <mergeCell ref="A21:D21"/>
    <mergeCell ref="A24:D24"/>
    <mergeCell ref="A10:D10"/>
    <mergeCell ref="A7:D7"/>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3D8D6-2185-4D8A-90D1-7B32236530DF}">
  <dimension ref="A1:G199"/>
  <sheetViews>
    <sheetView topLeftCell="A77" workbookViewId="0">
      <selection activeCell="B89" sqref="B89"/>
    </sheetView>
  </sheetViews>
  <sheetFormatPr defaultRowHeight="14.5"/>
  <sheetData>
    <row r="1" spans="1:2">
      <c r="A1">
        <v>1</v>
      </c>
      <c r="B1" t="s">
        <v>682</v>
      </c>
    </row>
    <row r="2" spans="1:2">
      <c r="A2">
        <v>2</v>
      </c>
      <c r="B2" s="102" t="s">
        <v>684</v>
      </c>
    </row>
    <row r="3" spans="1:2">
      <c r="A3">
        <v>3</v>
      </c>
      <c r="B3" s="102" t="s">
        <v>686</v>
      </c>
    </row>
    <row r="4" spans="1:2">
      <c r="A4">
        <v>4</v>
      </c>
      <c r="B4" s="102" t="s">
        <v>688</v>
      </c>
    </row>
    <row r="5" spans="1:2">
      <c r="A5">
        <v>5</v>
      </c>
      <c r="B5" t="s">
        <v>690</v>
      </c>
    </row>
    <row r="6" spans="1:2">
      <c r="A6">
        <v>6</v>
      </c>
      <c r="B6" s="102" t="s">
        <v>691</v>
      </c>
    </row>
    <row r="7" spans="1:2">
      <c r="A7">
        <v>7</v>
      </c>
      <c r="B7" t="s">
        <v>692</v>
      </c>
    </row>
    <row r="8" spans="1:2">
      <c r="A8">
        <v>8</v>
      </c>
      <c r="B8" t="s">
        <v>694</v>
      </c>
    </row>
    <row r="9" spans="1:2">
      <c r="A9">
        <v>9</v>
      </c>
      <c r="B9" t="s">
        <v>695</v>
      </c>
    </row>
    <row r="10" spans="1:2">
      <c r="A10">
        <v>10</v>
      </c>
      <c r="B10" s="102" t="s">
        <v>698</v>
      </c>
    </row>
    <row r="11" spans="1:2">
      <c r="A11">
        <v>11</v>
      </c>
      <c r="B11" t="s">
        <v>700</v>
      </c>
    </row>
    <row r="12" spans="1:2">
      <c r="A12">
        <v>12</v>
      </c>
      <c r="B12" t="s">
        <v>703</v>
      </c>
    </row>
    <row r="13" spans="1:2">
      <c r="A13">
        <v>13</v>
      </c>
      <c r="B13" t="s">
        <v>705</v>
      </c>
    </row>
    <row r="14" spans="1:2">
      <c r="A14">
        <v>14</v>
      </c>
      <c r="B14" t="s">
        <v>706</v>
      </c>
    </row>
    <row r="15" spans="1:2">
      <c r="A15">
        <v>15</v>
      </c>
      <c r="B15" t="s">
        <v>707</v>
      </c>
    </row>
    <row r="16" spans="1:2">
      <c r="A16">
        <v>16</v>
      </c>
      <c r="B16" t="s">
        <v>713</v>
      </c>
    </row>
    <row r="17" spans="1:2">
      <c r="A17">
        <v>17</v>
      </c>
      <c r="B17" s="102" t="s">
        <v>714</v>
      </c>
    </row>
    <row r="18" spans="1:2">
      <c r="A18">
        <v>18</v>
      </c>
      <c r="B18" t="s">
        <v>715</v>
      </c>
    </row>
    <row r="19" spans="1:2">
      <c r="A19">
        <v>19</v>
      </c>
      <c r="B19" t="s">
        <v>716</v>
      </c>
    </row>
    <row r="20" spans="1:2">
      <c r="A20">
        <v>20</v>
      </c>
      <c r="B20" t="s">
        <v>718</v>
      </c>
    </row>
    <row r="21" spans="1:2">
      <c r="A21">
        <v>21</v>
      </c>
      <c r="B21" s="106" t="s">
        <v>721</v>
      </c>
    </row>
    <row r="22" spans="1:2">
      <c r="A22">
        <v>22</v>
      </c>
      <c r="B22" t="s">
        <v>722</v>
      </c>
    </row>
    <row r="23" spans="1:2">
      <c r="A23">
        <v>23</v>
      </c>
      <c r="B23" t="s">
        <v>724</v>
      </c>
    </row>
    <row r="24" spans="1:2">
      <c r="A24">
        <v>24</v>
      </c>
      <c r="B24" t="s">
        <v>726</v>
      </c>
    </row>
    <row r="25" spans="1:2">
      <c r="A25">
        <v>25</v>
      </c>
      <c r="B25" t="s">
        <v>727</v>
      </c>
    </row>
    <row r="26" spans="1:2">
      <c r="A26">
        <v>26</v>
      </c>
      <c r="B26" t="s">
        <v>729</v>
      </c>
    </row>
    <row r="27" spans="1:2">
      <c r="A27">
        <v>27</v>
      </c>
      <c r="B27" t="s">
        <v>731</v>
      </c>
    </row>
    <row r="28" spans="1:2">
      <c r="A28">
        <v>28</v>
      </c>
      <c r="B28" t="s">
        <v>734</v>
      </c>
    </row>
    <row r="29" spans="1:2">
      <c r="A29">
        <v>29</v>
      </c>
      <c r="B29" t="s">
        <v>735</v>
      </c>
    </row>
    <row r="30" spans="1:2">
      <c r="A30">
        <v>30</v>
      </c>
      <c r="B30" t="s">
        <v>736</v>
      </c>
    </row>
    <row r="31" spans="1:2">
      <c r="A31">
        <v>31</v>
      </c>
      <c r="B31" t="s">
        <v>737</v>
      </c>
    </row>
    <row r="32" spans="1:2">
      <c r="A32">
        <v>32</v>
      </c>
      <c r="B32" t="s">
        <v>738</v>
      </c>
    </row>
    <row r="33" spans="1:2">
      <c r="A33">
        <v>33</v>
      </c>
      <c r="B33" t="s">
        <v>739</v>
      </c>
    </row>
    <row r="34" spans="1:2">
      <c r="A34">
        <v>34</v>
      </c>
      <c r="B34" t="s">
        <v>740</v>
      </c>
    </row>
    <row r="35" spans="1:2">
      <c r="A35">
        <v>35</v>
      </c>
      <c r="B35" t="s">
        <v>741</v>
      </c>
    </row>
    <row r="36" spans="1:2">
      <c r="A36">
        <v>36</v>
      </c>
      <c r="B36" t="s">
        <v>742</v>
      </c>
    </row>
    <row r="37" spans="1:2">
      <c r="A37">
        <v>37</v>
      </c>
      <c r="B37" t="s">
        <v>744</v>
      </c>
    </row>
    <row r="38" spans="1:2">
      <c r="A38">
        <v>38</v>
      </c>
      <c r="B38" t="s">
        <v>746</v>
      </c>
    </row>
    <row r="39" spans="1:2">
      <c r="A39">
        <v>39</v>
      </c>
      <c r="B39" t="s">
        <v>749</v>
      </c>
    </row>
    <row r="40" spans="1:2">
      <c r="A40">
        <v>40</v>
      </c>
      <c r="B40" t="s">
        <v>751</v>
      </c>
    </row>
    <row r="41" spans="1:2">
      <c r="A41">
        <v>41</v>
      </c>
      <c r="B41" t="s">
        <v>752</v>
      </c>
    </row>
    <row r="42" spans="1:2">
      <c r="A42">
        <v>42</v>
      </c>
      <c r="B42" t="s">
        <v>749</v>
      </c>
    </row>
    <row r="43" spans="1:2">
      <c r="A43">
        <v>43</v>
      </c>
      <c r="B43" t="s">
        <v>754</v>
      </c>
    </row>
    <row r="44" spans="1:2">
      <c r="A44">
        <v>44</v>
      </c>
      <c r="B44" t="s">
        <v>757</v>
      </c>
    </row>
    <row r="45" spans="1:2">
      <c r="A45">
        <v>45</v>
      </c>
      <c r="B45" s="102" t="s">
        <v>758</v>
      </c>
    </row>
    <row r="46" spans="1:2">
      <c r="A46">
        <v>46</v>
      </c>
      <c r="B46" t="s">
        <v>759</v>
      </c>
    </row>
    <row r="47" spans="1:2">
      <c r="A47">
        <v>47</v>
      </c>
      <c r="B47" t="s">
        <v>760</v>
      </c>
    </row>
    <row r="48" spans="1:2">
      <c r="A48">
        <v>48</v>
      </c>
      <c r="B48" t="s">
        <v>469</v>
      </c>
    </row>
    <row r="49" spans="1:2">
      <c r="A49">
        <v>49</v>
      </c>
      <c r="B49" t="s">
        <v>763</v>
      </c>
    </row>
    <row r="50" spans="1:2">
      <c r="A50">
        <v>50</v>
      </c>
      <c r="B50" t="s">
        <v>764</v>
      </c>
    </row>
    <row r="51" spans="1:2">
      <c r="A51">
        <v>51</v>
      </c>
      <c r="B51" t="s">
        <v>765</v>
      </c>
    </row>
    <row r="52" spans="1:2">
      <c r="A52">
        <v>52</v>
      </c>
      <c r="B52" t="s">
        <v>766</v>
      </c>
    </row>
    <row r="53" spans="1:2">
      <c r="A53">
        <v>53</v>
      </c>
      <c r="B53" s="102" t="s">
        <v>767</v>
      </c>
    </row>
    <row r="54" spans="1:2">
      <c r="A54">
        <v>54</v>
      </c>
      <c r="B54" t="s">
        <v>769</v>
      </c>
    </row>
    <row r="55" spans="1:2">
      <c r="A55">
        <v>55</v>
      </c>
      <c r="B55" t="s">
        <v>772</v>
      </c>
    </row>
    <row r="56" spans="1:2">
      <c r="A56">
        <v>56</v>
      </c>
      <c r="B56" t="s">
        <v>773</v>
      </c>
    </row>
    <row r="57" spans="1:2">
      <c r="A57">
        <v>57</v>
      </c>
      <c r="B57" s="102" t="s">
        <v>778</v>
      </c>
    </row>
    <row r="58" spans="1:2">
      <c r="A58">
        <v>58</v>
      </c>
      <c r="B58" t="s">
        <v>776</v>
      </c>
    </row>
    <row r="59" spans="1:2">
      <c r="A59">
        <v>59</v>
      </c>
      <c r="B59" t="s">
        <v>780</v>
      </c>
    </row>
    <row r="60" spans="1:2">
      <c r="A60">
        <v>60</v>
      </c>
      <c r="B60" s="102" t="s">
        <v>789</v>
      </c>
    </row>
    <row r="61" spans="1:2">
      <c r="A61">
        <v>61</v>
      </c>
      <c r="B61" t="s">
        <v>791</v>
      </c>
    </row>
    <row r="62" spans="1:2">
      <c r="A62">
        <v>62</v>
      </c>
      <c r="B62" t="s">
        <v>793</v>
      </c>
    </row>
    <row r="63" spans="1:2">
      <c r="A63">
        <v>63</v>
      </c>
      <c r="B63" s="102" t="s">
        <v>796</v>
      </c>
    </row>
    <row r="64" spans="1:2">
      <c r="A64">
        <v>64</v>
      </c>
      <c r="B64" t="s">
        <v>803</v>
      </c>
    </row>
    <row r="65" spans="1:2">
      <c r="A65">
        <v>65</v>
      </c>
      <c r="B65" t="s">
        <v>804</v>
      </c>
    </row>
    <row r="66" spans="1:2">
      <c r="A66">
        <v>66</v>
      </c>
      <c r="B66" t="s">
        <v>806</v>
      </c>
    </row>
    <row r="67" spans="1:2">
      <c r="A67">
        <v>67</v>
      </c>
      <c r="B67" t="s">
        <v>810</v>
      </c>
    </row>
    <row r="68" spans="1:2">
      <c r="A68">
        <v>68</v>
      </c>
      <c r="B68" t="s">
        <v>809</v>
      </c>
    </row>
    <row r="69" spans="1:2">
      <c r="A69">
        <v>69</v>
      </c>
      <c r="B69" t="s">
        <v>807</v>
      </c>
    </row>
    <row r="70" spans="1:2">
      <c r="A70">
        <v>70</v>
      </c>
      <c r="B70" t="s">
        <v>813</v>
      </c>
    </row>
    <row r="71" spans="1:2">
      <c r="A71">
        <v>71</v>
      </c>
      <c r="B71" t="s">
        <v>818</v>
      </c>
    </row>
    <row r="72" spans="1:2">
      <c r="A72">
        <v>72</v>
      </c>
      <c r="B72" t="s">
        <v>682</v>
      </c>
    </row>
    <row r="73" spans="1:2">
      <c r="A73">
        <v>73</v>
      </c>
      <c r="B73" t="s">
        <v>868</v>
      </c>
    </row>
    <row r="74" spans="1:2">
      <c r="A74">
        <v>74</v>
      </c>
      <c r="B74" t="s">
        <v>871</v>
      </c>
    </row>
    <row r="75" spans="1:2">
      <c r="A75">
        <v>75</v>
      </c>
      <c r="B75" t="s">
        <v>872</v>
      </c>
    </row>
    <row r="76" spans="1:2">
      <c r="A76">
        <v>76</v>
      </c>
      <c r="B76" t="s">
        <v>875</v>
      </c>
    </row>
    <row r="77" spans="1:2">
      <c r="A77">
        <v>77</v>
      </c>
      <c r="B77" t="s">
        <v>878</v>
      </c>
    </row>
    <row r="78" spans="1:2">
      <c r="A78">
        <v>78</v>
      </c>
      <c r="B78" t="s">
        <v>881</v>
      </c>
    </row>
    <row r="79" spans="1:2">
      <c r="A79">
        <v>79</v>
      </c>
      <c r="B79" t="s">
        <v>871</v>
      </c>
    </row>
    <row r="80" spans="1:2">
      <c r="A80">
        <v>80</v>
      </c>
      <c r="B80" t="s">
        <v>885</v>
      </c>
    </row>
    <row r="81" spans="1:2">
      <c r="A81">
        <v>81</v>
      </c>
      <c r="B81" t="s">
        <v>886</v>
      </c>
    </row>
    <row r="82" spans="1:2">
      <c r="A82">
        <v>82</v>
      </c>
      <c r="B82" t="s">
        <v>887</v>
      </c>
    </row>
    <row r="83" spans="1:2">
      <c r="A83">
        <v>83</v>
      </c>
      <c r="B83" s="102" t="s">
        <v>891</v>
      </c>
    </row>
    <row r="84" spans="1:2">
      <c r="A84">
        <v>84</v>
      </c>
      <c r="B84" t="s">
        <v>791</v>
      </c>
    </row>
    <row r="85" spans="1:2">
      <c r="A85">
        <v>85</v>
      </c>
      <c r="B85" t="s">
        <v>896</v>
      </c>
    </row>
    <row r="86" spans="1:2">
      <c r="A86">
        <v>86</v>
      </c>
      <c r="B86" s="102" t="s">
        <v>789</v>
      </c>
    </row>
    <row r="87" spans="1:2">
      <c r="A87">
        <v>87</v>
      </c>
      <c r="B87" t="s">
        <v>901</v>
      </c>
    </row>
    <row r="88" spans="1:2">
      <c r="A88">
        <v>88</v>
      </c>
      <c r="B88" t="s">
        <v>903</v>
      </c>
    </row>
    <row r="89" spans="1:2">
      <c r="A89">
        <v>89</v>
      </c>
      <c r="B89" s="102" t="s">
        <v>905</v>
      </c>
    </row>
    <row r="90" spans="1:2">
      <c r="A90">
        <v>90</v>
      </c>
    </row>
    <row r="91" spans="1:2">
      <c r="A91">
        <v>91</v>
      </c>
    </row>
    <row r="92" spans="1:2">
      <c r="A92">
        <v>92</v>
      </c>
    </row>
    <row r="93" spans="1:2">
      <c r="A93">
        <v>93</v>
      </c>
    </row>
    <row r="94" spans="1:2">
      <c r="A94">
        <v>94</v>
      </c>
    </row>
    <row r="95" spans="1:2">
      <c r="A95">
        <v>95</v>
      </c>
    </row>
    <row r="96" spans="1:2">
      <c r="A96">
        <v>96</v>
      </c>
    </row>
    <row r="97" spans="1:1">
      <c r="A97">
        <v>97</v>
      </c>
    </row>
    <row r="98" spans="1:1">
      <c r="A98">
        <v>98</v>
      </c>
    </row>
    <row r="99" spans="1:1">
      <c r="A99">
        <v>99</v>
      </c>
    </row>
    <row r="100" spans="1:1">
      <c r="A100">
        <v>100</v>
      </c>
    </row>
    <row r="101" spans="1:1">
      <c r="A101">
        <v>101</v>
      </c>
    </row>
    <row r="102" spans="1:1">
      <c r="A102">
        <v>102</v>
      </c>
    </row>
    <row r="103" spans="1:1">
      <c r="A103">
        <v>103</v>
      </c>
    </row>
    <row r="104" spans="1:1">
      <c r="A104">
        <v>104</v>
      </c>
    </row>
    <row r="105" spans="1:1">
      <c r="A105">
        <v>105</v>
      </c>
    </row>
    <row r="106" spans="1:1">
      <c r="A106">
        <v>106</v>
      </c>
    </row>
    <row r="107" spans="1:1">
      <c r="A107">
        <v>107</v>
      </c>
    </row>
    <row r="108" spans="1:1">
      <c r="A108">
        <v>108</v>
      </c>
    </row>
    <row r="109" spans="1:1">
      <c r="A109">
        <v>109</v>
      </c>
    </row>
    <row r="110" spans="1:1">
      <c r="A110">
        <v>110</v>
      </c>
    </row>
    <row r="111" spans="1:1">
      <c r="A111">
        <v>111</v>
      </c>
    </row>
    <row r="112" spans="1:1">
      <c r="A112">
        <v>112</v>
      </c>
    </row>
    <row r="113" spans="1:1">
      <c r="A113">
        <v>113</v>
      </c>
    </row>
    <row r="114" spans="1:1">
      <c r="A114">
        <v>114</v>
      </c>
    </row>
    <row r="115" spans="1:1">
      <c r="A115">
        <v>115</v>
      </c>
    </row>
    <row r="116" spans="1:1">
      <c r="A116">
        <v>116</v>
      </c>
    </row>
    <row r="117" spans="1:1">
      <c r="A117">
        <v>117</v>
      </c>
    </row>
    <row r="118" spans="1:1">
      <c r="A118">
        <v>118</v>
      </c>
    </row>
    <row r="119" spans="1:1">
      <c r="A119">
        <v>119</v>
      </c>
    </row>
    <row r="120" spans="1:1">
      <c r="A120">
        <v>120</v>
      </c>
    </row>
    <row r="121" spans="1:1">
      <c r="A121">
        <v>121</v>
      </c>
    </row>
    <row r="122" spans="1:1">
      <c r="A122">
        <v>122</v>
      </c>
    </row>
    <row r="123" spans="1:1">
      <c r="A123">
        <v>123</v>
      </c>
    </row>
    <row r="124" spans="1:1">
      <c r="A124">
        <v>124</v>
      </c>
    </row>
    <row r="125" spans="1:1">
      <c r="A125">
        <v>125</v>
      </c>
    </row>
    <row r="126" spans="1:1">
      <c r="A126">
        <v>126</v>
      </c>
    </row>
    <row r="127" spans="1:1">
      <c r="A127">
        <v>127</v>
      </c>
    </row>
    <row r="128" spans="1:1">
      <c r="A128">
        <v>128</v>
      </c>
    </row>
    <row r="129" spans="1:1">
      <c r="A129">
        <v>129</v>
      </c>
    </row>
    <row r="130" spans="1:1">
      <c r="A130">
        <v>130</v>
      </c>
    </row>
    <row r="131" spans="1:1">
      <c r="A131">
        <v>131</v>
      </c>
    </row>
    <row r="199" spans="7:7">
      <c r="G199" t="s">
        <v>808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PSM production</vt:lpstr>
      <vt:lpstr>Chemicals</vt:lpstr>
      <vt:lpstr>electricity consumption</vt:lpstr>
      <vt:lpstr>OVERHEAD</vt:lpstr>
      <vt:lpstr>Chemicals &amp; Solvents background</vt:lpstr>
      <vt:lpstr>Encapsulation materials</vt:lpstr>
      <vt:lpstr>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van der Windt</dc:creator>
  <cp:keywords/>
  <dc:description/>
  <cp:lastModifiedBy>Bogachuk, Dmitry</cp:lastModifiedBy>
  <cp:revision/>
  <dcterms:created xsi:type="dcterms:W3CDTF">2022-05-16T20:20:01Z</dcterms:created>
  <dcterms:modified xsi:type="dcterms:W3CDTF">2022-06-17T07:21:43Z</dcterms:modified>
  <cp:category/>
  <cp:contentStatus/>
</cp:coreProperties>
</file>