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athan\Desktop\Darrell\0 - Vaccine Controls\"/>
    </mc:Choice>
  </mc:AlternateContent>
  <bookViews>
    <workbookView xWindow="0" yWindow="0" windowWidth="22032" windowHeight="8712" activeTab="4"/>
  </bookViews>
  <sheets>
    <sheet name="Sheet1" sheetId="1" r:id="rId1"/>
    <sheet name="Sheet2" sheetId="2" r:id="rId2"/>
    <sheet name="Sheet3" sheetId="3" r:id="rId3"/>
    <sheet name="Combined" sheetId="4" r:id="rId4"/>
    <sheet name="Table_S1" sheetId="5" r:id="rId5"/>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11" i="5" l="1"/>
  <c r="M11" i="5"/>
  <c r="L11" i="5"/>
  <c r="K11" i="5"/>
  <c r="J11" i="5"/>
  <c r="P4" i="5" l="1"/>
  <c r="P5" i="5"/>
  <c r="P6" i="5"/>
  <c r="P7" i="5"/>
  <c r="P8" i="5"/>
  <c r="P3" i="5"/>
  <c r="O4" i="5"/>
  <c r="O5" i="5"/>
  <c r="O6" i="5"/>
  <c r="O7" i="5"/>
  <c r="O8" i="5"/>
  <c r="O3" i="5"/>
  <c r="C1" i="5" l="1"/>
  <c r="D1" i="5"/>
  <c r="E1" i="5"/>
  <c r="F1" i="5"/>
  <c r="G1" i="5"/>
  <c r="E3" i="5"/>
  <c r="L3" i="5" s="1"/>
  <c r="F3" i="5"/>
  <c r="G3" i="5"/>
  <c r="N3" i="5" s="1"/>
  <c r="M3" i="5"/>
  <c r="C4" i="5"/>
  <c r="D4" i="5"/>
  <c r="E4" i="5"/>
  <c r="L4" i="5" s="1"/>
  <c r="F4" i="5"/>
  <c r="G4" i="5"/>
  <c r="J4" i="5"/>
  <c r="K4" i="5"/>
  <c r="M4" i="5"/>
  <c r="N4" i="5"/>
  <c r="C5" i="5"/>
  <c r="J5" i="5" s="1"/>
  <c r="D5" i="5"/>
  <c r="E5" i="5"/>
  <c r="F5" i="5"/>
  <c r="G5" i="5"/>
  <c r="N5" i="5" s="1"/>
  <c r="K5" i="5"/>
  <c r="L5" i="5"/>
  <c r="M5" i="5"/>
  <c r="C6" i="5"/>
  <c r="D6" i="5"/>
  <c r="E6" i="5"/>
  <c r="L6" i="5" s="1"/>
  <c r="F6" i="5"/>
  <c r="G6" i="5"/>
  <c r="J6" i="5"/>
  <c r="K6" i="5"/>
  <c r="M6" i="5"/>
  <c r="N6" i="5"/>
  <c r="C7" i="5"/>
  <c r="D7" i="5"/>
  <c r="E7" i="5"/>
  <c r="F7" i="5"/>
  <c r="M7" i="5" s="1"/>
  <c r="J7" i="5"/>
  <c r="K7" i="5"/>
  <c r="L7" i="5"/>
  <c r="C8" i="5"/>
  <c r="D8" i="5"/>
  <c r="E8" i="5"/>
  <c r="F8" i="5"/>
  <c r="M8" i="5" s="1"/>
  <c r="J8" i="5"/>
  <c r="K8" i="5"/>
  <c r="L8" i="5"/>
  <c r="M3" i="4"/>
  <c r="N3" i="4"/>
  <c r="M4" i="4"/>
  <c r="N4" i="4"/>
  <c r="M5" i="4"/>
  <c r="N5" i="4"/>
  <c r="M6" i="4"/>
  <c r="N6" i="4"/>
  <c r="M7" i="4"/>
  <c r="N7" i="4"/>
  <c r="M8" i="4"/>
  <c r="N8" i="4"/>
  <c r="M9" i="4"/>
  <c r="N9" i="4"/>
  <c r="M10" i="4"/>
  <c r="N10" i="4"/>
  <c r="G20" i="4"/>
  <c r="H20" i="4"/>
  <c r="G22" i="4"/>
  <c r="H22" i="4"/>
  <c r="G21" i="4"/>
  <c r="H21" i="4"/>
  <c r="M19" i="4"/>
  <c r="N19" i="4"/>
  <c r="G26" i="4"/>
  <c r="H26" i="4"/>
  <c r="M20" i="4"/>
  <c r="N20" i="4"/>
  <c r="G25" i="4"/>
  <c r="H25" i="4"/>
  <c r="M21" i="4"/>
  <c r="N21" i="4"/>
  <c r="G27" i="4"/>
  <c r="H27" i="4"/>
  <c r="M22" i="4"/>
  <c r="N22" i="4"/>
  <c r="G23" i="4"/>
  <c r="H23" i="4"/>
  <c r="M23" i="4"/>
  <c r="N23" i="4"/>
  <c r="G24" i="4"/>
  <c r="H24" i="4"/>
  <c r="M24" i="4"/>
  <c r="N24" i="4"/>
  <c r="M25" i="4"/>
  <c r="N25" i="4"/>
  <c r="M26" i="4"/>
  <c r="N26" i="4"/>
  <c r="O16" i="3"/>
  <c r="P16" i="3"/>
  <c r="O17" i="3"/>
  <c r="P17" i="3"/>
  <c r="O18" i="3"/>
  <c r="P18" i="3"/>
  <c r="P15" i="3"/>
  <c r="O15" i="3"/>
  <c r="O26" i="3"/>
  <c r="P26" i="3"/>
  <c r="O27" i="3"/>
  <c r="P27" i="3"/>
  <c r="O28" i="3"/>
  <c r="P28" i="3"/>
  <c r="O29" i="3"/>
  <c r="P29" i="3"/>
  <c r="O30" i="3"/>
  <c r="P30" i="3"/>
  <c r="P25" i="3"/>
  <c r="O25" i="3"/>
  <c r="P108" i="1"/>
  <c r="P109" i="1"/>
  <c r="P110" i="1"/>
  <c r="P111" i="1"/>
  <c r="P112" i="1"/>
  <c r="P113" i="1"/>
  <c r="P114" i="1"/>
  <c r="P107" i="1"/>
  <c r="O108" i="1"/>
  <c r="O109" i="1"/>
  <c r="O110" i="1"/>
  <c r="O111" i="1"/>
  <c r="O112" i="1"/>
  <c r="O113" i="1"/>
  <c r="O114" i="1"/>
  <c r="O107" i="1"/>
  <c r="O95" i="1"/>
  <c r="P95" i="1"/>
  <c r="O96" i="1"/>
  <c r="P96" i="1"/>
  <c r="O97" i="1"/>
  <c r="P97" i="1"/>
  <c r="O98" i="1"/>
  <c r="P98" i="1"/>
  <c r="O99" i="1"/>
  <c r="P99" i="1"/>
  <c r="O100" i="1"/>
  <c r="P100" i="1"/>
  <c r="O101" i="1"/>
  <c r="P101" i="1"/>
  <c r="P94" i="1"/>
  <c r="O94" i="1"/>
  <c r="O78" i="2"/>
  <c r="P78" i="2"/>
  <c r="O79" i="2"/>
  <c r="P79" i="2"/>
  <c r="O80" i="2"/>
  <c r="P80" i="2"/>
  <c r="O81" i="2"/>
  <c r="P81" i="2"/>
  <c r="O82" i="2"/>
  <c r="P82" i="2"/>
  <c r="O83" i="2"/>
  <c r="P83" i="2"/>
  <c r="O84" i="2"/>
  <c r="P84" i="2"/>
  <c r="P77" i="2"/>
  <c r="O77" i="2"/>
  <c r="P92" i="2"/>
  <c r="P93" i="2"/>
  <c r="P94" i="2"/>
  <c r="P95" i="2"/>
  <c r="P96" i="2"/>
  <c r="P97" i="2"/>
  <c r="P98" i="2"/>
  <c r="P91" i="2"/>
  <c r="O92" i="2"/>
  <c r="O93" i="2"/>
  <c r="O94" i="2"/>
  <c r="O95" i="2"/>
  <c r="O96" i="2"/>
  <c r="O97" i="2"/>
  <c r="O98" i="2"/>
  <c r="O91" i="2"/>
</calcChain>
</file>

<file path=xl/sharedStrings.xml><?xml version="1.0" encoding="utf-8"?>
<sst xmlns="http://schemas.openxmlformats.org/spreadsheetml/2006/main" count="2209" uniqueCount="969">
  <si>
    <t>https://www.cdc.gov/vaccines/covid-19/info-by-product/pfizer/reactogenicity.html</t>
  </si>
  <si>
    <t>Pfizer-BioNTech COVID-19 Vaccine Reactions &amp; Adverse Events</t>
  </si>
  <si>
    <t>On This Page</t>
  </si>
  <si>
    <t>Persons Aged ≥18 Years</t>
  </si>
  <si>
    <t>Local Reactions</t>
  </si>
  <si>
    <t>Systemic Reactions</t>
  </si>
  <si>
    <t>Unsolicited Adverse Events</t>
  </si>
  <si>
    <t>Serious Adverse Events</t>
  </si>
  <si>
    <t>Persons Aged 12 – 15 Years</t>
  </si>
  <si>
    <t>Persons Aged 5 – 11 Years</t>
  </si>
  <si>
    <t>Among all study vaccine recipients asked to complete diaries of their symptoms during the 7 days after vaccination, 84.7% reported at least one local injection site reaction. By age group, 88.7% in the younger group (aged 18 to 55 years) and 79.7% in the older group (aged &gt;55 years) reported at least one local reaction. Pain at the injection site was the most frequent and severe solicited local reaction among vaccine recipients. After dose 1, the younger age group reported pain more frequently than the older age group (83.1% vs 71.1%); a similar pattern was observed after dose 2 (77.8% vs 66.1%). Injection site redness and swelling following either dose were reported less frequently than injection site pain. Redness and swelling were slightly more common after dose 2. No grade 4 local reactions were reported. Overall, the median onset of local reactions in the vaccine group was 0 (day of vaccination) to 2 days after either dose and lasted a median duration between 1 and 2 days. Data on local reactions were not solicited from persons aged 16-17 years. However, their reactions to vaccination are expected to be similar to those of young adults who were included. In addition, reactogenicity data from adolescents aged 12-15 years were obtained and reviewed, and were similar to those from adults aged 18-55 years. This data is presented in Table 1 and Table 2 immediately below this paragraph.</t>
  </si>
  <si>
    <t>Table 1. Local reactions in persons aged 18-55 years, Pfizer-BioNTech COVID-19 vaccine and placebo</t>
  </si>
  <si>
    <t>Table 1. Local reactions in persons aged 16-55 years, Pfizer-BioNTech COVID-19 vaccine and Placebo</t>
  </si>
  <si>
    <t>Dose 1</t>
  </si>
  <si>
    <t>Dose 2</t>
  </si>
  <si>
    <t>Pfizer-BioNTech Vaccine</t>
  </si>
  <si>
    <t>N=2291</t>
  </si>
  <si>
    <t>Placebo</t>
  </si>
  <si>
    <t>N=2298</t>
  </si>
  <si>
    <t>N=2098</t>
  </si>
  <si>
    <t>N=2103</t>
  </si>
  <si>
    <t>Rednessa, n (%)</t>
  </si>
  <si>
    <t>Any</t>
  </si>
  <si>
    <t>104 (4.5)</t>
  </si>
  <si>
    <t>26 (1.1)</t>
  </si>
  <si>
    <t>123 (5.9)</t>
  </si>
  <si>
    <t>14 (0.7)</t>
  </si>
  <si>
    <t>Mild</t>
  </si>
  <si>
    <t>70 (3.1)</t>
  </si>
  <si>
    <t>16 (0.7)</t>
  </si>
  <si>
    <t>73 (3.5)</t>
  </si>
  <si>
    <t>8 (0.4)</t>
  </si>
  <si>
    <t>Moderate</t>
  </si>
  <si>
    <t>28 (1.2)</t>
  </si>
  <si>
    <t>6 (0.3)</t>
  </si>
  <si>
    <t>40 (1.9)</t>
  </si>
  <si>
    <t>Severe</t>
  </si>
  <si>
    <t>4 (0.2</t>
  </si>
  <si>
    <t>10 (0.5)</t>
  </si>
  <si>
    <t>0 (0)</t>
  </si>
  <si>
    <t>Grade 4</t>
  </si>
  <si>
    <t>Swellinga, n (%)</t>
  </si>
  <si>
    <t>132 (5.8)</t>
  </si>
  <si>
    <t>11 (0.5)</t>
  </si>
  <si>
    <t>132 (6.3)</t>
  </si>
  <si>
    <t>5 (0.2)</t>
  </si>
  <si>
    <t>88 (3.8)</t>
  </si>
  <si>
    <t>3 (0.1)</t>
  </si>
  <si>
    <t>80 (3.8)</t>
  </si>
  <si>
    <t>39 (1.7)</t>
  </si>
  <si>
    <t>45 (2.1)</t>
  </si>
  <si>
    <t>2 (0.1)</t>
  </si>
  <si>
    <t>7 (0.3)</t>
  </si>
  <si>
    <t>Pain at the injection siteb, n (%)</t>
  </si>
  <si>
    <t>1904 (83.1)</t>
  </si>
  <si>
    <t>322 (14.0)</t>
  </si>
  <si>
    <t>1632 (77.8)</t>
  </si>
  <si>
    <t>245 (11.7)</t>
  </si>
  <si>
    <t>1170 (51.1)</t>
  </si>
  <si>
    <t>308 (13.4)</t>
  </si>
  <si>
    <t>1039 (49.5)</t>
  </si>
  <si>
    <t>225 (10.7)</t>
  </si>
  <si>
    <t>710 (31.0)</t>
  </si>
  <si>
    <t>12 (0.5)</t>
  </si>
  <si>
    <t>568 (27.1)</t>
  </si>
  <si>
    <t>20 (1.0)</t>
  </si>
  <si>
    <t>24 (1.0)</t>
  </si>
  <si>
    <t>25 (1.2)</t>
  </si>
  <si>
    <t>aMild: &gt;2.0 to 5.0 cm; moderate: &gt;5.0 to 10.0 cm; severe: &gt;10.0 cm; Grade 4: necrosis (redness and swelling categories) or exfoliative dermatitis (redness category only).</t>
  </si>
  <si>
    <t>bMild: does not interfere with activity; moderate: interferes with activity; severe: prevents daily activity; Grade 4: emergency room visit or hospitalization for severe pain at the injection site.</t>
  </si>
  <si>
    <t>Table 2. Local reactions in persons aged &gt;55 years, Pfizer-BioNTech COVID-19 vaccine and placebo</t>
  </si>
  <si>
    <t>Table 2. Local reactions in persons aged &gt;55 years, Pfizer-BioNTech COVID-19 vaccine and Placebo</t>
  </si>
  <si>
    <t>N=1802</t>
  </si>
  <si>
    <t>N=1792</t>
  </si>
  <si>
    <t>N=1660</t>
  </si>
  <si>
    <t>N=1646</t>
  </si>
  <si>
    <t>85 (4.7)</t>
  </si>
  <si>
    <t>19 (1.1)</t>
  </si>
  <si>
    <t>120 (7.2)</t>
  </si>
  <si>
    <t>12 (0.7)</t>
  </si>
  <si>
    <t>55 (3.1)</t>
  </si>
  <si>
    <t>59 (3.6)</t>
  </si>
  <si>
    <t>8 (0.5)</t>
  </si>
  <si>
    <t>27 (1.5)</t>
  </si>
  <si>
    <t>5 (0.3)</t>
  </si>
  <si>
    <t>53 (3.2)</t>
  </si>
  <si>
    <t>3 (0.2)</t>
  </si>
  <si>
    <t>1 (0.1)</t>
  </si>
  <si>
    <t>0 (0.0)</t>
  </si>
  <si>
    <t>118 (6.5)</t>
  </si>
  <si>
    <t>21 (1.2)</t>
  </si>
  <si>
    <t>124 (7.5)</t>
  </si>
  <si>
    <t>11 (0.7)</t>
  </si>
  <si>
    <t>71 (3.9)</t>
  </si>
  <si>
    <t>10 (0.6)</t>
  </si>
  <si>
    <t>68 (4.1)</t>
  </si>
  <si>
    <t>45 (2.5)</t>
  </si>
  <si>
    <t>11 (0.6)</t>
  </si>
  <si>
    <t>1282 (71.1)</t>
  </si>
  <si>
    <t>166 (9.3)</t>
  </si>
  <si>
    <t>1098 (66.1)</t>
  </si>
  <si>
    <t>127 (7.7)</t>
  </si>
  <si>
    <t>1008 (55.9)</t>
  </si>
  <si>
    <t>160 (8.9)</t>
  </si>
  <si>
    <t>792 (47.7)</t>
  </si>
  <si>
    <t>270 (15.0)</t>
  </si>
  <si>
    <t>298 (18.0)</t>
  </si>
  <si>
    <t>4 (0.2)</t>
  </si>
  <si>
    <t>a Mild: &gt;2.0 to 5.0 cm; moderate: &gt;5.0 to 10.0 cm; severe: &gt;10.0 cm; Grade 4: necrosis (redness and swelling categories) or exfoliative dermatitis (redness category only).</t>
  </si>
  <si>
    <t>b Mild: does not interfere with activity; moderate: interferes with activity; severe: prevents daily activity; Grade 4: emergency room visit or hospitalization for severe pain at the injection site.</t>
  </si>
  <si>
    <t>Among all vaccine recipients asked to complete diaries of their symptoms during the 7 days after vaccination, 77.4% reported at least one systemic reaction. The frequency of systemic adverse events was higher in the younger than the older age group (82.8% vs 70.6%). Within each age group, the frequency and severity of systemic adverse events was higher after dose 2 than dose 1. Vomiting and diarrhea were exceptions, and similar between vaccine and placebo groups and regardless of dose. For both age groups, fatigue, headache and new or worsened muscle pain were most common. The majority of systemic events were mild or moderate in severity, after both doses and in both age groups. Fever was more common after the second dose and in the younger group (15.8%) compared to the older group (10.9%). Overall, the median onset of systemic adverse events in the vaccine group in general was 1 to 2 days after either dose and lasted a median duration of 1 day. Four grade 4 fevers (&gt;40.0°C) were reported, two in the vaccine group and two in the placebo group. No other systemic grade 4 reactions were reported. Data on systemic reactions were not solicited from persons aged 16-17 years. However, their reactions to vaccination are expected to be similar to those of young adults who were included. In addition, reactogenicity data from adolescents aged 12-15 years were obtained and reviewed, and were similar to those from adults aged 18-55 years. This data is presented in Table 3 and Table 4 immediately below this paragraph.</t>
  </si>
  <si>
    <t>Table 3. Systemic reactions in persons aged 18-55 years, Pfizer-BioNTech COVID-19 vaccine and placebo</t>
  </si>
  <si>
    <t>Table 3. Systemic reactions in persons aged 16-55 years, Pfizer-BioNTech COVID-19 vaccine and Placebo</t>
  </si>
  <si>
    <t>Fever, n (%)</t>
  </si>
  <si>
    <t>≥38.0°C</t>
  </si>
  <si>
    <t>85 (3.7)</t>
  </si>
  <si>
    <t>20 (0.9)</t>
  </si>
  <si>
    <t>331 (15.8)</t>
  </si>
  <si>
    <t>≥38.0°C to 38.4°C</t>
  </si>
  <si>
    <t>64 (2.8)</t>
  </si>
  <si>
    <t>10 (0.4)</t>
  </si>
  <si>
    <t>194 (9.2)</t>
  </si>
  <si>
    <t>&gt;38.4°C to 38.9°C</t>
  </si>
  <si>
    <t>15 (0.7)</t>
  </si>
  <si>
    <t>110 (5.2)</t>
  </si>
  <si>
    <t>&gt;38.9°C to 40.0°C</t>
  </si>
  <si>
    <t>26 (1.2)</t>
  </si>
  <si>
    <t>&gt;40.0°C</t>
  </si>
  <si>
    <t>1 (0)</t>
  </si>
  <si>
    <t>Fatiguea, n (%)</t>
  </si>
  <si>
    <t>1085 (47.4)</t>
  </si>
  <si>
    <t>767 (33.4)</t>
  </si>
  <si>
    <t>1247 (59.4)</t>
  </si>
  <si>
    <t>479 (22.8)</t>
  </si>
  <si>
    <t>597 (26.1)</t>
  </si>
  <si>
    <t>467 (20.3)</t>
  </si>
  <si>
    <t>442 (21.1)</t>
  </si>
  <si>
    <t>248 (11.8)</t>
  </si>
  <si>
    <t>455 (19.9)</t>
  </si>
  <si>
    <t>289 (12.6)</t>
  </si>
  <si>
    <t>708 (33.7)</t>
  </si>
  <si>
    <t>217 (10.3)</t>
  </si>
  <si>
    <t>33 (1.4)</t>
  </si>
  <si>
    <t>97 (4.6)</t>
  </si>
  <si>
    <t>Headachea, n (%)</t>
  </si>
  <si>
    <t>959 (41.9)</t>
  </si>
  <si>
    <t>775 (33.7)</t>
  </si>
  <si>
    <t>1085 (51.7)</t>
  </si>
  <si>
    <t>506 (24.1)</t>
  </si>
  <si>
    <t>628 (27.4)</t>
  </si>
  <si>
    <t>505 (22.0)</t>
  </si>
  <si>
    <t>538 (25.6)</t>
  </si>
  <si>
    <t>321 )15.3)</t>
  </si>
  <si>
    <t>251 (10.9)</t>
  </si>
  <si>
    <t>480 (22.9)</t>
  </si>
  <si>
    <t>170 (8.1)</t>
  </si>
  <si>
    <t>23 (1.0)</t>
  </si>
  <si>
    <t>19 (0.8)</t>
  </si>
  <si>
    <t>67 (3.2)</t>
  </si>
  <si>
    <t>Chillsa, n (%)</t>
  </si>
  <si>
    <t>321 (14.0)</t>
  </si>
  <si>
    <t>146 (6.4)</t>
  </si>
  <si>
    <t>737 (35.1)</t>
  </si>
  <si>
    <t>79 (3.8)</t>
  </si>
  <si>
    <t>230 (10.0)</t>
  </si>
  <si>
    <t>111 (4.8)</t>
  </si>
  <si>
    <t>359 (17.1)</t>
  </si>
  <si>
    <t>65 (3.1)</t>
  </si>
  <si>
    <t>82 (3.6)</t>
  </si>
  <si>
    <t>333 (15.9)</t>
  </si>
  <si>
    <t>9 (0.4)</t>
  </si>
  <si>
    <t>Vomitingb, n (%)</t>
  </si>
  <si>
    <t>22 (1.0)</t>
  </si>
  <si>
    <t>28 (1.3)</t>
  </si>
  <si>
    <t>16 (0.8)</t>
  </si>
  <si>
    <t>Diarrheac, n (%)</t>
  </si>
  <si>
    <t>255 (11.1)</t>
  </si>
  <si>
    <t>270 (11.7)</t>
  </si>
  <si>
    <t>219 (10.4)</t>
  </si>
  <si>
    <t>177 (8.4)</t>
  </si>
  <si>
    <t>206 (9.0)</t>
  </si>
  <si>
    <t>217 (9.4)</t>
  </si>
  <si>
    <t>179 (8.5)</t>
  </si>
  <si>
    <t>144 (6.8)</t>
  </si>
  <si>
    <t>46 (2.0)</t>
  </si>
  <si>
    <t>52 (2.3)</t>
  </si>
  <si>
    <t>36 (1.7)</t>
  </si>
  <si>
    <t>32 (1.5)</t>
  </si>
  <si>
    <t>New or worsening muscle paina, n (%)</t>
  </si>
  <si>
    <t>487 (21.3)</t>
  </si>
  <si>
    <t>249 (10.8)</t>
  </si>
  <si>
    <t>783 (37.3)</t>
  </si>
  <si>
    <t>173 (8.2)</t>
  </si>
  <si>
    <t>256 (11.2)</t>
  </si>
  <si>
    <t>175 (7.6)</t>
  </si>
  <si>
    <t>326 (15.5)</t>
  </si>
  <si>
    <t>111 (5.3)</t>
  </si>
  <si>
    <t>218 (9.5)</t>
  </si>
  <si>
    <t>72 (3.1)</t>
  </si>
  <si>
    <t>410 (19.5)</t>
  </si>
  <si>
    <t>59 (2.8)</t>
  </si>
  <si>
    <t>13 (0.6)</t>
  </si>
  <si>
    <t>47 (2.2)</t>
  </si>
  <si>
    <t>New or worsening joint paina, n (%)</t>
  </si>
  <si>
    <t>251 (11.0)</t>
  </si>
  <si>
    <t>138 (6.0)</t>
  </si>
  <si>
    <t>459 (21.9)</t>
  </si>
  <si>
    <t>109 (5.2)</t>
  </si>
  <si>
    <t>147 (6.4)</t>
  </si>
  <si>
    <t>95 (4.1)</t>
  </si>
  <si>
    <t>205 (9.8)</t>
  </si>
  <si>
    <t>54 (2.6)</t>
  </si>
  <si>
    <t>99 (4.3)</t>
  </si>
  <si>
    <t>43 (1.9)</t>
  </si>
  <si>
    <t>234 (11.2)</t>
  </si>
  <si>
    <t>51 (2.4)</t>
  </si>
  <si>
    <t>Use of antipyretic or pain medication</t>
  </si>
  <si>
    <t>638 (27.8)</t>
  </si>
  <si>
    <t>332 (14.4)</t>
  </si>
  <si>
    <t>945 (45.0)</t>
  </si>
  <si>
    <t>266 (12.6)</t>
  </si>
  <si>
    <t>a Mild: does not interfere with activity; moderate: some interference with activity; severe: prevents daily activity; Grade 4: emergency room visit or hospitalization for severe fatigue, severe headache, severe muscle pain, or severe joint pain.</t>
  </si>
  <si>
    <t>b Mild: 1 to 2 times in 24 hours; moderate: &gt;2 times in 24 hours; severe: requires intravenous hydration; Grade 4: emergency room visit or hospitalization for severe vomiting.</t>
  </si>
  <si>
    <t>cMild: 2 to 3 loose stools in 24 hours; moderate: 4 to 5 loose stools in 24 hours; severe: 6 or more loose stools in 24 hours; Grade 4: emergency room visit or hospitalization for severe diarrhea.</t>
  </si>
  <si>
    <t>Table 4. Systemic reactions in persons aged &gt;55 years, Pfizer-BioNTech COVID-19 vaccine and placebo</t>
  </si>
  <si>
    <t>Table 4. Systemic reactions in persons aged &gt;55 years, Pfizer-BioNTech COVID-19 vaccine and Placebo</t>
  </si>
  <si>
    <t>Fever</t>
  </si>
  <si>
    <t>26 (1.4)</t>
  </si>
  <si>
    <t>7 (0.4)</t>
  </si>
  <si>
    <t>181 (10.9)</t>
  </si>
  <si>
    <t>23 (1.3)</t>
  </si>
  <si>
    <t>131 (7.9)</t>
  </si>
  <si>
    <t>45 (2.7)</t>
  </si>
  <si>
    <t>615 (34.1)</t>
  </si>
  <si>
    <t>405 (22.6)</t>
  </si>
  <si>
    <t>839 (50.5)</t>
  </si>
  <si>
    <t>277 (16.8)</t>
  </si>
  <si>
    <t>373 (20.7)</t>
  </si>
  <si>
    <t>252 (14.1)</t>
  </si>
  <si>
    <t>351 (21.1)</t>
  </si>
  <si>
    <t>161 (9.8)</t>
  </si>
  <si>
    <t>240 (13.3)</t>
  </si>
  <si>
    <t>150 (8.4)</t>
  </si>
  <si>
    <t>442 (26.6)</t>
  </si>
  <si>
    <t>114 (6.9)</t>
  </si>
  <si>
    <t>46 (2.8)</t>
  </si>
  <si>
    <t>454 (25.2)</t>
  </si>
  <si>
    <t>325 (18.1)</t>
  </si>
  <si>
    <t>647 (39.0)</t>
  </si>
  <si>
    <t>229 (13.9)</t>
  </si>
  <si>
    <t>348 (19.3)</t>
  </si>
  <si>
    <t>242 (13.5)</t>
  </si>
  <si>
    <t>422 (25.4)</t>
  </si>
  <si>
    <t>165 (10.0)</t>
  </si>
  <si>
    <t>104 (5.8)</t>
  </si>
  <si>
    <t>80 (4.5)</t>
  </si>
  <si>
    <t>216 (13.0)</t>
  </si>
  <si>
    <t>60 (3.6)</t>
  </si>
  <si>
    <t>9 (0.5)</t>
  </si>
  <si>
    <t>113 (6.3)</t>
  </si>
  <si>
    <t>57 (3.2)</t>
  </si>
  <si>
    <t>377 (22.7)</t>
  </si>
  <si>
    <t>87 (4.8)</t>
  </si>
  <si>
    <t>40 (2.2)</t>
  </si>
  <si>
    <t>199 (12.0)</t>
  </si>
  <si>
    <t>35 (2.1)</t>
  </si>
  <si>
    <t>16 (0.9)</t>
  </si>
  <si>
    <t>161 (9.7)</t>
  </si>
  <si>
    <t> 0 (0)</t>
  </si>
  <si>
    <t>17 (1.0)</t>
  </si>
  <si>
    <t>147 (8.2)</t>
  </si>
  <si>
    <t>118 (6.6)</t>
  </si>
  <si>
    <t>137 (8.3)</t>
  </si>
  <si>
    <t>99 (6.0)</t>
  </si>
  <si>
    <t>100 (5.6)</t>
  </si>
  <si>
    <t>73 (4.4)</t>
  </si>
  <si>
    <t>17 (0.9)</t>
  </si>
  <si>
    <t>21 (1.3)</t>
  </si>
  <si>
    <t>22 (1.3)</t>
  </si>
  <si>
    <t>251 (13.9)</t>
  </si>
  <si>
    <t>149 (8.3)</t>
  </si>
  <si>
    <t>477 (28.7)</t>
  </si>
  <si>
    <t>87 (5.3)</t>
  </si>
  <si>
    <t>168 (9.3)</t>
  </si>
  <si>
    <t>202 (12.2)</t>
  </si>
  <si>
    <t>57 (3.5)</t>
  </si>
  <si>
    <t>82 (4.6)</t>
  </si>
  <si>
    <t>46 (2.6)</t>
  </si>
  <si>
    <t>259 (15.6)</t>
  </si>
  <si>
    <t>29 (1.8)</t>
  </si>
  <si>
    <t>16 (1.0)</t>
  </si>
  <si>
    <t>155 (8.6)</t>
  </si>
  <si>
    <t>109 (6.1)</t>
  </si>
  <si>
    <t>313 (18.9)</t>
  </si>
  <si>
    <t>61 (3.7)</t>
  </si>
  <si>
    <t>101 (5.6)</t>
  </si>
  <si>
    <t>68 (3.8)</t>
  </si>
  <si>
    <t>52 (2.9)</t>
  </si>
  <si>
    <t>145 (8.7)</t>
  </si>
  <si>
    <t>25 (1.5)</t>
  </si>
  <si>
    <t>358 (19.9)</t>
  </si>
  <si>
    <t>213 (11.9)</t>
  </si>
  <si>
    <t>625 (37.7)</t>
  </si>
  <si>
    <t>c Mild: 2 to 3 loose stools in 24 hours; moderate: 4 to 5 loose stools in 24 hours; severe: 6 or more loose stools in 24 hours; Grade 4: emergency room visit or hospitalization for severe diarrhea.</t>
  </si>
  <si>
    <t>Reports of lymphadenopathy were imbalanced with 58 more cases in the vaccine group (64) than the placebo group (6); lymphadenopathy is plausibly related to the vaccine. Lymphadenopathy occurred in the arm and neck region and was reported within 2 to 4 days after vaccination. The average duration of lymphadenopathy was approximately 10 days. Bell’s palsy was reported by four vaccine recipients and none of the placebo recipients. The observed frequency of reported Bell’s palsy in the vaccine group is consistent with the background rate in the general population, and there is no basis upon which to conclude a causal relationship.</t>
  </si>
  <si>
    <t>Serious adverse events were defined as any untoward medical occurrence that resulted in death, was life-threatening, required inpatient hospitalization or prolongation of existing hospitalization, or resulted in persistent disability/incapacity. The proportions of participants who reported at least 1 serious adverse event were 0.6% in the vaccine group and 0.5% in the placebo group. The most common serious adverse events in the vaccine group which were numerically higher than in the placebo group were appendicitis (7 in vaccine vs 2 in placebo), acute myocardial infarction (3 vs 0), and cerebrovascular accident (3 vs 1). Cardiovascular serious adverse events were balanced between vaccine and placebo groups. Two serious adverse events were considered by U.S. Food and Drug Administration (FDA) as possibly related to vaccine: shoulder injury possibly related to vaccine administration or to the vaccine itself, and lymphadenopathy involving the axilla contralateral to the vaccine injection site. Otherwise, occurrence of severe adverse events involving system organ classes and specific preferred terms were balanced between vaccine and placebo groups.</t>
  </si>
  <si>
    <t>Data source: FDA briefing documentexternal icon</t>
  </si>
  <si>
    <t>Top of Page</t>
  </si>
  <si>
    <t>Among all study vaccine recipients aged 12–15 years, 90.9% reported at least one local injection site reaction in the 7 days after vaccination. Pain at the injection site was the most frequent and severe solicited local reaction among vaccine recipients and was slightly more common after dose 2. No grade 4 local reactions were reported. The median onset of local reactions in the vaccine group was 0 (day of vaccination) to 2 days after either dose and lasted a median duration between 1 and 3 days. This data is presented in Table 5 below.</t>
  </si>
  <si>
    <t>Table 5. Local reactions in persons aged 12-15 years, Pfizer-BioNTech COVID-19 vaccine and placebo</t>
  </si>
  <si>
    <t>12-15 Years</t>
  </si>
  <si>
    <t>N=1127</t>
  </si>
  <si>
    <t>N=1097</t>
  </si>
  <si>
    <t>N=1078</t>
  </si>
  <si>
    <t>65 (5.8)</t>
  </si>
  <si>
    <t>12 (1.1)</t>
  </si>
  <si>
    <t>55 (5.0)</t>
  </si>
  <si>
    <t>10 (0.9)</t>
  </si>
  <si>
    <t>44 (3.9)</t>
  </si>
  <si>
    <t>11 (1.0)</t>
  </si>
  <si>
    <t>29 (2.6)</t>
  </si>
  <si>
    <t>8 (0.7)</t>
  </si>
  <si>
    <t>20 (1.8)</t>
  </si>
  <si>
    <t>26 (2.4)</t>
  </si>
  <si>
    <t>2 (0.2)</t>
  </si>
  <si>
    <t>78 (6.9)</t>
  </si>
  <si>
    <t>54 (4.9)</t>
  </si>
  <si>
    <t>6 (0.6)</t>
  </si>
  <si>
    <t>55 (4.9)</t>
  </si>
  <si>
    <t>9 (0.8)</t>
  </si>
  <si>
    <t>36 (3.3)</t>
  </si>
  <si>
    <t>4 (0.4)</t>
  </si>
  <si>
    <t>23 (2.0)</t>
  </si>
  <si>
    <t>18 (1.6)</t>
  </si>
  <si>
    <t>971 (86.2)</t>
  </si>
  <si>
    <t>263 (23.3)</t>
  </si>
  <si>
    <t>866 (78.9)</t>
  </si>
  <si>
    <t>193 (17.9)</t>
  </si>
  <si>
    <t>467 (41.4)</t>
  </si>
  <si>
    <t>227 (20.1)</t>
  </si>
  <si>
    <t>466 (42.5)</t>
  </si>
  <si>
    <t>164 (15.2)</t>
  </si>
  <si>
    <t>493 (43.7)</t>
  </si>
  <si>
    <t>36 (3.2)</t>
  </si>
  <si>
    <t>393 (35.8)</t>
  </si>
  <si>
    <t>29 (2.7)</t>
  </si>
  <si>
    <t>7 (0.6)</t>
  </si>
  <si>
    <t>Among all vaccine recipients, 90.7% reported at least one systemic reaction in the 7 days after vaccination. The frequency and severity of systemic adverse events was higher after dose 2 than dose 1. Vomiting and diarrhea were exceptions, and similar between vaccine and placebo groups and regardless of dose. Fatigue, headache, chills, and new or worsened muscle pain were most common. The majority of systemic events were mild or moderate in severity, after both doses. Fever was more common after the second dose than after the first dose. Overall, the median onset of systemic adverse events in the vaccine group in general was 1 to 3 days after either dose and lasted a median duration of 1 to 2 days. One grade 4 fever (&gt;40.0°C) was reported in the vaccine group. No other systemic grade 4 reactions were reported. This data is presented in Table 6 below.</t>
  </si>
  <si>
    <t>Table 6. Systemic reactions in persons aged 12-15 years, Pfizer-BioNTech COVID-19 vaccine and placebo</t>
  </si>
  <si>
    <t>114 (10.1)</t>
  </si>
  <si>
    <t>215 (19.6)</t>
  </si>
  <si>
    <t>74 (6.6)</t>
  </si>
  <si>
    <t>107 (9.8)</t>
  </si>
  <si>
    <t>5 (0.5)</t>
  </si>
  <si>
    <t>83 (7.6)</t>
  </si>
  <si>
    <t>25 (2.3)</t>
  </si>
  <si>
    <t>677 (60.1)</t>
  </si>
  <si>
    <t>457 (40.6)</t>
  </si>
  <si>
    <t>726 (66.2)</t>
  </si>
  <si>
    <t>264 (24.5)</t>
  </si>
  <si>
    <t>278 (24.7)</t>
  </si>
  <si>
    <t>250 (22.2)</t>
  </si>
  <si>
    <t>232 (21.1)</t>
  </si>
  <si>
    <t>133 (12.3)</t>
  </si>
  <si>
    <t>384 (34.1)</t>
  </si>
  <si>
    <t>199 (17.7)</t>
  </si>
  <si>
    <t>468 (42.7)</t>
  </si>
  <si>
    <t>127 (11.8)</t>
  </si>
  <si>
    <t>15 (1.3)</t>
  </si>
  <si>
    <t>623 (55.3)</t>
  </si>
  <si>
    <t>396 (35.1)</t>
  </si>
  <si>
    <t>708 (64.5)</t>
  </si>
  <si>
    <t>263 (24.4)</t>
  </si>
  <si>
    <t>361 (32.0)</t>
  </si>
  <si>
    <t>256 (22.7)</t>
  </si>
  <si>
    <t>302 (27.5)</t>
  </si>
  <si>
    <t>169 (15.7)</t>
  </si>
  <si>
    <t>251 (22.3)</t>
  </si>
  <si>
    <t>131 (11.6)</t>
  </si>
  <si>
    <t>384 (35.0)</t>
  </si>
  <si>
    <t>93 (8.6)</t>
  </si>
  <si>
    <t>22 (2.0)</t>
  </si>
  <si>
    <t>311 (27.6)</t>
  </si>
  <si>
    <t>109 (9.7)</t>
  </si>
  <si>
    <t>455 (41.5)</t>
  </si>
  <si>
    <t>73 (6.8)</t>
  </si>
  <si>
    <t>195 (17.3)</t>
  </si>
  <si>
    <t>82 (7.3)</t>
  </si>
  <si>
    <t>221 (20.1)</t>
  </si>
  <si>
    <t>52 (4.8)</t>
  </si>
  <si>
    <t>111 (9.8)</t>
  </si>
  <si>
    <t>25 (2.2)</t>
  </si>
  <si>
    <t>214 (19.5)</t>
  </si>
  <si>
    <t>21 (1.9)</t>
  </si>
  <si>
    <t>5 (0.4)</t>
  </si>
  <si>
    <t>31 (2.8)</t>
  </si>
  <si>
    <t>30 (2.7)</t>
  </si>
  <si>
    <t>90 (8.0)</t>
  </si>
  <si>
    <t>65 (5.9)</t>
  </si>
  <si>
    <t>43 (4.0)</t>
  </si>
  <si>
    <t>77 (6.8)</t>
  </si>
  <si>
    <t>72 (6.4)</t>
  </si>
  <si>
    <t>59 (5.4)</t>
  </si>
  <si>
    <t>38 (3.5)</t>
  </si>
  <si>
    <t>13 (1.2)</t>
  </si>
  <si>
    <t>6 (0.5)</t>
  </si>
  <si>
    <t>272 (24.1)</t>
  </si>
  <si>
    <t>148 (13.1)</t>
  </si>
  <si>
    <t>355 (32.4)</t>
  </si>
  <si>
    <t>90 (8.3)</t>
  </si>
  <si>
    <t>125 (11.1)</t>
  </si>
  <si>
    <t>88 (7.8)</t>
  </si>
  <si>
    <t>152 (13.9)</t>
  </si>
  <si>
    <t>51 (4.7)</t>
  </si>
  <si>
    <t>145 (12.9)</t>
  </si>
  <si>
    <t>60 (5.3)</t>
  </si>
  <si>
    <t>197 (18.0)</t>
  </si>
  <si>
    <t>37 (3.4)</t>
  </si>
  <si>
    <t>173 (15.8)</t>
  </si>
  <si>
    <t>66 (5.9)</t>
  </si>
  <si>
    <t>50 (4.4)</t>
  </si>
  <si>
    <t>91 (8.3)</t>
  </si>
  <si>
    <t>30 (2.8)</t>
  </si>
  <si>
    <t>42 (3.7)</t>
  </si>
  <si>
    <t>27 (2.4)</t>
  </si>
  <si>
    <t>78 (7.1)</t>
  </si>
  <si>
    <t>Any systemic event</t>
  </si>
  <si>
    <t>877 (77.8)</t>
  </si>
  <si>
    <t>636 (56.4)</t>
  </si>
  <si>
    <t>904 (82.4)</t>
  </si>
  <si>
    <t>439 (40.7)</t>
  </si>
  <si>
    <t>Use of antipyretic or pain medication, n (%)</t>
  </si>
  <si>
    <t>413 (36.6)</t>
  </si>
  <si>
    <t>557 (50.8)</t>
  </si>
  <si>
    <t>95 (8.8)</t>
  </si>
  <si>
    <t>Reports of lymphadenopathy were imbalanced with 6 more cases in the vaccine group (7) than the placebo group (1); lymphadenopathy is plausibly related to the vaccine. Lymphadenopathy occurred in the arm and neck region and was reported within 2 to 4 days after vaccination. Most cases of lymphadenopathy resolved in 10 days or less. No bell’s palsy or anaphylaxis was reported among vaccine recipients in this age group.</t>
  </si>
  <si>
    <t>The proportions of participants who reported at least 1 serious adverse event were 0.4% in the vaccine group and 0.2% in the placebo group. No serious adverse events were considered by FDA as possibly related to vaccine.</t>
  </si>
  <si>
    <t>Data source: FDA Decision Memoexternal icon</t>
  </si>
  <si>
    <t>Among all study vaccine recipients aged 5–11 years, 86.2% reported at least one local injection site reaction in the 7 days after vaccination. Pain at the injection site was the most frequent and severe solicited local reaction among vaccine recipients and was slightly more common after dose 1. No grade 4 local reactions were reported. The median onset of local reactions in the vaccine group was 1 to 2 days after either dose and lasted a median duration between 1 and 2 days. (Table 7)</t>
  </si>
  <si>
    <t>Table 7. Local reactions in persons aged 5–11 years, Pfizer-BioNTech COVID-19 vaccine and placebo</t>
  </si>
  <si>
    <t>5–­11 Years</t>
  </si>
  <si>
    <t>N=1511</t>
  </si>
  <si>
    <t>N=749</t>
  </si>
  <si>
    <t>N=1501</t>
  </si>
  <si>
    <t>N=741</t>
  </si>
  <si>
    <t>222 (14.7)</t>
  </si>
  <si>
    <t>43 (5.71)</t>
  </si>
  <si>
    <t>278 (18.5)</t>
  </si>
  <si>
    <t>40 (5.4)</t>
  </si>
  <si>
    <t>143 (9.5)</t>
  </si>
  <si>
    <t>37 (4.9)</t>
  </si>
  <si>
    <t>31 (4.2)</t>
  </si>
  <si>
    <t>79 (5.2)</t>
  </si>
  <si>
    <t>6 (0.8)</t>
  </si>
  <si>
    <t>132 (8.8)</t>
  </si>
  <si>
    <t>9 (1.2)</t>
  </si>
  <si>
    <t>158 (10.5)</t>
  </si>
  <si>
    <t>20 (2.7)</t>
  </si>
  <si>
    <t>229 (15.3)</t>
  </si>
  <si>
    <t>85 (5.6)</t>
  </si>
  <si>
    <t>13 (1.7)</t>
  </si>
  <si>
    <t>117 (7.8)</t>
  </si>
  <si>
    <t>15 (2.0)</t>
  </si>
  <si>
    <t>72 (4.8)</t>
  </si>
  <si>
    <t>7 (0.9)</t>
  </si>
  <si>
    <t>112 (7.5)</t>
  </si>
  <si>
    <t>5 (0.7)</t>
  </si>
  <si>
    <t>1119 (74.1)</t>
  </si>
  <si>
    <t>234 (31.3)</t>
  </si>
  <si>
    <t>1065  (71.0)</t>
  </si>
  <si>
    <t>218 (29.5)</t>
  </si>
  <si>
    <t>890 (58.9)</t>
  </si>
  <si>
    <t>204 (27.3)</t>
  </si>
  <si>
    <t>793 (52.8)</t>
  </si>
  <si>
    <t>192 (25.9)</t>
  </si>
  <si>
    <t>225 (14.9)</t>
  </si>
  <si>
    <t>30 (4.0)</t>
  </si>
  <si>
    <t>267 (17.8)</t>
  </si>
  <si>
    <t>26 (3.5)</t>
  </si>
  <si>
    <t>4 (0.3)</t>
  </si>
  <si>
    <t>Any local event</t>
  </si>
  <si>
    <t>1150 (76.1)</t>
  </si>
  <si>
    <t>254 (33.9)</t>
  </si>
  <si>
    <t>1096 (73.0)</t>
  </si>
  <si>
    <t>237 (32.0)</t>
  </si>
  <si>
    <t>Among all vaccine recipients, 66.6% reported at least one systemic reaction in the 7 days after vaccination. The frequency and severity of systemic adverse events was higher after dose 2 than dose 1. Fatigue, headache, chills, and new or worsened muscle pain were most common. The majority of systemic events were mild or moderate in severity, after both doses. Fever was more common after the second dose than after the first dose. Overall, the median onset of systemic adverse events in the vaccine group in general was 1 to 4 days after either dose and lasted a median duration of 1 day. One grade 4 fever (&gt;40.0°C) was reported in the vaccine group. No other systemic grade 4 reactions were reported. (Table 8)</t>
  </si>
  <si>
    <t>Table 8. Systemic reactions in persons aged 5–11 years, Pfizer-BioNTech COVID-19 vaccine and placebo</t>
  </si>
  <si>
    <t>5-11 Years</t>
  </si>
  <si>
    <t>N=740</t>
  </si>
  <si>
    <t>38 (2.5)</t>
  </si>
  <si>
    <t>10 (1.3)</t>
  </si>
  <si>
    <t>98 (6.5)</t>
  </si>
  <si>
    <t>23 (1.5)</t>
  </si>
  <si>
    <t>4 (0.5)</t>
  </si>
  <si>
    <t>51 (3.4)</t>
  </si>
  <si>
    <t>12 (0.8)</t>
  </si>
  <si>
    <t>3 (0.4)</t>
  </si>
  <si>
    <t>508 (33.6)</t>
  </si>
  <si>
    <t>592 (39.4)</t>
  </si>
  <si>
    <t>180 (24.3)</t>
  </si>
  <si>
    <t>333 (22.0)</t>
  </si>
  <si>
    <t>150 (20.1)</t>
  </si>
  <si>
    <t>321 (21.4)</t>
  </si>
  <si>
    <t>96 (13.0)</t>
  </si>
  <si>
    <t>171 (11.3)</t>
  </si>
  <si>
    <t>83 (11.1)</t>
  </si>
  <si>
    <t>260 (17.3)</t>
  </si>
  <si>
    <t>83 (11.2)</t>
  </si>
  <si>
    <t>339 (22.4)</t>
  </si>
  <si>
    <t>180 (24.1)</t>
  </si>
  <si>
    <t>420 (28.0)</t>
  </si>
  <si>
    <t>138 (18.6)</t>
  </si>
  <si>
    <t>249 (16.5)</t>
  </si>
  <si>
    <t>131 (17.5)</t>
  </si>
  <si>
    <t>281 (18.7)</t>
  </si>
  <si>
    <t>93 (12.6)</t>
  </si>
  <si>
    <t>88 (5.8)</t>
  </si>
  <si>
    <t>45 (6.0)</t>
  </si>
  <si>
    <t>136 (9.1)</t>
  </si>
  <si>
    <t>45 (6.1)</t>
  </si>
  <si>
    <t>70 (4.6)</t>
  </si>
  <si>
    <t>35 (4.7)</t>
  </si>
  <si>
    <t>147 (9.8)</t>
  </si>
  <si>
    <t>32 (4.3)</t>
  </si>
  <si>
    <t>54 (3.6)</t>
  </si>
  <si>
    <t>105 (7.0)</t>
  </si>
  <si>
    <t>24 (3.2)</t>
  </si>
  <si>
    <t>16 (1.1)</t>
  </si>
  <si>
    <t>40 (2.7)</t>
  </si>
  <si>
    <t>33 (2.2)</t>
  </si>
  <si>
    <t>11 (1.5)</t>
  </si>
  <si>
    <t>28 (1.9)</t>
  </si>
  <si>
    <t>26 (1.7)</t>
  </si>
  <si>
    <t>27 (1.8)</t>
  </si>
  <si>
    <t>7 (0.5)</t>
  </si>
  <si>
    <t>89 (5.9)</t>
  </si>
  <si>
    <t>31 (4.1)</t>
  </si>
  <si>
    <t>79 (5.3)</t>
  </si>
  <si>
    <t>10 (0.7)</t>
  </si>
  <si>
    <t>137 (9.1)</t>
  </si>
  <si>
    <t>51 (6.8)</t>
  </si>
  <si>
    <t>175 (11.7)</t>
  </si>
  <si>
    <t>55 (7.4)</t>
  </si>
  <si>
    <t>96 (6.4)</t>
  </si>
  <si>
    <t>116 (7.7)</t>
  </si>
  <si>
    <t>38 (5.1)</t>
  </si>
  <si>
    <t>40 (2.6)</t>
  </si>
  <si>
    <t>16 (2.1)</t>
  </si>
  <si>
    <t>58 (3.9)</t>
  </si>
  <si>
    <t>17 (2.3)</t>
  </si>
  <si>
    <t>50 (3.3)</t>
  </si>
  <si>
    <t>41 (5.5)</t>
  </si>
  <si>
    <t>78 (5.2)</t>
  </si>
  <si>
    <t>27 (3.6)</t>
  </si>
  <si>
    <t>34 (2.3)</t>
  </si>
  <si>
    <t>57 (3.8)</t>
  </si>
  <si>
    <t>21 (1.4)</t>
  </si>
  <si>
    <t>715 (47.3)</t>
  </si>
  <si>
    <t>334 (44.6)</t>
  </si>
  <si>
    <t>771 (51.4)</t>
  </si>
  <si>
    <t>272 (36.7)</t>
  </si>
  <si>
    <t>217 (14.4)</t>
  </si>
  <si>
    <t>62 (8.3)</t>
  </si>
  <si>
    <t>269 (19.7)</t>
  </si>
  <si>
    <t>60 (8.1)</t>
  </si>
  <si>
    <t>Reports of lymphadenopathy were imbalanced. Thirteen participants (0.9%) in the vaccine group and 1 participant (0.1%) in the placebo group had events of lymphadenopathy. The median time to onset was 2-3 days after either dose and all cases resolved within 2 weeks.</t>
  </si>
  <si>
    <t>Among a safety expansion cohort (over 2250 children randomized 2:1 vaccine to placebo), 6 participants (0.4%) in the vaccine arm and 3 participants (0.4%) in the placebo arm had events of lymphadenopathy. No Bell’s palsy, anaphylaxis or myocarditis was reported among vaccine recipients in this age group.</t>
  </si>
  <si>
    <t>The number of participants who reported at least 1 serious adverse event was 1 in the vaccine group (limb fracture) and 1 in the placebo group (pancreatitis and abdominal pain). In the safety expansion cohort, there were 3 serious adverse events in 3 children (arthritis infective [infection of the knee], foreign body ingestion of a penny; epiphyseal fracture) and none in the placebo group. No serious adverse events were considered as possibly related to the vaccine.</t>
  </si>
  <si>
    <t>Data source: Comirnaty and Pfizer-BioNTech COVID-19 Vaccine | FDAexternal icon</t>
  </si>
  <si>
    <t>Page last reviewed: November 5, 2021</t>
  </si>
  <si>
    <t>Content source: National Center for Immunization and Respiratory Diseases</t>
  </si>
  <si>
    <t>homeCOVID-19 Vaccination</t>
  </si>
  <si>
    <t>Product Info by U.S. Vaccineplus icon</t>
  </si>
  <si>
    <t>Pfizer-BioNTech Vaccinesplus icon</t>
  </si>
  <si>
    <t>Orange Cap Age 5 Through 11</t>
  </si>
  <si>
    <t>Purple Cap Age 12 and Over</t>
  </si>
  <si>
    <t>Gray Cap Age 12 and Over</t>
  </si>
  <si>
    <t>Reactions &amp; Adverse Events</t>
  </si>
  <si>
    <t>Moderna Vaccine</t>
  </si>
  <si>
    <t>Janssen/J&amp;J Vaccine</t>
  </si>
  <si>
    <t>EUA</t>
  </si>
  <si>
    <t>EUI</t>
  </si>
  <si>
    <t>FAQs for Healthcare Professionalsplus icon</t>
  </si>
  <si>
    <t>Interim Clinical Considerationsplus icon</t>
  </si>
  <si>
    <t>Clinical Careplus icon</t>
  </si>
  <si>
    <t>Provider Requirements and Supportplus icon</t>
  </si>
  <si>
    <t>Training and Educationplus icon</t>
  </si>
  <si>
    <t>Vaccine Recipient Educationplus icon</t>
  </si>
  <si>
    <t>Health Departmentsplus icon</t>
  </si>
  <si>
    <t>Planning &amp; Partnershipsplus icon</t>
  </si>
  <si>
    <t>Vaccine Effectiveness Research</t>
  </si>
  <si>
    <t>COVID-19 Vaccine Data Systemsplus icon</t>
  </si>
  <si>
    <t>Content Syndication</t>
  </si>
  <si>
    <t>Vaccinate with Confidenceplus icon</t>
  </si>
  <si>
    <t>HAVE QUESTIONS?</t>
  </si>
  <si>
    <t>Visit CDC-INFO</t>
  </si>
  <si>
    <t>Call 800-232-4636</t>
  </si>
  <si>
    <t>Email CDC-INFO</t>
  </si>
  <si>
    <t>Open 24/7</t>
  </si>
  <si>
    <t>CDC INFORMATION</t>
  </si>
  <si>
    <t>About CDC</t>
  </si>
  <si>
    <t>Jobs</t>
  </si>
  <si>
    <t>Funding</t>
  </si>
  <si>
    <t>Policies</t>
  </si>
  <si>
    <t>File Viewers &amp; Players</t>
  </si>
  <si>
    <t>Other Languages</t>
  </si>
  <si>
    <t>Privacy</t>
  </si>
  <si>
    <t>FOIA</t>
  </si>
  <si>
    <t>No Fear Act</t>
  </si>
  <si>
    <t>OIG</t>
  </si>
  <si>
    <t>Nondiscrimination</t>
  </si>
  <si>
    <t>Accessibility</t>
  </si>
  <si>
    <t>Vulnerability Disclosure Policy | Español</t>
  </si>
  <si>
    <t>CONNECT WITH CDC</t>
  </si>
  <si>
    <t>Facebook</t>
  </si>
  <si>
    <t>Twitter</t>
  </si>
  <si>
    <t>Instagram</t>
  </si>
  <si>
    <t>LinkedIn</t>
  </si>
  <si>
    <t>Snapchat</t>
  </si>
  <si>
    <t>Youtube</t>
  </si>
  <si>
    <t>Syndicate</t>
  </si>
  <si>
    <t>CDC TV</t>
  </si>
  <si>
    <t>RSS</t>
  </si>
  <si>
    <t>Email</t>
  </si>
  <si>
    <t>U.S. Department of Health &amp; Human Services</t>
  </si>
  <si>
    <t>USA.gov</t>
  </si>
  <si>
    <t>CDC Website E</t>
  </si>
  <si>
    <t>The Moderna COVID-19 Vaccine’s Local Reactions, Systemic Reactions, Adverse Events, and Serious Adverse Events</t>
  </si>
  <si>
    <t>Table 1. Local reactions in persons aged 18-64 years, Moderna COVID-19 vaccine and placebo</t>
  </si>
  <si>
    <t>N=11401</t>
  </si>
  <si>
    <t>N=11404</t>
  </si>
  <si>
    <t>N=10357</t>
  </si>
  <si>
    <t>N=10317</t>
  </si>
  <si>
    <t>Any Local, n (%)</t>
  </si>
  <si>
    <t>9960 (87.4)</t>
  </si>
  <si>
    <t>2432 (21.3)</t>
  </si>
  <si>
    <t>9371 (90.5)</t>
  </si>
  <si>
    <t>2134 (20.7)</t>
  </si>
  <si>
    <t>Grade 3</t>
  </si>
  <si>
    <t>452 (4.0)</t>
  </si>
  <si>
    <t>39 (0.3)</t>
  </si>
  <si>
    <t>766 (7.4)</t>
  </si>
  <si>
    <t>41 (0.4)</t>
  </si>
  <si>
    <t>9908 (86.9)</t>
  </si>
  <si>
    <t>2179 (19.1)</t>
  </si>
  <si>
    <t>9335 (90.1)</t>
  </si>
  <si>
    <t>1942 (18.8)</t>
  </si>
  <si>
    <t>367 (3.2)</t>
  </si>
  <si>
    <t>23 (0.2)</t>
  </si>
  <si>
    <t>479 (4.6)</t>
  </si>
  <si>
    <t>21 (0.2)</t>
  </si>
  <si>
    <t>345 (3.0)</t>
  </si>
  <si>
    <t>46 (0.4)</t>
  </si>
  <si>
    <t>928 (9.0)</t>
  </si>
  <si>
    <t>42 (0.4)</t>
  </si>
  <si>
    <t>34 (0.3)</t>
  </si>
  <si>
    <t>11 (&lt;0.1)</t>
  </si>
  <si>
    <t>206 (2.0)</t>
  </si>
  <si>
    <t>12 (0.1)</t>
  </si>
  <si>
    <t>768 (6.7)</t>
  </si>
  <si>
    <t>33 (0.3)</t>
  </si>
  <si>
    <t>1309 (12.6)</t>
  </si>
  <si>
    <t>35 (0.3)</t>
  </si>
  <si>
    <t>62 (0.5)</t>
  </si>
  <si>
    <t>3 (&lt;0.1)</t>
  </si>
  <si>
    <t>176 (1.7)</t>
  </si>
  <si>
    <t>4 (&lt;0.1)</t>
  </si>
  <si>
    <t>1322 (11.6)</t>
  </si>
  <si>
    <t>567 (5.0)</t>
  </si>
  <si>
    <t>1654 (16.0)</t>
  </si>
  <si>
    <t>444 (4.3)</t>
  </si>
  <si>
    <t>36 (0.3)</t>
  </si>
  <si>
    <t>13 (0.1)</t>
  </si>
  <si>
    <t>45 (0.4)</t>
  </si>
  <si>
    <t>10 (&lt;0.1)</t>
  </si>
  <si>
    <t>Note: No grade 4 local reactions were reported.</t>
  </si>
  <si>
    <t>Table 2. Local reactions in persons aged ≥65 years, Moderna COVID-19 vaccine and placebo</t>
  </si>
  <si>
    <t>N=3762</t>
  </si>
  <si>
    <t>N=3746</t>
  </si>
  <si>
    <t>N=3587</t>
  </si>
  <si>
    <t>N=3549</t>
  </si>
  <si>
    <t>2805 (74.6)</t>
  </si>
  <si>
    <t>566 (15.1)</t>
  </si>
  <si>
    <t>3010 (83.9)</t>
  </si>
  <si>
    <t>473 (13.3)</t>
  </si>
  <si>
    <t>77 (2.0)</t>
  </si>
  <si>
    <t>39 (1.0)</t>
  </si>
  <si>
    <t>212 (5.9)</t>
  </si>
  <si>
    <t>29 (0.8)</t>
  </si>
  <si>
    <t>2782 (74.0)</t>
  </si>
  <si>
    <t>481(12.8)</t>
  </si>
  <si>
    <t>2990 (83.4)</t>
  </si>
  <si>
    <t>421 (11.9)</t>
  </si>
  <si>
    <t>50 (1.3)</t>
  </si>
  <si>
    <t>32 (0.9)</t>
  </si>
  <si>
    <t>96 (2.7)</t>
  </si>
  <si>
    <t>17 (0.5)</t>
  </si>
  <si>
    <t>86 (2.3)</t>
  </si>
  <si>
    <t>19 (0.5)</t>
  </si>
  <si>
    <t>265 (7.4)</t>
  </si>
  <si>
    <t>13 (0.4)</t>
  </si>
  <si>
    <t>8 (0.2)</t>
  </si>
  <si>
    <t>2 (&lt;0.1)</t>
  </si>
  <si>
    <t>75 (2.1)</t>
  </si>
  <si>
    <t>166 (4.4)</t>
  </si>
  <si>
    <t>386 (10.8)</t>
  </si>
  <si>
    <t>20 (0.5)</t>
  </si>
  <si>
    <t>69 (1.9)</t>
  </si>
  <si>
    <t>7 (0.2)</t>
  </si>
  <si>
    <t>231 (6.1)</t>
  </si>
  <si>
    <t>155 (4.1)</t>
  </si>
  <si>
    <t>302 (8.4)</t>
  </si>
  <si>
    <t> 90 (2.5)</t>
  </si>
  <si>
    <t>12 (0.3)</t>
  </si>
  <si>
    <t>14 (0.4)</t>
  </si>
  <si>
    <t>21 (0.6)</t>
  </si>
  <si>
    <t>Table 3. Systemic reactions in persons aged 18-64 years, Moderna COVID-19 vaccine and placebo</t>
  </si>
  <si>
    <t>N=11405</t>
  </si>
  <si>
    <t>N=11406</t>
  </si>
  <si>
    <t>N=10358</t>
  </si>
  <si>
    <t>N=10320</t>
  </si>
  <si>
    <t>Any systemic, n (%)</t>
  </si>
  <si>
    <t>6503 (57.0)</t>
  </si>
  <si>
    <t>5063 (44.4)</t>
  </si>
  <si>
    <t>8484 (81.9)</t>
  </si>
  <si>
    <t>3967 (38.4)</t>
  </si>
  <si>
    <t>363 (3.2)</t>
  </si>
  <si>
    <t>248 (2.2)</t>
  </si>
  <si>
    <t>1801 (17.4)</t>
  </si>
  <si>
    <t>215 (2.1)</t>
  </si>
  <si>
    <t>5 (&lt;0.1)</t>
  </si>
  <si>
    <t>105 (0.9)</t>
  </si>
  <si>
    <t>1806 (17.4)</t>
  </si>
  <si>
    <t>38 (0.4)</t>
  </si>
  <si>
    <t>1 (&lt;0.1)</t>
  </si>
  <si>
    <t>168 (1.6)</t>
  </si>
  <si>
    <t>4031(35.4)</t>
  </si>
  <si>
    <t>3303 (29.0)</t>
  </si>
  <si>
    <t>6500 (62.8)</t>
  </si>
  <si>
    <t>2617 (25.4)</t>
  </si>
  <si>
    <t>219 (1.9)</t>
  </si>
  <si>
    <t>162 (1.4)</t>
  </si>
  <si>
    <t>515 (5.0)</t>
  </si>
  <si>
    <t>124 (1.2)</t>
  </si>
  <si>
    <t>4384 (38.5)</t>
  </si>
  <si>
    <t>3282 (28.8)</t>
  </si>
  <si>
    <t>7002 (67.6)</t>
  </si>
  <si>
    <t>2530 (24.5)</t>
  </si>
  <si>
    <t>120 (1.1)</t>
  </si>
  <si>
    <t>83 (0.7)</t>
  </si>
  <si>
    <t>1099 (10.6)</t>
  </si>
  <si>
    <t>81 (0.8)</t>
  </si>
  <si>
    <t>2698 (23.7)</t>
  </si>
  <si>
    <t>1626 (14.3)</t>
  </si>
  <si>
    <t>6353 (61.3)</t>
  </si>
  <si>
    <t>1312 (12.7)</t>
  </si>
  <si>
    <t>73 (0.6)</t>
  </si>
  <si>
    <t>38 (0.3)</t>
  </si>
  <si>
    <t>1032 (10.0)</t>
  </si>
  <si>
    <t>39 (0.4)</t>
  </si>
  <si>
    <t>1892 (16.6)</t>
  </si>
  <si>
    <t>1327 (11.6)</t>
  </si>
  <si>
    <t>4685 (45.2)</t>
  </si>
  <si>
    <t>1087 (10.5)</t>
  </si>
  <si>
    <t>47 (0.4)</t>
  </si>
  <si>
    <t>29 (0.3)</t>
  </si>
  <si>
    <t>603 (5.8)</t>
  </si>
  <si>
    <t>1069 (9.3)</t>
  </si>
  <si>
    <t>908 (8.0)</t>
  </si>
  <si>
    <t>2209 (21.3)</t>
  </si>
  <si>
    <t>754 (7.3)</t>
  </si>
  <si>
    <t>6 (&lt;0.1)</t>
  </si>
  <si>
    <t>8 (&lt;0.1)</t>
  </si>
  <si>
    <t>1051 (9.2)</t>
  </si>
  <si>
    <t>730 (6.4)</t>
  </si>
  <si>
    <t>5001 (48.3)</t>
  </si>
  <si>
    <t>611 (5.9)</t>
  </si>
  <si>
    <t>17 (0.1)</t>
  </si>
  <si>
    <t>151 (1.5)</t>
  </si>
  <si>
    <t>14 (0.1)</t>
  </si>
  <si>
    <t>Table 4. Systemic reactions in persons aged ≥65 years, Moderna COVID-19 vaccine and placebo</t>
  </si>
  <si>
    <t>N=3761</t>
  </si>
  <si>
    <t>N=3748</t>
  </si>
  <si>
    <t>N=3589</t>
  </si>
  <si>
    <t>1818 (48.3)</t>
  </si>
  <si>
    <t>1335 (35.6)</t>
  </si>
  <si>
    <t>2580 (71.9)</t>
  </si>
  <si>
    <t>1102 (31.1)</t>
  </si>
  <si>
    <t>84 (2.2)</t>
  </si>
  <si>
    <t>63 (1.7)</t>
  </si>
  <si>
    <t>387 (10.8)</t>
  </si>
  <si>
    <t>58 (1.6)</t>
  </si>
  <si>
    <t>10 (0.3)</t>
  </si>
  <si>
    <t>366 (10.2)</t>
  </si>
  <si>
    <t>5 (0.1)</t>
  </si>
  <si>
    <t>18 (0.5)</t>
  </si>
  <si>
    <t>921 (33.3)</t>
  </si>
  <si>
    <t>443 (11.8)</t>
  </si>
  <si>
    <t>1665 (46.4)</t>
  </si>
  <si>
    <t>635 (17.9)</t>
  </si>
  <si>
    <t>30 (0.8)</t>
  </si>
  <si>
    <t>34 (0.9)</t>
  </si>
  <si>
    <t>107 (3.0)</t>
  </si>
  <si>
    <t>1251 (38.5)</t>
  </si>
  <si>
    <t>851 (22.7)</t>
  </si>
  <si>
    <t>2094 (58.4)</t>
  </si>
  <si>
    <t>695 (19.6)</t>
  </si>
  <si>
    <t>23 (0.6)</t>
  </si>
  <si>
    <t>248 (6.9)</t>
  </si>
  <si>
    <t>20 (0.6)</t>
  </si>
  <si>
    <t>743 (19.8)</t>
  </si>
  <si>
    <t>1683 (46.9)</t>
  </si>
  <si>
    <t>385 (10.8)</t>
  </si>
  <si>
    <t>9 (0.3)</t>
  </si>
  <si>
    <t>201 (5.6)</t>
  </si>
  <si>
    <t>618 (16.4)</t>
  </si>
  <si>
    <t>456 (12.2)</t>
  </si>
  <si>
    <t>1252 (34.9)</t>
  </si>
  <si>
    <t>381 (10.7)</t>
  </si>
  <si>
    <t>13 (0.3)</t>
  </si>
  <si>
    <t>122 (3.4)</t>
  </si>
  <si>
    <t>194 (5.2)</t>
  </si>
  <si>
    <t>425 (11.8)</t>
  </si>
  <si>
    <t>129 (3.6)</t>
  </si>
  <si>
    <t>4 (0.1)</t>
  </si>
  <si>
    <t>202 (5.4)</t>
  </si>
  <si>
    <t>148 (4.0)</t>
  </si>
  <si>
    <t>1099 (30.6)</t>
  </si>
  <si>
    <t>144 (4.1)</t>
  </si>
  <si>
    <t>6 (0.2)</t>
  </si>
  <si>
    <t>27 (0.8)</t>
  </si>
  <si>
    <t>A higher frequency of unsolicited adverse events was reported in the vaccine group compared to the placebo group and was primarily attributed to local and systemic reactogenicity following vaccination. Reports of lymphadenopathy were imbalanced with 1.1 % of persons in the vaccine group and 0.6% in the placebo group reporting such events; lymphadenopathy is plausibly related to the vaccine. Lymphadenopathy occurred in the arm and neck region and was reported within 2 to 4 days after vaccination. The median duration of lymphadenopathy was 1 to 2 days. Bell’s palsy was reported by three vaccine recipients and one placebo recipient. One case of Bell’s palsy in the vaccine group was considered a serious adverse event. Currently available information is insufficient to determine a causal relationship with the vaccine.</t>
  </si>
  <si>
    <t>Serious adverse events were defined as any untoward medical occurrence that resulted in death, was life-threatening, required inpatient hospitalization or prolongation of existing hospitalization, or resulted in persistent disability or incapacity. The proportions of participants who reported at least one serious adverse event were 1% in the vaccine group and 1% in the placebo group. The most common serious adverse events occurring at higher rates in the vaccine group than the placebo group were myocardial infarction (5 cases in vaccine group vs. 3 cases in placebo group), cholecystitis (3 vs. 0), and nephrolithiasis (3 vs. 0). Three serious adverse events were considered by the U.S. Food and Drug Administration (FDA) as possibly related to vaccine: the one report of intractable nausea/vomiting and two reports of facial swelling in persons who had a previous history of cosmetic filler injections. The possibility that the vaccine contributed to the serious adverse event reports of rheumatoid arthritis (n=1), peripheral edema/dyspnea with exertion (n=1), and autonomic dysfunction (n=1) cannot be excluded.</t>
  </si>
  <si>
    <t>Local reactions were reported by the majority of vaccine recipients and at higher rates than placebo recipients. Vaccine recipients reported higher rates of local reactions after dose 2 than dose 1. The frequency of local reactions was higher in the younger age group (aged 18 to 64 years) than the older age group (aged ≥65 years) (90.5% vs 83.9% after dose 2). Pain at the injection site was the most frequent and severe reported solicited local reaction among vaccine recipients. After dose 1, the younger age group reported pain more frequently than the older age group (86.9% vs 74.0%); a similar pattern was observed after dose 2 (90.1% vs 83.4%). Axillary swelling or tenderness was the second most frequently reported local reaction. Axillary swelling or tenderness was reported more frequently in the younger age group than the older age group (16.0% vs 8.4% after dose 2). Injection site redness and swelling following either dose were reported less frequently. Redness and swelling were slightly more common after dose 2. No grade 4 local reactions were reported. Overall, the median onset of local reactions in the vaccine group was 1 day after either dose, with a median duration between 2 and 3 days. (Table 1, Table 2)</t>
  </si>
  <si>
    <t>Paina, n (%)</t>
  </si>
  <si>
    <t>Swellingb, n (%)</t>
  </si>
  <si>
    <t>Axillary Swelling/Tendernessc, n (%)</t>
  </si>
  <si>
    <t>a Pain grade 3: any use of prescription pain reliever or prevented daily activity; grade 4: required emergency room visit or hospitalization.</t>
  </si>
  <si>
    <t>b Swelling grade 3: &gt;100mm/&gt;10cm; grade 4: necrosis/exfoliative dermatitis.</t>
  </si>
  <si>
    <t>c Axillary swelling or tenderness was collected as a solicited local adverse reaction (i.e., lymphadenopathy: localized axillary swelling or tenderness ipsilateral to the vaccination arm); grade 3: any use of prescription pain reliever or prevented daily activity; grade 4: required emergency room visit or hospitalization.</t>
  </si>
  <si>
    <t>c Axillary swelling or tenderness was collected as a solicited local adverse reaction (i.e. lymphadenopathy: localized axillary swelling or tenderness ipsilateral to the vaccination arm); grade 3: any use of prescription pain reliever or prevented daily activity; grade 4: required emergency room visit or hospitalization.</t>
  </si>
  <si>
    <t>Systemic reactions were reported by the majority of vaccine recipients and at higher rates than placebo recipients. The frequency of systemic reactions was higher in the younger age group than the older age group (81.9% vs 71.9% after dose 2). Within each age group, the frequency and severity of systemic reactions was higher after dose 2 than dose 1. For both age groups, fatigue, headache and myalgia were the most common. The majority of systemic reactions were mild or moderate in severity, after both doses and in both age groups. Fever was more common after the second dose and in the younger group (17.6%) compared to the older group (10.2%). Among vaccine recipients, the median onset of systemic reactions was 1 to 2 days after either dose, with a median duration of 2 days. Grade 4 fever (&gt;40.0°C) was reported by four vaccine recipients after dose 1 and 11 vaccine recipients after dose 2. There was one report of grade 4 fatigue and one report of grade 4 arthralgia, both in the younger age group after dose 1. In the older age group, there was one report of grade 4 nausea or vomiting after dose 2. No other systemic grade 4 reactions were reported. (Table 3, Table 4)</t>
  </si>
  <si>
    <t>Fevera, n (%)</t>
  </si>
  <si>
    <t>Headacheb, n (%)</t>
  </si>
  <si>
    <t>Fatiguec, n (%)</t>
  </si>
  <si>
    <t>Myalgiac, n (%)</t>
  </si>
  <si>
    <t>Arthralgiac, n (%)</t>
  </si>
  <si>
    <t>Nausea/Vomitingd, n (%)</t>
  </si>
  <si>
    <t>Chillse, n (%)</t>
  </si>
  <si>
    <t>a Fever – Grade 3: ≥39.0 – ≤40.0°C or ≥102.1 – ≤104.0°F; Grade 4: &gt;40.0°C or &gt;104.0°F</t>
  </si>
  <si>
    <t>b Headache – Grade 3: significant; any use of prescription pain reliever or prevented daily activity; Grade 4: required emergency room visit or hospitalization.</t>
  </si>
  <si>
    <t>c Fatigue, Myalgia, Arthralgia – Grade 3: significant; prevented daily activity; Grade 4: required emergency room visit or hospitalization.</t>
  </si>
  <si>
    <t>d Nausea/Vomiting – Grade 3: prevented daily activity, required outpatient intravenous hydration; Grade 4: required emergency room visit or hospitalization for hypotensive shock.</t>
  </si>
  <si>
    <t>e Chills – Grade 3: prevented daily activity and required medical intervention; Grade 4: required emergency room visit or hospitalization.</t>
  </si>
  <si>
    <t>b Headache – Grade 3: significant; any use of prescription pain reliever or prevented daily activity; Grade 4: requires emergency room visit or hospitalization.</t>
  </si>
  <si>
    <t>d Nausea/Vomiting – Grade 3: prevented daily activity, required outpatient intravenous hydration; Grade 4: Requires emergency room visit or hospitalization for hypotensive shock.</t>
  </si>
  <si>
    <t>https://www.cdc.gov/vaccines/covid-19/info-by-product/moderna/reactogenicity.html</t>
  </si>
  <si>
    <t>The Janssen COVID-19 Vaccine’s Local Reactions, Systemic Reactions, Adverse Events, and Serious Adverse Events</t>
  </si>
  <si>
    <t>Local reactions were reported at higher rates by vaccine recipients than placebo recipients. The frequency of any local reaction was higher in participants aged 18 to 59 years than participants aged ≥60 years (59.8% vs 35.4%). Pain at the injection site was the most frequently reported solicited local reaction among vaccine recipients (58.6% of 18-59-year-olds and 33.3% ≥60-year-olds). Erythema and swelling were reported less frequently. No grade 4 local reactions were reported. Overall, the median onset of local reactions in the vaccine group was within two days of vaccination, with a median duration 2 days for erythema and pain and 3 days for swelling. (Table 1)</t>
  </si>
  <si>
    <t>Table 1. Local reactions in persons aged 18-59 years and persons aged ≥60 years, Janssen COVID-19 vaccine and placeboa</t>
  </si>
  <si>
    <t>Table 1. Local reactions in persons aged 18-59 years and persons aged ≥60 years, Janssen COVID-19 vaccine and placebo</t>
  </si>
  <si>
    <t>18-59 years</t>
  </si>
  <si>
    <t>≥60 years</t>
  </si>
  <si>
    <t>Janssen Vaccine</t>
  </si>
  <si>
    <t>N=2036</t>
  </si>
  <si>
    <t>N=2049</t>
  </si>
  <si>
    <t>Janssen Vaccine</t>
  </si>
  <si>
    <t>N=1320</t>
  </si>
  <si>
    <t>N=1331</t>
  </si>
  <si>
    <t>1218 (59.8)</t>
  </si>
  <si>
    <t>413 (20.2)</t>
  </si>
  <si>
    <t>467 (35.4)</t>
  </si>
  <si>
    <t>244 (18.3)</t>
  </si>
  <si>
    <t>18 (0.9)</t>
  </si>
  <si>
    <t>Painb, n (%)</t>
  </si>
  <si>
    <t>1193 (58.6)</t>
  </si>
  <si>
    <t>357 (17.4)</t>
  </si>
  <si>
    <t>439 (33.3)</t>
  </si>
  <si>
    <t>207 (15.6)</t>
  </si>
  <si>
    <t>Erythemac, n (%)</t>
  </si>
  <si>
    <t>184 (9.0)</t>
  </si>
  <si>
    <t>89 (4.3)</t>
  </si>
  <si>
    <t>61 (4.6)</t>
  </si>
  <si>
    <t>42 (3.2)</t>
  </si>
  <si>
    <t>Swellingc, n (%)</t>
  </si>
  <si>
    <t>142 (7.0)</t>
  </si>
  <si>
    <t>32 (1.6)</t>
  </si>
  <si>
    <t>36 (2.7)</t>
  </si>
  <si>
    <t>21 (1.6)</t>
  </si>
  <si>
    <t>a Solicited local and systemic adverse reactions collected for participants in a safety subset (N=6,736)</t>
  </si>
  <si>
    <t>b Pain – Grade 3: any use of prescription pain reliever or prevented daily activity</t>
  </si>
  <si>
    <t>c Erythema and Swelling – Grade 3: &gt;100mm</t>
  </si>
  <si>
    <t>Systemic reactions were reported at higher rates by vaccine recipients than placebo recipients. The frequency of systemic reactions was higher in participants aged 18-59 years than participants ≥60 years (61.5% vs 45.3%). For both age groups, fatigue and headache were the most commonly reported systemic reactions. Fever was more common in participants 18-59 years (12.8%) compared to those ≥60 years (3.1%). The majority of systemic reactions were mild or moderate in severity. The most common grade 3 reactions were fatigue and myalgia. No grade 4 reactions were reported. Among vaccine recipients, the median onset of systemic reactions within 2 days of vaccination, with a median duration of 1-2 days. (Table 2)</t>
  </si>
  <si>
    <t>Table 2. Systemic reactions in persons aged 18-59 years and persons aged ≥60 years, Janssen COVID-19 vaccine and placeboa</t>
  </si>
  <si>
    <t>Table 2. Systemic reactions in persons aged 18-59 years and persons aged ≥60 years, Janssen COVID-19 vaccine and placebo</t>
  </si>
  <si>
    <t>1252 (61.5)</t>
  </si>
  <si>
    <t>745 (36.4)</t>
  </si>
  <si>
    <t>598 (45.3)</t>
  </si>
  <si>
    <t>440 (33.1)</t>
  </si>
  <si>
    <t>47 (2.3)</t>
  </si>
  <si>
    <t>12 (0.6)</t>
  </si>
  <si>
    <t>14 (1.1)</t>
  </si>
  <si>
    <t>9 (0.7)</t>
  </si>
  <si>
    <t>Fatigueb, n (%)</t>
  </si>
  <si>
    <t>891 (43.8)</t>
  </si>
  <si>
    <t>451 (22.0)</t>
  </si>
  <si>
    <t>392 (29.7)</t>
  </si>
  <si>
    <t>277 (20.8)</t>
  </si>
  <si>
    <t>10 (0.8)</t>
  </si>
  <si>
    <t>905 (44.4)</t>
  </si>
  <si>
    <t>508 (24.8)</t>
  </si>
  <si>
    <t>401 (30.4)</t>
  </si>
  <si>
    <t>294 (22.1)</t>
  </si>
  <si>
    <t>Myalgiab, n (%)</t>
  </si>
  <si>
    <t>796 (39.1)</t>
  </si>
  <si>
    <t>248 (12.1)</t>
  </si>
  <si>
    <t>317 (24.0)</t>
  </si>
  <si>
    <t>182 (13.7)</t>
  </si>
  <si>
    <t>29 (1.4)</t>
  </si>
  <si>
    <t>Nauseac, n (%)</t>
  </si>
  <si>
    <t>315 (15.5)</t>
  </si>
  <si>
    <t>183 (8.9)</t>
  </si>
  <si>
    <t>162 (12.3)</t>
  </si>
  <si>
    <t>144 (10.8)</t>
  </si>
  <si>
    <t>Feverd, n (%)</t>
  </si>
  <si>
    <t>261 (12.8)</t>
  </si>
  <si>
    <t>41 (3.1)</t>
  </si>
  <si>
    <t> 6 (0.5)</t>
  </si>
  <si>
    <t>b Fatigue, Headache, Myalgia – Grade 3: use of prescription pain reliever or prevented daily activity</t>
  </si>
  <si>
    <t>c Nausea – Grade 3: prevented daily activity</t>
  </si>
  <si>
    <t>d Fever – Grade 3: ≥39.0 – ≤40.0°C or ≥102.1 – ≤104.0°F</t>
  </si>
  <si>
    <t>Note: No grade 4 systemic reactions were reported.</t>
  </si>
  <si>
    <t>Analgesic/Antipyretics Use</t>
  </si>
  <si>
    <t>Among vaccine recipients aged 18-59 years, 26.4% reported using antipyretic or analgesic medications, compared to 6.0% of placebo recipients. Among vaccine recipients aged ≥60 years, 9.8% reported using antipyretic or analgesic medications, compared to 5.1% of placebo recipients. The reason for medication use (e.g. fever, pain) was not ascertained.</t>
  </si>
  <si>
    <t>Overall, rates of reported unsolicited adverse events were similar in the vaccine and placebo groups (13.1% vs 12.0%). Reports of embolic and thrombotic events had a slight numerical imbalance with 0.06% of vaccine recipients and 0.05% of placebo recipients reporting such events. Risk factors for these events were present in the participants, however vaccine cannot be excluded as a contributing factor. Reports of tinnitus had a numerical imbalance with 6 events in vaccine recipients and no events in placebo recipients. Data are insufficient at this time to determine if there is a casual relationship between the vaccine and tinnitus. Angioedema demonstrated a numerical imbalance with events reported among 0.2% of vaccine recipients and 0.1% of placebo recipients. Of these, urticaria was reported in 8 vaccine recipients and 3 placebo recipients. Based on temporal and biologic plausibility, reports of urticaria are possibly related to vaccine.</t>
  </si>
  <si>
    <t>Serious adverse events were defined as any untoward medical occurrence that resulted in death, was life-threatening, required inpatient hospitalization or prolongation of existing hospitalization, or resulted in persistent disability or incapacity. The proportions of participants who reported at least one serious adverse event, excluding those attributed to COVID-19, were 0.4% in the vaccine group and 0.4% in the placebo group. The most common serious adverse event occurring at higher rates in the vaccine group than the placebo group was appendicitis (6 cases in vaccine group vs. 5 cases in placebo group). Three serious adverse events occurring among vaccine recipients were considered by the U.S. Food and Drug Administration (FDA) as likely related to vaccine: the one report of hypersensitivity reaction to study vaccine, one report of pain at the injection site initially evaluated for brachial neuritis, and one report of systemic reactogenicity.</t>
  </si>
  <si>
    <t>https://www.cdc.gov/vaccines/covid-19/info-by-product/janssen/reactogenicity.html</t>
  </si>
  <si>
    <t>https://www.fda.gov/emergency-preparedness-and-response/coronavirus-disease-2019-covid-19/comirnaty-and-pfizer-biontech-covid-19-vaccine</t>
  </si>
  <si>
    <t>Any systemic</t>
  </si>
  <si>
    <t xml:space="preserve">Fever </t>
  </si>
  <si>
    <t>Headache</t>
  </si>
  <si>
    <t>Fatigue</t>
  </si>
  <si>
    <t>Myalgia</t>
  </si>
  <si>
    <t>Arthralgia</t>
  </si>
  <si>
    <t>Chills</t>
  </si>
  <si>
    <t>Nausea/Vomiting</t>
  </si>
  <si>
    <t xml:space="preserve">Fatigue </t>
  </si>
  <si>
    <t>Vomiting</t>
  </si>
  <si>
    <t>Diarrhea</t>
  </si>
  <si>
    <t>Muscle pain</t>
  </si>
  <si>
    <t>Joint pain</t>
  </si>
  <si>
    <t>Any local</t>
  </si>
  <si>
    <t xml:space="preserve">Pain </t>
  </si>
  <si>
    <t>Erythema</t>
  </si>
  <si>
    <t>Swelling</t>
  </si>
  <si>
    <t>Nausea</t>
  </si>
  <si>
    <t>Age &gt;55</t>
  </si>
  <si>
    <t>Moderna</t>
  </si>
  <si>
    <t>Pfizer-BioNTech</t>
  </si>
  <si>
    <t>Age 16-55</t>
  </si>
  <si>
    <t>Janssen</t>
  </si>
  <si>
    <t>Pfizer Placebo1</t>
  </si>
  <si>
    <t>Pfizer Placebo2</t>
  </si>
  <si>
    <t>Moderna Placebo1</t>
  </si>
  <si>
    <t>Moderna Placebo2</t>
  </si>
  <si>
    <t>Janssen Placebo</t>
  </si>
  <si>
    <t>N</t>
  </si>
  <si>
    <t>Mean</t>
  </si>
  <si>
    <t>Standard Deviation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</si>
</sst>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3" x14ac:knownFonts="1">
    <font>
      <sz val="11"/>
      <color theme="1"/>
      <name val="Calibri"/>
      <family val="2"/>
      <scheme val="minor"/>
    </font>
    <font>
      <u/>
      <sz val="11"/>
      <color theme="10"/>
      <name val="Calibri"/>
      <family val="2"/>
      <scheme val="minor"/>
    </font>
    <font>
      <b/>
      <sz val="11"/>
      <color theme="1"/>
      <name val="Calibri"/>
      <family val="2"/>
      <scheme val="minor"/>
    </font>
  </fonts>
  <fills count="2">
    <fill>
      <patternFill patternType="none"/>
    </fill>
    <fill>
      <patternFill patternType="gray125"/>
    </fill>
  </fills>
  <borders count="10">
    <border>
      <left/>
      <right/>
      <top/>
      <bottom/>
      <diagonal/>
    </border>
    <border>
      <left style="thick">
        <color auto="1"/>
      </left>
      <right/>
      <top style="thick">
        <color auto="1"/>
      </top>
      <bottom style="thin">
        <color auto="1"/>
      </bottom>
      <diagonal/>
    </border>
    <border>
      <left/>
      <right/>
      <top style="thick">
        <color auto="1"/>
      </top>
      <bottom style="thin">
        <color auto="1"/>
      </bottom>
      <diagonal/>
    </border>
    <border>
      <left/>
      <right style="thick">
        <color auto="1"/>
      </right>
      <top style="thick">
        <color auto="1"/>
      </top>
      <bottom style="thin">
        <color auto="1"/>
      </bottom>
      <diagonal/>
    </border>
    <border>
      <left style="thick">
        <color auto="1"/>
      </left>
      <right/>
      <top style="thin">
        <color auto="1"/>
      </top>
      <bottom style="thin">
        <color auto="1"/>
      </bottom>
      <diagonal/>
    </border>
    <border>
      <left/>
      <right/>
      <top style="thin">
        <color auto="1"/>
      </top>
      <bottom style="thin">
        <color auto="1"/>
      </bottom>
      <diagonal/>
    </border>
    <border>
      <left/>
      <right style="thick">
        <color auto="1"/>
      </right>
      <top style="thin">
        <color auto="1"/>
      </top>
      <bottom style="thin">
        <color auto="1"/>
      </bottom>
      <diagonal/>
    </border>
    <border>
      <left style="thick">
        <color auto="1"/>
      </left>
      <right/>
      <top style="thin">
        <color auto="1"/>
      </top>
      <bottom style="thick">
        <color auto="1"/>
      </bottom>
      <diagonal/>
    </border>
    <border>
      <left/>
      <right/>
      <top style="thin">
        <color auto="1"/>
      </top>
      <bottom style="thick">
        <color auto="1"/>
      </bottom>
      <diagonal/>
    </border>
    <border>
      <left/>
      <right style="thick">
        <color auto="1"/>
      </right>
      <top style="thin">
        <color auto="1"/>
      </top>
      <bottom style="thick">
        <color auto="1"/>
      </bottom>
      <diagonal/>
    </border>
  </borders>
  <cellStyleXfs count="2">
    <xf numFmtId="0" fontId="0" fillId="0" borderId="0"/>
    <xf numFmtId="0" fontId="1" fillId="0" borderId="0" applyNumberFormat="0" applyFill="0" applyBorder="0" applyAlignment="0" applyProtection="0"/>
  </cellStyleXfs>
  <cellXfs count="14">
    <xf numFmtId="0" fontId="0" fillId="0" borderId="0" xfId="0"/>
    <xf numFmtId="0" fontId="1" fillId="0" borderId="0" xfId="1"/>
    <xf numFmtId="164" fontId="0" fillId="0" borderId="0" xfId="0" applyNumberFormat="1"/>
    <xf numFmtId="164" fontId="0" fillId="0" borderId="0" xfId="0" applyNumberFormat="1" applyAlignment="1">
      <alignment horizontal="center"/>
    </xf>
    <xf numFmtId="0" fontId="0" fillId="0" borderId="1" xfId="0" applyBorder="1"/>
    <xf numFmtId="0" fontId="2" fillId="0" borderId="2" xfId="0" applyFont="1" applyBorder="1" applyAlignment="1">
      <alignment wrapText="1"/>
    </xf>
    <xf numFmtId="0" fontId="2" fillId="0" borderId="3" xfId="0" applyFont="1" applyBorder="1" applyAlignment="1">
      <alignment wrapText="1"/>
    </xf>
    <xf numFmtId="0" fontId="0" fillId="0" borderId="4" xfId="0" applyBorder="1"/>
    <xf numFmtId="164" fontId="0" fillId="0" borderId="5" xfId="0" applyNumberFormat="1" applyBorder="1" applyAlignment="1">
      <alignment horizontal="center"/>
    </xf>
    <xf numFmtId="164" fontId="0" fillId="0" borderId="6" xfId="0" applyNumberFormat="1" applyBorder="1" applyAlignment="1">
      <alignment horizontal="center"/>
    </xf>
    <xf numFmtId="0" fontId="0" fillId="0" borderId="7" xfId="0" applyBorder="1"/>
    <xf numFmtId="164" fontId="0" fillId="0" borderId="8" xfId="0" applyNumberFormat="1" applyBorder="1" applyAlignment="1">
      <alignment horizontal="center"/>
    </xf>
    <xf numFmtId="164" fontId="0" fillId="0" borderId="9" xfId="0" applyNumberFormat="1" applyBorder="1" applyAlignment="1">
      <alignment horizontal="center"/>
    </xf>
    <xf numFmtId="165" fontId="0" fillId="0" borderId="0" xfId="0" applyNumberForma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Combined!$T$2</c:f>
              <c:strCache>
                <c:ptCount val="1"/>
                <c:pt idx="0">
                  <c:v>Pfizer Placebo1</c:v>
                </c:pt>
              </c:strCache>
            </c:strRef>
          </c:tx>
          <c:spPr>
            <a:ln w="28575" cap="rnd">
              <a:solidFill>
                <a:schemeClr val="accent1"/>
              </a:solidFill>
              <a:round/>
            </a:ln>
            <a:effectLst/>
          </c:spPr>
          <c:marker>
            <c:symbol val="none"/>
          </c:marker>
          <c:cat>
            <c:strRef>
              <c:f>Combined!$S$3:$S$10</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Combined!$T$3:$T$10</c:f>
              <c:numCache>
                <c:formatCode>0.0%</c:formatCode>
                <c:ptCount val="8"/>
                <c:pt idx="1">
                  <c:v>0.33724978241949521</c:v>
                </c:pt>
                <c:pt idx="2">
                  <c:v>0.3337684943429069</c:v>
                </c:pt>
                <c:pt idx="3">
                  <c:v>0.10835509138381201</c:v>
                </c:pt>
                <c:pt idx="4">
                  <c:v>6.0052219321148827E-2</c:v>
                </c:pt>
                <c:pt idx="5">
                  <c:v>1.2184508268059183E-2</c:v>
                </c:pt>
                <c:pt idx="6">
                  <c:v>6.3533507397737166E-2</c:v>
                </c:pt>
                <c:pt idx="7">
                  <c:v>8.7032201914708437E-3</c:v>
                </c:pt>
              </c:numCache>
            </c:numRef>
          </c:val>
          <c:smooth val="0"/>
          <c:extLst>
            <c:ext xmlns:c16="http://schemas.microsoft.com/office/drawing/2014/chart" uri="{C3380CC4-5D6E-409C-BE32-E72D297353CC}">
              <c16:uniqueId val="{00000000-732A-4754-B0DF-46142ACC5E98}"/>
            </c:ext>
          </c:extLst>
        </c:ser>
        <c:ser>
          <c:idx val="1"/>
          <c:order val="1"/>
          <c:tx>
            <c:strRef>
              <c:f>Combined!$U$2</c:f>
              <c:strCache>
                <c:ptCount val="1"/>
                <c:pt idx="0">
                  <c:v>Pfizer Placebo2</c:v>
                </c:pt>
              </c:strCache>
            </c:strRef>
          </c:tx>
          <c:spPr>
            <a:ln w="28575" cap="rnd">
              <a:solidFill>
                <a:schemeClr val="accent2"/>
              </a:solidFill>
              <a:round/>
            </a:ln>
            <a:effectLst/>
          </c:spPr>
          <c:marker>
            <c:symbol val="none"/>
          </c:marker>
          <c:cat>
            <c:strRef>
              <c:f>Combined!$S$3:$S$10</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Combined!$U$3:$U$10</c:f>
              <c:numCache>
                <c:formatCode>0.0%</c:formatCode>
                <c:ptCount val="8"/>
                <c:pt idx="1">
                  <c:v>0.24060865430337613</c:v>
                </c:pt>
                <c:pt idx="2">
                  <c:v>0.2277698525915359</c:v>
                </c:pt>
                <c:pt idx="3">
                  <c:v>8.2263433190679983E-2</c:v>
                </c:pt>
                <c:pt idx="4">
                  <c:v>5.1830718021873515E-2</c:v>
                </c:pt>
                <c:pt idx="5">
                  <c:v>1.1887779362815026E-2</c:v>
                </c:pt>
                <c:pt idx="6">
                  <c:v>3.7565382786495481E-2</c:v>
                </c:pt>
                <c:pt idx="7">
                  <c:v>4.7551117451260106E-3</c:v>
                </c:pt>
              </c:numCache>
            </c:numRef>
          </c:val>
          <c:smooth val="0"/>
          <c:extLst>
            <c:ext xmlns:c16="http://schemas.microsoft.com/office/drawing/2014/chart" uri="{C3380CC4-5D6E-409C-BE32-E72D297353CC}">
              <c16:uniqueId val="{00000001-732A-4754-B0DF-46142ACC5E98}"/>
            </c:ext>
          </c:extLst>
        </c:ser>
        <c:ser>
          <c:idx val="2"/>
          <c:order val="2"/>
          <c:tx>
            <c:strRef>
              <c:f>Combined!$V$2</c:f>
              <c:strCache>
                <c:ptCount val="1"/>
                <c:pt idx="0">
                  <c:v>Moderna Placebo1</c:v>
                </c:pt>
              </c:strCache>
            </c:strRef>
          </c:tx>
          <c:spPr>
            <a:ln w="28575" cap="rnd">
              <a:solidFill>
                <a:schemeClr val="accent3"/>
              </a:solidFill>
              <a:round/>
            </a:ln>
            <a:effectLst/>
          </c:spPr>
          <c:marker>
            <c:symbol val="none"/>
          </c:marker>
          <c:cat>
            <c:strRef>
              <c:f>Combined!$S$3:$S$10</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Combined!$V$3:$V$10</c:f>
              <c:numCache>
                <c:formatCode>0.0%</c:formatCode>
                <c:ptCount val="8"/>
                <c:pt idx="0">
                  <c:v>0.44388918113273718</c:v>
                </c:pt>
                <c:pt idx="1">
                  <c:v>0.28958442924776434</c:v>
                </c:pt>
                <c:pt idx="2">
                  <c:v>0.28774329300368229</c:v>
                </c:pt>
                <c:pt idx="3">
                  <c:v>0.14255654918463967</c:v>
                </c:pt>
                <c:pt idx="4">
                  <c:v>0.1163422759950903</c:v>
                </c:pt>
                <c:pt idx="5">
                  <c:v>7.9607224267929155E-2</c:v>
                </c:pt>
                <c:pt idx="6">
                  <c:v>6.4001402770471685E-2</c:v>
                </c:pt>
                <c:pt idx="7">
                  <c:v>3.4192530247238295E-3</c:v>
                </c:pt>
              </c:numCache>
            </c:numRef>
          </c:val>
          <c:smooth val="0"/>
          <c:extLst>
            <c:ext xmlns:c16="http://schemas.microsoft.com/office/drawing/2014/chart" uri="{C3380CC4-5D6E-409C-BE32-E72D297353CC}">
              <c16:uniqueId val="{00000002-732A-4754-B0DF-46142ACC5E98}"/>
            </c:ext>
          </c:extLst>
        </c:ser>
        <c:ser>
          <c:idx val="3"/>
          <c:order val="3"/>
          <c:tx>
            <c:strRef>
              <c:f>Combined!$W$2</c:f>
              <c:strCache>
                <c:ptCount val="1"/>
                <c:pt idx="0">
                  <c:v>Moderna Placebo2</c:v>
                </c:pt>
              </c:strCache>
            </c:strRef>
          </c:tx>
          <c:spPr>
            <a:ln w="28575" cap="rnd">
              <a:solidFill>
                <a:schemeClr val="accent4"/>
              </a:solidFill>
              <a:round/>
            </a:ln>
            <a:effectLst/>
          </c:spPr>
          <c:marker>
            <c:symbol val="none"/>
          </c:marker>
          <c:cat>
            <c:strRef>
              <c:f>Combined!$S$3:$S$10</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Combined!$W$3:$W$10</c:f>
              <c:numCache>
                <c:formatCode>0.0%</c:formatCode>
                <c:ptCount val="8"/>
                <c:pt idx="0">
                  <c:v>0.38439922480620153</c:v>
                </c:pt>
                <c:pt idx="1">
                  <c:v>0.25358527131782943</c:v>
                </c:pt>
                <c:pt idx="2">
                  <c:v>0.24515503875968991</c:v>
                </c:pt>
                <c:pt idx="3">
                  <c:v>0.12713178294573643</c:v>
                </c:pt>
                <c:pt idx="4">
                  <c:v>0.10532945736434109</c:v>
                </c:pt>
                <c:pt idx="5">
                  <c:v>7.3062015503875963E-2</c:v>
                </c:pt>
                <c:pt idx="6">
                  <c:v>5.9205426356589146E-2</c:v>
                </c:pt>
                <c:pt idx="7">
                  <c:v>3.6821705426356589E-3</c:v>
                </c:pt>
              </c:numCache>
            </c:numRef>
          </c:val>
          <c:smooth val="0"/>
          <c:extLst>
            <c:ext xmlns:c16="http://schemas.microsoft.com/office/drawing/2014/chart" uri="{C3380CC4-5D6E-409C-BE32-E72D297353CC}">
              <c16:uniqueId val="{00000003-732A-4754-B0DF-46142ACC5E98}"/>
            </c:ext>
          </c:extLst>
        </c:ser>
        <c:ser>
          <c:idx val="4"/>
          <c:order val="4"/>
          <c:tx>
            <c:strRef>
              <c:f>Combined!$X$2</c:f>
              <c:strCache>
                <c:ptCount val="1"/>
                <c:pt idx="0">
                  <c:v>Janssen Placebo</c:v>
                </c:pt>
              </c:strCache>
            </c:strRef>
          </c:tx>
          <c:spPr>
            <a:ln w="28575" cap="rnd">
              <a:solidFill>
                <a:schemeClr val="accent5"/>
              </a:solidFill>
              <a:round/>
            </a:ln>
            <a:effectLst/>
          </c:spPr>
          <c:marker>
            <c:symbol val="none"/>
          </c:marker>
          <c:cat>
            <c:strRef>
              <c:f>Combined!$S$3:$S$10</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Combined!$X$3:$X$10</c:f>
              <c:numCache>
                <c:formatCode>0.0%</c:formatCode>
                <c:ptCount val="8"/>
                <c:pt idx="0">
                  <c:v>0.3635919960956564</c:v>
                </c:pt>
                <c:pt idx="1">
                  <c:v>0.24792581747193754</c:v>
                </c:pt>
                <c:pt idx="2">
                  <c:v>0.22010736944851148</c:v>
                </c:pt>
                <c:pt idx="3">
                  <c:v>0.12103465104929234</c:v>
                </c:pt>
                <c:pt idx="5">
                  <c:v>8.9311859443631042E-2</c:v>
                </c:pt>
                <c:pt idx="7">
                  <c:v>6.8326012689116644E-3</c:v>
                </c:pt>
              </c:numCache>
            </c:numRef>
          </c:val>
          <c:smooth val="0"/>
          <c:extLst>
            <c:ext xmlns:c16="http://schemas.microsoft.com/office/drawing/2014/chart" uri="{C3380CC4-5D6E-409C-BE32-E72D297353CC}">
              <c16:uniqueId val="{00000004-732A-4754-B0DF-46142ACC5E98}"/>
            </c:ext>
          </c:extLst>
        </c:ser>
        <c:dLbls>
          <c:showLegendKey val="0"/>
          <c:showVal val="0"/>
          <c:showCatName val="0"/>
          <c:showSerName val="0"/>
          <c:showPercent val="0"/>
          <c:showBubbleSize val="0"/>
        </c:dLbls>
        <c:smooth val="0"/>
        <c:axId val="434461664"/>
        <c:axId val="434463304"/>
      </c:lineChart>
      <c:catAx>
        <c:axId val="4344616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4463304"/>
        <c:crosses val="autoZero"/>
        <c:auto val="1"/>
        <c:lblAlgn val="ctr"/>
        <c:lblOffset val="100"/>
        <c:noMultiLvlLbl val="0"/>
      </c:catAx>
      <c:valAx>
        <c:axId val="43446330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44616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Combined!$T$18</c:f>
              <c:strCache>
                <c:ptCount val="1"/>
                <c:pt idx="0">
                  <c:v>Pfizer Placebo1</c:v>
                </c:pt>
              </c:strCache>
            </c:strRef>
          </c:tx>
          <c:spPr>
            <a:ln w="28575" cap="rnd">
              <a:solidFill>
                <a:schemeClr val="accent1"/>
              </a:solidFill>
              <a:round/>
            </a:ln>
            <a:effectLst/>
          </c:spPr>
          <c:marker>
            <c:symbol val="none"/>
          </c:marker>
          <c:cat>
            <c:strRef>
              <c:f>Combined!$S$19:$S$26</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Combined!$T$19:$T$26</c:f>
              <c:numCache>
                <c:formatCode>0.0%</c:formatCode>
                <c:ptCount val="8"/>
                <c:pt idx="1">
                  <c:v>0.18136160714285715</c:v>
                </c:pt>
                <c:pt idx="2">
                  <c:v>0.22600446428571427</c:v>
                </c:pt>
                <c:pt idx="3">
                  <c:v>8.3147321428571425E-2</c:v>
                </c:pt>
                <c:pt idx="4">
                  <c:v>6.0825892857142856E-2</c:v>
                </c:pt>
                <c:pt idx="5">
                  <c:v>5.0223214285714289E-3</c:v>
                </c:pt>
                <c:pt idx="6">
                  <c:v>3.1808035714285712E-2</c:v>
                </c:pt>
                <c:pt idx="7">
                  <c:v>3.90625E-3</c:v>
                </c:pt>
              </c:numCache>
            </c:numRef>
          </c:val>
          <c:smooth val="0"/>
          <c:extLst>
            <c:ext xmlns:c16="http://schemas.microsoft.com/office/drawing/2014/chart" uri="{C3380CC4-5D6E-409C-BE32-E72D297353CC}">
              <c16:uniqueId val="{00000000-56FA-486F-A3B5-ABE6A20A4782}"/>
            </c:ext>
          </c:extLst>
        </c:ser>
        <c:ser>
          <c:idx val="1"/>
          <c:order val="1"/>
          <c:tx>
            <c:strRef>
              <c:f>Combined!$U$18</c:f>
              <c:strCache>
                <c:ptCount val="1"/>
                <c:pt idx="0">
                  <c:v>Pfizer Placebo2</c:v>
                </c:pt>
              </c:strCache>
            </c:strRef>
          </c:tx>
          <c:spPr>
            <a:ln w="28575" cap="rnd">
              <a:solidFill>
                <a:schemeClr val="accent2"/>
              </a:solidFill>
              <a:round/>
            </a:ln>
            <a:effectLst/>
          </c:spPr>
          <c:marker>
            <c:symbol val="none"/>
          </c:marker>
          <c:cat>
            <c:strRef>
              <c:f>Combined!$S$19:$S$26</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Combined!$U$19:$U$26</c:f>
              <c:numCache>
                <c:formatCode>0.0%</c:formatCode>
                <c:ptCount val="8"/>
                <c:pt idx="1">
                  <c:v>0.13912515188335359</c:v>
                </c:pt>
                <c:pt idx="2">
                  <c:v>0.16828675577156743</c:v>
                </c:pt>
                <c:pt idx="3">
                  <c:v>5.2855407047387608E-2</c:v>
                </c:pt>
                <c:pt idx="4">
                  <c:v>3.7059538274605106E-2</c:v>
                </c:pt>
                <c:pt idx="5">
                  <c:v>3.0376670716889429E-3</c:v>
                </c:pt>
                <c:pt idx="6">
                  <c:v>2.7946537059538274E-2</c:v>
                </c:pt>
                <c:pt idx="7">
                  <c:v>2.4301336573511541E-3</c:v>
                </c:pt>
              </c:numCache>
            </c:numRef>
          </c:val>
          <c:smooth val="0"/>
          <c:extLst>
            <c:ext xmlns:c16="http://schemas.microsoft.com/office/drawing/2014/chart" uri="{C3380CC4-5D6E-409C-BE32-E72D297353CC}">
              <c16:uniqueId val="{00000001-56FA-486F-A3B5-ABE6A20A4782}"/>
            </c:ext>
          </c:extLst>
        </c:ser>
        <c:ser>
          <c:idx val="2"/>
          <c:order val="2"/>
          <c:tx>
            <c:strRef>
              <c:f>Combined!$V$18</c:f>
              <c:strCache>
                <c:ptCount val="1"/>
                <c:pt idx="0">
                  <c:v>Moderna Placebo1</c:v>
                </c:pt>
              </c:strCache>
            </c:strRef>
          </c:tx>
          <c:spPr>
            <a:ln w="28575" cap="rnd">
              <a:solidFill>
                <a:schemeClr val="accent3"/>
              </a:solidFill>
              <a:round/>
            </a:ln>
            <a:effectLst/>
          </c:spPr>
          <c:marker>
            <c:symbol val="none"/>
          </c:marker>
          <c:cat>
            <c:strRef>
              <c:f>Combined!$S$19:$S$26</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Combined!$V$19:$V$26</c:f>
              <c:numCache>
                <c:formatCode>0.0%</c:formatCode>
                <c:ptCount val="8"/>
                <c:pt idx="0">
                  <c:v>0.35618996798292424</c:v>
                </c:pt>
                <c:pt idx="1">
                  <c:v>0.11819637139807898</c:v>
                </c:pt>
                <c:pt idx="2">
                  <c:v>0.22705442902881537</c:v>
                </c:pt>
                <c:pt idx="3">
                  <c:v>0.11819637139807898</c:v>
                </c:pt>
                <c:pt idx="4">
                  <c:v>0.12166488794023479</c:v>
                </c:pt>
                <c:pt idx="5">
                  <c:v>4.4290288153681967E-2</c:v>
                </c:pt>
                <c:pt idx="6">
                  <c:v>3.9487726787620067E-2</c:v>
                </c:pt>
                <c:pt idx="7">
                  <c:v>1.8676627534685165E-3</c:v>
                </c:pt>
              </c:numCache>
            </c:numRef>
          </c:val>
          <c:smooth val="0"/>
          <c:extLst>
            <c:ext xmlns:c16="http://schemas.microsoft.com/office/drawing/2014/chart" uri="{C3380CC4-5D6E-409C-BE32-E72D297353CC}">
              <c16:uniqueId val="{00000002-56FA-486F-A3B5-ABE6A20A4782}"/>
            </c:ext>
          </c:extLst>
        </c:ser>
        <c:ser>
          <c:idx val="3"/>
          <c:order val="3"/>
          <c:tx>
            <c:strRef>
              <c:f>Combined!$W$18</c:f>
              <c:strCache>
                <c:ptCount val="1"/>
                <c:pt idx="0">
                  <c:v>Moderna Placebo2</c:v>
                </c:pt>
              </c:strCache>
            </c:strRef>
          </c:tx>
          <c:spPr>
            <a:ln w="28575" cap="rnd">
              <a:solidFill>
                <a:schemeClr val="accent4"/>
              </a:solidFill>
              <a:round/>
            </a:ln>
            <a:effectLst/>
          </c:spPr>
          <c:marker>
            <c:symbol val="none"/>
          </c:marker>
          <c:cat>
            <c:strRef>
              <c:f>Combined!$S$19:$S$26</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Combined!$W$19:$W$26</c:f>
              <c:numCache>
                <c:formatCode>0.0%</c:formatCode>
                <c:ptCount val="8"/>
                <c:pt idx="0">
                  <c:v>0.31051000281769514</c:v>
                </c:pt>
                <c:pt idx="1">
                  <c:v>0.17892364046210199</c:v>
                </c:pt>
                <c:pt idx="2">
                  <c:v>0.19582981121442661</c:v>
                </c:pt>
                <c:pt idx="3">
                  <c:v>0.10848126232741617</c:v>
                </c:pt>
                <c:pt idx="4">
                  <c:v>0.10735418427726121</c:v>
                </c:pt>
                <c:pt idx="5">
                  <c:v>3.634826711749789E-2</c:v>
                </c:pt>
                <c:pt idx="6">
                  <c:v>4.0574809805579037E-2</c:v>
                </c:pt>
                <c:pt idx="7">
                  <c:v>1.4088475626937165E-3</c:v>
                </c:pt>
              </c:numCache>
            </c:numRef>
          </c:val>
          <c:smooth val="0"/>
          <c:extLst>
            <c:ext xmlns:c16="http://schemas.microsoft.com/office/drawing/2014/chart" uri="{C3380CC4-5D6E-409C-BE32-E72D297353CC}">
              <c16:uniqueId val="{00000003-56FA-486F-A3B5-ABE6A20A4782}"/>
            </c:ext>
          </c:extLst>
        </c:ser>
        <c:ser>
          <c:idx val="4"/>
          <c:order val="4"/>
          <c:tx>
            <c:strRef>
              <c:f>Combined!$X$18</c:f>
              <c:strCache>
                <c:ptCount val="1"/>
                <c:pt idx="0">
                  <c:v>Janssen Placebo</c:v>
                </c:pt>
              </c:strCache>
            </c:strRef>
          </c:tx>
          <c:spPr>
            <a:ln w="28575" cap="rnd">
              <a:solidFill>
                <a:schemeClr val="accent5"/>
              </a:solidFill>
              <a:round/>
            </a:ln>
            <a:effectLst/>
          </c:spPr>
          <c:marker>
            <c:symbol val="none"/>
          </c:marker>
          <c:cat>
            <c:strRef>
              <c:f>Combined!$S$19:$S$26</c:f>
              <c:strCache>
                <c:ptCount val="8"/>
                <c:pt idx="0">
                  <c:v>Any systemic</c:v>
                </c:pt>
                <c:pt idx="1">
                  <c:v>Headache</c:v>
                </c:pt>
                <c:pt idx="2">
                  <c:v>Fatigue</c:v>
                </c:pt>
                <c:pt idx="3">
                  <c:v>Myalgia</c:v>
                </c:pt>
                <c:pt idx="4">
                  <c:v>Arthralgia</c:v>
                </c:pt>
                <c:pt idx="5">
                  <c:v>Nausea/Vomiting</c:v>
                </c:pt>
                <c:pt idx="6">
                  <c:v>Chills</c:v>
                </c:pt>
                <c:pt idx="7">
                  <c:v>Fever </c:v>
                </c:pt>
              </c:strCache>
            </c:strRef>
          </c:cat>
          <c:val>
            <c:numRef>
              <c:f>Combined!$X$19:$X$26</c:f>
              <c:numCache>
                <c:formatCode>0.0%</c:formatCode>
                <c:ptCount val="8"/>
                <c:pt idx="0">
                  <c:v>0.33057851239669422</c:v>
                </c:pt>
                <c:pt idx="1">
                  <c:v>0.22088655146506386</c:v>
                </c:pt>
                <c:pt idx="2">
                  <c:v>0.20811419984973703</c:v>
                </c:pt>
                <c:pt idx="3">
                  <c:v>0.13673929376408714</c:v>
                </c:pt>
                <c:pt idx="5">
                  <c:v>0.10818933132982719</c:v>
                </c:pt>
                <c:pt idx="7">
                  <c:v>4.5078888054094664E-3</c:v>
                </c:pt>
              </c:numCache>
            </c:numRef>
          </c:val>
          <c:smooth val="0"/>
          <c:extLst>
            <c:ext xmlns:c16="http://schemas.microsoft.com/office/drawing/2014/chart" uri="{C3380CC4-5D6E-409C-BE32-E72D297353CC}">
              <c16:uniqueId val="{00000004-56FA-486F-A3B5-ABE6A20A4782}"/>
            </c:ext>
          </c:extLst>
        </c:ser>
        <c:dLbls>
          <c:showLegendKey val="0"/>
          <c:showVal val="0"/>
          <c:showCatName val="0"/>
          <c:showSerName val="0"/>
          <c:showPercent val="0"/>
          <c:showBubbleSize val="0"/>
        </c:dLbls>
        <c:smooth val="0"/>
        <c:axId val="441867552"/>
        <c:axId val="441869520"/>
      </c:lineChart>
      <c:catAx>
        <c:axId val="4418675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1869520"/>
        <c:crosses val="autoZero"/>
        <c:auto val="1"/>
        <c:lblAlgn val="ctr"/>
        <c:lblOffset val="100"/>
        <c:noMultiLvlLbl val="0"/>
      </c:catAx>
      <c:valAx>
        <c:axId val="44186952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418675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Combined!$AI$2</c:f>
              <c:strCache>
                <c:ptCount val="1"/>
                <c:pt idx="0">
                  <c:v>Pfizer Placebo1</c:v>
                </c:pt>
              </c:strCache>
            </c:strRef>
          </c:tx>
          <c:spPr>
            <a:ln w="28575" cap="rnd">
              <a:solidFill>
                <a:schemeClr val="accent1"/>
              </a:solidFill>
              <a:round/>
            </a:ln>
            <a:effectLst/>
          </c:spPr>
          <c:marker>
            <c:symbol val="none"/>
          </c:marker>
          <c:cat>
            <c:strRef>
              <c:f>Combined!$AH$3:$AH$8</c:f>
              <c:strCache>
                <c:ptCount val="6"/>
                <c:pt idx="0">
                  <c:v>Any systemic</c:v>
                </c:pt>
                <c:pt idx="1">
                  <c:v>Fatigue</c:v>
                </c:pt>
                <c:pt idx="2">
                  <c:v>Headache</c:v>
                </c:pt>
                <c:pt idx="3">
                  <c:v>Myalgia</c:v>
                </c:pt>
                <c:pt idx="4">
                  <c:v>Arthralgia</c:v>
                </c:pt>
                <c:pt idx="5">
                  <c:v>Chills</c:v>
                </c:pt>
              </c:strCache>
            </c:strRef>
          </c:cat>
          <c:val>
            <c:numRef>
              <c:f>Combined!$AI$3:$AI$8</c:f>
              <c:numCache>
                <c:formatCode>0.0%</c:formatCode>
                <c:ptCount val="6"/>
                <c:pt idx="1">
                  <c:v>0.3337684943429069</c:v>
                </c:pt>
                <c:pt idx="2">
                  <c:v>0.33724978241949521</c:v>
                </c:pt>
                <c:pt idx="3">
                  <c:v>0.10835509138381201</c:v>
                </c:pt>
                <c:pt idx="4">
                  <c:v>6.0052219321148827E-2</c:v>
                </c:pt>
                <c:pt idx="5">
                  <c:v>6.3533507397737166E-2</c:v>
                </c:pt>
              </c:numCache>
            </c:numRef>
          </c:val>
          <c:smooth val="0"/>
          <c:extLst>
            <c:ext xmlns:c16="http://schemas.microsoft.com/office/drawing/2014/chart" uri="{C3380CC4-5D6E-409C-BE32-E72D297353CC}">
              <c16:uniqueId val="{00000000-2FC2-4346-B4ED-74144A5D94B5}"/>
            </c:ext>
          </c:extLst>
        </c:ser>
        <c:ser>
          <c:idx val="1"/>
          <c:order val="1"/>
          <c:tx>
            <c:strRef>
              <c:f>Combined!$AJ$2</c:f>
              <c:strCache>
                <c:ptCount val="1"/>
                <c:pt idx="0">
                  <c:v>Pfizer Placebo2</c:v>
                </c:pt>
              </c:strCache>
            </c:strRef>
          </c:tx>
          <c:spPr>
            <a:ln w="28575" cap="rnd">
              <a:solidFill>
                <a:schemeClr val="accent2"/>
              </a:solidFill>
              <a:round/>
            </a:ln>
            <a:effectLst/>
          </c:spPr>
          <c:marker>
            <c:symbol val="none"/>
          </c:marker>
          <c:cat>
            <c:strRef>
              <c:f>Combined!$AH$3:$AH$8</c:f>
              <c:strCache>
                <c:ptCount val="6"/>
                <c:pt idx="0">
                  <c:v>Any systemic</c:v>
                </c:pt>
                <c:pt idx="1">
                  <c:v>Fatigue</c:v>
                </c:pt>
                <c:pt idx="2">
                  <c:v>Headache</c:v>
                </c:pt>
                <c:pt idx="3">
                  <c:v>Myalgia</c:v>
                </c:pt>
                <c:pt idx="4">
                  <c:v>Arthralgia</c:v>
                </c:pt>
                <c:pt idx="5">
                  <c:v>Chills</c:v>
                </c:pt>
              </c:strCache>
            </c:strRef>
          </c:cat>
          <c:val>
            <c:numRef>
              <c:f>Combined!$AJ$3:$AJ$8</c:f>
              <c:numCache>
                <c:formatCode>0.0%</c:formatCode>
                <c:ptCount val="6"/>
                <c:pt idx="1">
                  <c:v>0.2277698525915359</c:v>
                </c:pt>
                <c:pt idx="2">
                  <c:v>0.24060865430337613</c:v>
                </c:pt>
                <c:pt idx="3">
                  <c:v>8.2263433190679983E-2</c:v>
                </c:pt>
                <c:pt idx="4">
                  <c:v>5.1830718021873515E-2</c:v>
                </c:pt>
                <c:pt idx="5">
                  <c:v>3.7565382786495481E-2</c:v>
                </c:pt>
              </c:numCache>
            </c:numRef>
          </c:val>
          <c:smooth val="0"/>
          <c:extLst>
            <c:ext xmlns:c16="http://schemas.microsoft.com/office/drawing/2014/chart" uri="{C3380CC4-5D6E-409C-BE32-E72D297353CC}">
              <c16:uniqueId val="{00000001-2FC2-4346-B4ED-74144A5D94B5}"/>
            </c:ext>
          </c:extLst>
        </c:ser>
        <c:ser>
          <c:idx val="2"/>
          <c:order val="2"/>
          <c:tx>
            <c:strRef>
              <c:f>Combined!$AK$2</c:f>
              <c:strCache>
                <c:ptCount val="1"/>
                <c:pt idx="0">
                  <c:v>Moderna Placebo1</c:v>
                </c:pt>
              </c:strCache>
            </c:strRef>
          </c:tx>
          <c:spPr>
            <a:ln w="28575" cap="rnd">
              <a:solidFill>
                <a:schemeClr val="accent3"/>
              </a:solidFill>
              <a:round/>
            </a:ln>
            <a:effectLst/>
          </c:spPr>
          <c:marker>
            <c:symbol val="none"/>
          </c:marker>
          <c:cat>
            <c:strRef>
              <c:f>Combined!$AH$3:$AH$8</c:f>
              <c:strCache>
                <c:ptCount val="6"/>
                <c:pt idx="0">
                  <c:v>Any systemic</c:v>
                </c:pt>
                <c:pt idx="1">
                  <c:v>Fatigue</c:v>
                </c:pt>
                <c:pt idx="2">
                  <c:v>Headache</c:v>
                </c:pt>
                <c:pt idx="3">
                  <c:v>Myalgia</c:v>
                </c:pt>
                <c:pt idx="4">
                  <c:v>Arthralgia</c:v>
                </c:pt>
                <c:pt idx="5">
                  <c:v>Chills</c:v>
                </c:pt>
              </c:strCache>
            </c:strRef>
          </c:cat>
          <c:val>
            <c:numRef>
              <c:f>Combined!$AK$3:$AK$8</c:f>
              <c:numCache>
                <c:formatCode>0.0%</c:formatCode>
                <c:ptCount val="6"/>
                <c:pt idx="0">
                  <c:v>0.44388918113273718</c:v>
                </c:pt>
                <c:pt idx="1">
                  <c:v>0.28774329300368229</c:v>
                </c:pt>
                <c:pt idx="2">
                  <c:v>0.28958442924776434</c:v>
                </c:pt>
                <c:pt idx="3">
                  <c:v>0.14255654918463967</c:v>
                </c:pt>
                <c:pt idx="4">
                  <c:v>0.1163422759950903</c:v>
                </c:pt>
                <c:pt idx="5">
                  <c:v>6.4001402770471685E-2</c:v>
                </c:pt>
              </c:numCache>
            </c:numRef>
          </c:val>
          <c:smooth val="0"/>
          <c:extLst>
            <c:ext xmlns:c16="http://schemas.microsoft.com/office/drawing/2014/chart" uri="{C3380CC4-5D6E-409C-BE32-E72D297353CC}">
              <c16:uniqueId val="{00000002-2FC2-4346-B4ED-74144A5D94B5}"/>
            </c:ext>
          </c:extLst>
        </c:ser>
        <c:ser>
          <c:idx val="3"/>
          <c:order val="3"/>
          <c:tx>
            <c:strRef>
              <c:f>Combined!$AL$2</c:f>
              <c:strCache>
                <c:ptCount val="1"/>
                <c:pt idx="0">
                  <c:v>Moderna Placebo2</c:v>
                </c:pt>
              </c:strCache>
            </c:strRef>
          </c:tx>
          <c:spPr>
            <a:ln w="28575" cap="rnd">
              <a:solidFill>
                <a:schemeClr val="accent4"/>
              </a:solidFill>
              <a:round/>
            </a:ln>
            <a:effectLst/>
          </c:spPr>
          <c:marker>
            <c:symbol val="none"/>
          </c:marker>
          <c:cat>
            <c:strRef>
              <c:f>Combined!$AH$3:$AH$8</c:f>
              <c:strCache>
                <c:ptCount val="6"/>
                <c:pt idx="0">
                  <c:v>Any systemic</c:v>
                </c:pt>
                <c:pt idx="1">
                  <c:v>Fatigue</c:v>
                </c:pt>
                <c:pt idx="2">
                  <c:v>Headache</c:v>
                </c:pt>
                <c:pt idx="3">
                  <c:v>Myalgia</c:v>
                </c:pt>
                <c:pt idx="4">
                  <c:v>Arthralgia</c:v>
                </c:pt>
                <c:pt idx="5">
                  <c:v>Chills</c:v>
                </c:pt>
              </c:strCache>
            </c:strRef>
          </c:cat>
          <c:val>
            <c:numRef>
              <c:f>Combined!$AL$3:$AL$8</c:f>
              <c:numCache>
                <c:formatCode>0.0%</c:formatCode>
                <c:ptCount val="6"/>
                <c:pt idx="0">
                  <c:v>0.38439922480620153</c:v>
                </c:pt>
                <c:pt idx="1">
                  <c:v>0.24515503875968991</c:v>
                </c:pt>
                <c:pt idx="2">
                  <c:v>0.25358527131782943</c:v>
                </c:pt>
                <c:pt idx="3">
                  <c:v>0.12713178294573643</c:v>
                </c:pt>
                <c:pt idx="4">
                  <c:v>0.10532945736434109</c:v>
                </c:pt>
                <c:pt idx="5">
                  <c:v>5.9205426356589146E-2</c:v>
                </c:pt>
              </c:numCache>
            </c:numRef>
          </c:val>
          <c:smooth val="0"/>
          <c:extLst>
            <c:ext xmlns:c16="http://schemas.microsoft.com/office/drawing/2014/chart" uri="{C3380CC4-5D6E-409C-BE32-E72D297353CC}">
              <c16:uniqueId val="{00000003-2FC2-4346-B4ED-74144A5D94B5}"/>
            </c:ext>
          </c:extLst>
        </c:ser>
        <c:ser>
          <c:idx val="4"/>
          <c:order val="4"/>
          <c:tx>
            <c:strRef>
              <c:f>Combined!$AM$2</c:f>
              <c:strCache>
                <c:ptCount val="1"/>
                <c:pt idx="0">
                  <c:v>Janssen Placebo</c:v>
                </c:pt>
              </c:strCache>
            </c:strRef>
          </c:tx>
          <c:spPr>
            <a:ln w="28575" cap="rnd">
              <a:solidFill>
                <a:schemeClr val="accent5"/>
              </a:solidFill>
              <a:round/>
            </a:ln>
            <a:effectLst/>
          </c:spPr>
          <c:marker>
            <c:symbol val="none"/>
          </c:marker>
          <c:cat>
            <c:strRef>
              <c:f>Combined!$AH$3:$AH$8</c:f>
              <c:strCache>
                <c:ptCount val="6"/>
                <c:pt idx="0">
                  <c:v>Any systemic</c:v>
                </c:pt>
                <c:pt idx="1">
                  <c:v>Fatigue</c:v>
                </c:pt>
                <c:pt idx="2">
                  <c:v>Headache</c:v>
                </c:pt>
                <c:pt idx="3">
                  <c:v>Myalgia</c:v>
                </c:pt>
                <c:pt idx="4">
                  <c:v>Arthralgia</c:v>
                </c:pt>
                <c:pt idx="5">
                  <c:v>Chills</c:v>
                </c:pt>
              </c:strCache>
            </c:strRef>
          </c:cat>
          <c:val>
            <c:numRef>
              <c:f>Combined!$AM$3:$AM$8</c:f>
              <c:numCache>
                <c:formatCode>0.0%</c:formatCode>
                <c:ptCount val="6"/>
                <c:pt idx="0">
                  <c:v>0.3635919960956564</c:v>
                </c:pt>
                <c:pt idx="1">
                  <c:v>0.22010736944851148</c:v>
                </c:pt>
                <c:pt idx="2">
                  <c:v>0.24792581747193754</c:v>
                </c:pt>
                <c:pt idx="3">
                  <c:v>0.12103465104929234</c:v>
                </c:pt>
              </c:numCache>
            </c:numRef>
          </c:val>
          <c:smooth val="0"/>
          <c:extLst>
            <c:ext xmlns:c16="http://schemas.microsoft.com/office/drawing/2014/chart" uri="{C3380CC4-5D6E-409C-BE32-E72D297353CC}">
              <c16:uniqueId val="{00000004-2FC2-4346-B4ED-74144A5D94B5}"/>
            </c:ext>
          </c:extLst>
        </c:ser>
        <c:dLbls>
          <c:showLegendKey val="0"/>
          <c:showVal val="0"/>
          <c:showCatName val="0"/>
          <c:showSerName val="0"/>
          <c:showPercent val="0"/>
          <c:showBubbleSize val="0"/>
        </c:dLbls>
        <c:smooth val="0"/>
        <c:axId val="439929520"/>
        <c:axId val="439933784"/>
      </c:lineChart>
      <c:catAx>
        <c:axId val="439929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9933784"/>
        <c:crosses val="autoZero"/>
        <c:auto val="1"/>
        <c:lblAlgn val="ctr"/>
        <c:lblOffset val="100"/>
        <c:noMultiLvlLbl val="0"/>
      </c:catAx>
      <c:valAx>
        <c:axId val="43993378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99295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Combined!$AI$17</c:f>
              <c:strCache>
                <c:ptCount val="1"/>
                <c:pt idx="0">
                  <c:v>Pfizer Placebo1</c:v>
                </c:pt>
              </c:strCache>
            </c:strRef>
          </c:tx>
          <c:spPr>
            <a:ln w="28575" cap="rnd">
              <a:solidFill>
                <a:schemeClr val="accent1"/>
              </a:solidFill>
              <a:round/>
            </a:ln>
            <a:effectLst/>
          </c:spPr>
          <c:marker>
            <c:symbol val="none"/>
          </c:marker>
          <c:cat>
            <c:strRef>
              <c:f>Combined!$AH$18:$AH$23</c:f>
              <c:strCache>
                <c:ptCount val="6"/>
                <c:pt idx="0">
                  <c:v>Any systemic</c:v>
                </c:pt>
                <c:pt idx="1">
                  <c:v>Fatigue</c:v>
                </c:pt>
                <c:pt idx="2">
                  <c:v>Headache</c:v>
                </c:pt>
                <c:pt idx="3">
                  <c:v>Myalgia</c:v>
                </c:pt>
                <c:pt idx="4">
                  <c:v>Arthralgia</c:v>
                </c:pt>
                <c:pt idx="5">
                  <c:v>Chills</c:v>
                </c:pt>
              </c:strCache>
            </c:strRef>
          </c:cat>
          <c:val>
            <c:numRef>
              <c:f>Combined!$AI$18:$AI$23</c:f>
              <c:numCache>
                <c:formatCode>0.0%</c:formatCode>
                <c:ptCount val="6"/>
                <c:pt idx="1">
                  <c:v>0.22600446428571427</c:v>
                </c:pt>
                <c:pt idx="2">
                  <c:v>0.18136160714285715</c:v>
                </c:pt>
                <c:pt idx="3">
                  <c:v>8.3147321428571425E-2</c:v>
                </c:pt>
                <c:pt idx="4">
                  <c:v>6.0825892857142856E-2</c:v>
                </c:pt>
                <c:pt idx="5">
                  <c:v>3.1808035714285712E-2</c:v>
                </c:pt>
              </c:numCache>
            </c:numRef>
          </c:val>
          <c:smooth val="0"/>
          <c:extLst>
            <c:ext xmlns:c16="http://schemas.microsoft.com/office/drawing/2014/chart" uri="{C3380CC4-5D6E-409C-BE32-E72D297353CC}">
              <c16:uniqueId val="{00000000-B3BA-4EB4-868A-4489FC71BE5F}"/>
            </c:ext>
          </c:extLst>
        </c:ser>
        <c:ser>
          <c:idx val="1"/>
          <c:order val="1"/>
          <c:tx>
            <c:strRef>
              <c:f>Combined!$AJ$17</c:f>
              <c:strCache>
                <c:ptCount val="1"/>
                <c:pt idx="0">
                  <c:v>Pfizer Placebo2</c:v>
                </c:pt>
              </c:strCache>
            </c:strRef>
          </c:tx>
          <c:spPr>
            <a:ln w="28575" cap="rnd">
              <a:solidFill>
                <a:schemeClr val="accent2"/>
              </a:solidFill>
              <a:round/>
            </a:ln>
            <a:effectLst/>
          </c:spPr>
          <c:marker>
            <c:symbol val="none"/>
          </c:marker>
          <c:cat>
            <c:strRef>
              <c:f>Combined!$AH$18:$AH$23</c:f>
              <c:strCache>
                <c:ptCount val="6"/>
                <c:pt idx="0">
                  <c:v>Any systemic</c:v>
                </c:pt>
                <c:pt idx="1">
                  <c:v>Fatigue</c:v>
                </c:pt>
                <c:pt idx="2">
                  <c:v>Headache</c:v>
                </c:pt>
                <c:pt idx="3">
                  <c:v>Myalgia</c:v>
                </c:pt>
                <c:pt idx="4">
                  <c:v>Arthralgia</c:v>
                </c:pt>
                <c:pt idx="5">
                  <c:v>Chills</c:v>
                </c:pt>
              </c:strCache>
            </c:strRef>
          </c:cat>
          <c:val>
            <c:numRef>
              <c:f>Combined!$AJ$18:$AJ$23</c:f>
              <c:numCache>
                <c:formatCode>0.0%</c:formatCode>
                <c:ptCount val="6"/>
                <c:pt idx="1">
                  <c:v>0.16828675577156743</c:v>
                </c:pt>
                <c:pt idx="2">
                  <c:v>0.13912515188335359</c:v>
                </c:pt>
                <c:pt idx="3">
                  <c:v>5.2855407047387608E-2</c:v>
                </c:pt>
                <c:pt idx="4">
                  <c:v>3.7059538274605106E-2</c:v>
                </c:pt>
                <c:pt idx="5">
                  <c:v>2.7946537059538274E-2</c:v>
                </c:pt>
              </c:numCache>
            </c:numRef>
          </c:val>
          <c:smooth val="0"/>
          <c:extLst>
            <c:ext xmlns:c16="http://schemas.microsoft.com/office/drawing/2014/chart" uri="{C3380CC4-5D6E-409C-BE32-E72D297353CC}">
              <c16:uniqueId val="{00000001-B3BA-4EB4-868A-4489FC71BE5F}"/>
            </c:ext>
          </c:extLst>
        </c:ser>
        <c:ser>
          <c:idx val="2"/>
          <c:order val="2"/>
          <c:tx>
            <c:strRef>
              <c:f>Combined!$AK$17</c:f>
              <c:strCache>
                <c:ptCount val="1"/>
                <c:pt idx="0">
                  <c:v>Moderna Placebo1</c:v>
                </c:pt>
              </c:strCache>
            </c:strRef>
          </c:tx>
          <c:spPr>
            <a:ln w="28575" cap="rnd">
              <a:solidFill>
                <a:schemeClr val="accent3"/>
              </a:solidFill>
              <a:round/>
            </a:ln>
            <a:effectLst/>
          </c:spPr>
          <c:marker>
            <c:symbol val="none"/>
          </c:marker>
          <c:cat>
            <c:strRef>
              <c:f>Combined!$AH$18:$AH$23</c:f>
              <c:strCache>
                <c:ptCount val="6"/>
                <c:pt idx="0">
                  <c:v>Any systemic</c:v>
                </c:pt>
                <c:pt idx="1">
                  <c:v>Fatigue</c:v>
                </c:pt>
                <c:pt idx="2">
                  <c:v>Headache</c:v>
                </c:pt>
                <c:pt idx="3">
                  <c:v>Myalgia</c:v>
                </c:pt>
                <c:pt idx="4">
                  <c:v>Arthralgia</c:v>
                </c:pt>
                <c:pt idx="5">
                  <c:v>Chills</c:v>
                </c:pt>
              </c:strCache>
            </c:strRef>
          </c:cat>
          <c:val>
            <c:numRef>
              <c:f>Combined!$AK$18:$AK$23</c:f>
              <c:numCache>
                <c:formatCode>0.0%</c:formatCode>
                <c:ptCount val="6"/>
                <c:pt idx="0">
                  <c:v>0.35618996798292424</c:v>
                </c:pt>
                <c:pt idx="1">
                  <c:v>0.22705442902881537</c:v>
                </c:pt>
                <c:pt idx="2">
                  <c:v>0.11819637139807898</c:v>
                </c:pt>
                <c:pt idx="3">
                  <c:v>0.11819637139807898</c:v>
                </c:pt>
                <c:pt idx="4">
                  <c:v>0.12166488794023479</c:v>
                </c:pt>
                <c:pt idx="5">
                  <c:v>3.9487726787620067E-2</c:v>
                </c:pt>
              </c:numCache>
            </c:numRef>
          </c:val>
          <c:smooth val="0"/>
          <c:extLst>
            <c:ext xmlns:c16="http://schemas.microsoft.com/office/drawing/2014/chart" uri="{C3380CC4-5D6E-409C-BE32-E72D297353CC}">
              <c16:uniqueId val="{00000002-B3BA-4EB4-868A-4489FC71BE5F}"/>
            </c:ext>
          </c:extLst>
        </c:ser>
        <c:ser>
          <c:idx val="3"/>
          <c:order val="3"/>
          <c:tx>
            <c:strRef>
              <c:f>Combined!$AL$17</c:f>
              <c:strCache>
                <c:ptCount val="1"/>
                <c:pt idx="0">
                  <c:v>Moderna Placebo2</c:v>
                </c:pt>
              </c:strCache>
            </c:strRef>
          </c:tx>
          <c:spPr>
            <a:ln w="28575" cap="rnd">
              <a:solidFill>
                <a:schemeClr val="accent4"/>
              </a:solidFill>
              <a:round/>
            </a:ln>
            <a:effectLst/>
          </c:spPr>
          <c:marker>
            <c:symbol val="none"/>
          </c:marker>
          <c:cat>
            <c:strRef>
              <c:f>Combined!$AH$18:$AH$23</c:f>
              <c:strCache>
                <c:ptCount val="6"/>
                <c:pt idx="0">
                  <c:v>Any systemic</c:v>
                </c:pt>
                <c:pt idx="1">
                  <c:v>Fatigue</c:v>
                </c:pt>
                <c:pt idx="2">
                  <c:v>Headache</c:v>
                </c:pt>
                <c:pt idx="3">
                  <c:v>Myalgia</c:v>
                </c:pt>
                <c:pt idx="4">
                  <c:v>Arthralgia</c:v>
                </c:pt>
                <c:pt idx="5">
                  <c:v>Chills</c:v>
                </c:pt>
              </c:strCache>
            </c:strRef>
          </c:cat>
          <c:val>
            <c:numRef>
              <c:f>Combined!$AL$18:$AL$23</c:f>
              <c:numCache>
                <c:formatCode>0.0%</c:formatCode>
                <c:ptCount val="6"/>
                <c:pt idx="0">
                  <c:v>0.31051000281769514</c:v>
                </c:pt>
                <c:pt idx="1">
                  <c:v>0.19582981121442661</c:v>
                </c:pt>
                <c:pt idx="2">
                  <c:v>0.17892364046210199</c:v>
                </c:pt>
                <c:pt idx="3">
                  <c:v>0.10848126232741617</c:v>
                </c:pt>
                <c:pt idx="4">
                  <c:v>0.10735418427726121</c:v>
                </c:pt>
                <c:pt idx="5">
                  <c:v>4.0574809805579037E-2</c:v>
                </c:pt>
              </c:numCache>
            </c:numRef>
          </c:val>
          <c:smooth val="0"/>
          <c:extLst>
            <c:ext xmlns:c16="http://schemas.microsoft.com/office/drawing/2014/chart" uri="{C3380CC4-5D6E-409C-BE32-E72D297353CC}">
              <c16:uniqueId val="{00000003-B3BA-4EB4-868A-4489FC71BE5F}"/>
            </c:ext>
          </c:extLst>
        </c:ser>
        <c:ser>
          <c:idx val="4"/>
          <c:order val="4"/>
          <c:tx>
            <c:strRef>
              <c:f>Combined!$AM$17</c:f>
              <c:strCache>
                <c:ptCount val="1"/>
                <c:pt idx="0">
                  <c:v>Janssen Placebo</c:v>
                </c:pt>
              </c:strCache>
            </c:strRef>
          </c:tx>
          <c:spPr>
            <a:ln w="28575" cap="rnd">
              <a:solidFill>
                <a:schemeClr val="accent5"/>
              </a:solidFill>
              <a:round/>
            </a:ln>
            <a:effectLst/>
          </c:spPr>
          <c:marker>
            <c:symbol val="none"/>
          </c:marker>
          <c:cat>
            <c:strRef>
              <c:f>Combined!$AH$18:$AH$23</c:f>
              <c:strCache>
                <c:ptCount val="6"/>
                <c:pt idx="0">
                  <c:v>Any systemic</c:v>
                </c:pt>
                <c:pt idx="1">
                  <c:v>Fatigue</c:v>
                </c:pt>
                <c:pt idx="2">
                  <c:v>Headache</c:v>
                </c:pt>
                <c:pt idx="3">
                  <c:v>Myalgia</c:v>
                </c:pt>
                <c:pt idx="4">
                  <c:v>Arthralgia</c:v>
                </c:pt>
                <c:pt idx="5">
                  <c:v>Chills</c:v>
                </c:pt>
              </c:strCache>
            </c:strRef>
          </c:cat>
          <c:val>
            <c:numRef>
              <c:f>Combined!$AM$18:$AM$23</c:f>
              <c:numCache>
                <c:formatCode>0.0%</c:formatCode>
                <c:ptCount val="6"/>
                <c:pt idx="0">
                  <c:v>0.33057851239669422</c:v>
                </c:pt>
                <c:pt idx="1">
                  <c:v>0.20811419984973703</c:v>
                </c:pt>
                <c:pt idx="2">
                  <c:v>0.22088655146506386</c:v>
                </c:pt>
                <c:pt idx="3">
                  <c:v>0.13673929376408714</c:v>
                </c:pt>
              </c:numCache>
            </c:numRef>
          </c:val>
          <c:smooth val="0"/>
          <c:extLst>
            <c:ext xmlns:c16="http://schemas.microsoft.com/office/drawing/2014/chart" uri="{C3380CC4-5D6E-409C-BE32-E72D297353CC}">
              <c16:uniqueId val="{00000004-B3BA-4EB4-868A-4489FC71BE5F}"/>
            </c:ext>
          </c:extLst>
        </c:ser>
        <c:dLbls>
          <c:showLegendKey val="0"/>
          <c:showVal val="0"/>
          <c:showCatName val="0"/>
          <c:showSerName val="0"/>
          <c:showPercent val="0"/>
          <c:showBubbleSize val="0"/>
        </c:dLbls>
        <c:smooth val="0"/>
        <c:axId val="439921320"/>
        <c:axId val="439921648"/>
      </c:lineChart>
      <c:catAx>
        <c:axId val="4399213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9921648"/>
        <c:crosses val="autoZero"/>
        <c:auto val="1"/>
        <c:lblAlgn val="ctr"/>
        <c:lblOffset val="100"/>
        <c:noMultiLvlLbl val="0"/>
      </c:catAx>
      <c:valAx>
        <c:axId val="43992164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399213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solidFill>
                <a:latin typeface="+mn-lt"/>
                <a:ea typeface="+mn-ea"/>
                <a:cs typeface="+mn-cs"/>
              </a:defRPr>
            </a:pPr>
            <a:r>
              <a:rPr lang="en-US" sz="1600" b="1">
                <a:solidFill>
                  <a:schemeClr val="tx1"/>
                </a:solidFill>
              </a:rPr>
              <a:t>Saline Control Adverse Events</a:t>
            </a:r>
          </a:p>
        </c:rich>
      </c:tx>
      <c:layout>
        <c:manualLayout>
          <c:xMode val="edge"/>
          <c:yMode val="edge"/>
          <c:x val="0.29741628293749578"/>
          <c:y val="2.8735632183908046E-2"/>
        </c:manualLayout>
      </c:layout>
      <c:overlay val="0"/>
      <c:spPr>
        <a:noFill/>
        <a:ln>
          <a:noFill/>
        </a:ln>
        <a:effectLst/>
      </c:spPr>
      <c:txPr>
        <a:bodyPr rot="0" spcFirstLastPara="1" vertOverflow="ellipsis" vert="horz" wrap="square" anchor="ctr" anchorCtr="1"/>
        <a:lstStyle/>
        <a:p>
          <a:pPr>
            <a:defRPr sz="1600" b="1" i="0" u="none" strike="noStrike" kern="1200" spc="0" baseline="0">
              <a:solidFill>
                <a:schemeClr val="tx1"/>
              </a:solidFill>
              <a:latin typeface="+mn-lt"/>
              <a:ea typeface="+mn-ea"/>
              <a:cs typeface="+mn-cs"/>
            </a:defRPr>
          </a:pPr>
          <a:endParaRPr lang="en-US"/>
        </a:p>
      </c:txPr>
    </c:title>
    <c:autoTitleDeleted val="0"/>
    <c:plotArea>
      <c:layout/>
      <c:lineChart>
        <c:grouping val="standard"/>
        <c:varyColors val="0"/>
        <c:ser>
          <c:idx val="0"/>
          <c:order val="0"/>
          <c:tx>
            <c:strRef>
              <c:f>Table_S1!$J$2</c:f>
              <c:strCache>
                <c:ptCount val="1"/>
                <c:pt idx="0">
                  <c:v>Pfizer Placebo1</c:v>
                </c:pt>
              </c:strCache>
            </c:strRef>
          </c:tx>
          <c:spPr>
            <a:ln w="28575" cap="rnd">
              <a:solidFill>
                <a:schemeClr val="accent1"/>
              </a:solidFill>
              <a:round/>
            </a:ln>
            <a:effectLst/>
          </c:spPr>
          <c:marker>
            <c:symbol val="none"/>
          </c:marker>
          <c:cat>
            <c:strRef>
              <c:f>Table_S1!$I$3:$I$8</c:f>
              <c:strCache>
                <c:ptCount val="6"/>
                <c:pt idx="0">
                  <c:v>Any systemic</c:v>
                </c:pt>
                <c:pt idx="1">
                  <c:v>Fatigue</c:v>
                </c:pt>
                <c:pt idx="2">
                  <c:v>Headache</c:v>
                </c:pt>
                <c:pt idx="3">
                  <c:v>Myalgia</c:v>
                </c:pt>
                <c:pt idx="4">
                  <c:v>Arthralgia</c:v>
                </c:pt>
                <c:pt idx="5">
                  <c:v>Chills</c:v>
                </c:pt>
              </c:strCache>
            </c:strRef>
          </c:cat>
          <c:val>
            <c:numRef>
              <c:f>Table_S1!$J$3:$J$8</c:f>
              <c:numCache>
                <c:formatCode>0.0%</c:formatCode>
                <c:ptCount val="6"/>
                <c:pt idx="1">
                  <c:v>0.28655256723716382</c:v>
                </c:pt>
                <c:pt idx="2">
                  <c:v>0.26894865525672373</c:v>
                </c:pt>
                <c:pt idx="3">
                  <c:v>9.7310513447432759E-2</c:v>
                </c:pt>
                <c:pt idx="4">
                  <c:v>6.0391198044009782E-2</c:v>
                </c:pt>
                <c:pt idx="5">
                  <c:v>4.963325183374083E-2</c:v>
                </c:pt>
              </c:numCache>
            </c:numRef>
          </c:val>
          <c:smooth val="0"/>
          <c:extLst>
            <c:ext xmlns:c16="http://schemas.microsoft.com/office/drawing/2014/chart" uri="{C3380CC4-5D6E-409C-BE32-E72D297353CC}">
              <c16:uniqueId val="{00000000-116B-440D-9D47-750528617097}"/>
            </c:ext>
          </c:extLst>
        </c:ser>
        <c:ser>
          <c:idx val="1"/>
          <c:order val="1"/>
          <c:tx>
            <c:strRef>
              <c:f>Table_S1!$K$2</c:f>
              <c:strCache>
                <c:ptCount val="1"/>
                <c:pt idx="0">
                  <c:v>Pfizer Placebo2</c:v>
                </c:pt>
              </c:strCache>
            </c:strRef>
          </c:tx>
          <c:spPr>
            <a:ln w="28575" cap="rnd">
              <a:solidFill>
                <a:schemeClr val="accent2"/>
              </a:solidFill>
              <a:round/>
            </a:ln>
            <a:effectLst/>
          </c:spPr>
          <c:marker>
            <c:symbol val="none"/>
          </c:marker>
          <c:cat>
            <c:strRef>
              <c:f>Table_S1!$I$3:$I$8</c:f>
              <c:strCache>
                <c:ptCount val="6"/>
                <c:pt idx="0">
                  <c:v>Any systemic</c:v>
                </c:pt>
                <c:pt idx="1">
                  <c:v>Fatigue</c:v>
                </c:pt>
                <c:pt idx="2">
                  <c:v>Headache</c:v>
                </c:pt>
                <c:pt idx="3">
                  <c:v>Myalgia</c:v>
                </c:pt>
                <c:pt idx="4">
                  <c:v>Arthralgia</c:v>
                </c:pt>
                <c:pt idx="5">
                  <c:v>Chills</c:v>
                </c:pt>
              </c:strCache>
            </c:strRef>
          </c:cat>
          <c:val>
            <c:numRef>
              <c:f>Table_S1!$K$3:$K$8</c:f>
              <c:numCache>
                <c:formatCode>0.0%</c:formatCode>
                <c:ptCount val="6"/>
                <c:pt idx="1">
                  <c:v>0.20165377433982395</c:v>
                </c:pt>
                <c:pt idx="2">
                  <c:v>0.19605228060816218</c:v>
                </c:pt>
                <c:pt idx="3">
                  <c:v>6.9351827153907711E-2</c:v>
                </c:pt>
                <c:pt idx="4">
                  <c:v>4.5345425446785811E-2</c:v>
                </c:pt>
                <c:pt idx="5">
                  <c:v>3.3342224593224862E-2</c:v>
                </c:pt>
              </c:numCache>
            </c:numRef>
          </c:val>
          <c:smooth val="0"/>
          <c:extLst>
            <c:ext xmlns:c16="http://schemas.microsoft.com/office/drawing/2014/chart" uri="{C3380CC4-5D6E-409C-BE32-E72D297353CC}">
              <c16:uniqueId val="{00000001-116B-440D-9D47-750528617097}"/>
            </c:ext>
          </c:extLst>
        </c:ser>
        <c:ser>
          <c:idx val="2"/>
          <c:order val="2"/>
          <c:tx>
            <c:strRef>
              <c:f>Table_S1!$L$2</c:f>
              <c:strCache>
                <c:ptCount val="1"/>
                <c:pt idx="0">
                  <c:v>Moderna Placebo1</c:v>
                </c:pt>
              </c:strCache>
            </c:strRef>
          </c:tx>
          <c:spPr>
            <a:ln w="28575" cap="rnd">
              <a:solidFill>
                <a:schemeClr val="accent3"/>
              </a:solidFill>
              <a:round/>
            </a:ln>
            <a:effectLst/>
          </c:spPr>
          <c:marker>
            <c:symbol val="none"/>
          </c:marker>
          <c:cat>
            <c:strRef>
              <c:f>Table_S1!$I$3:$I$8</c:f>
              <c:strCache>
                <c:ptCount val="6"/>
                <c:pt idx="0">
                  <c:v>Any systemic</c:v>
                </c:pt>
                <c:pt idx="1">
                  <c:v>Fatigue</c:v>
                </c:pt>
                <c:pt idx="2">
                  <c:v>Headache</c:v>
                </c:pt>
                <c:pt idx="3">
                  <c:v>Myalgia</c:v>
                </c:pt>
                <c:pt idx="4">
                  <c:v>Arthralgia</c:v>
                </c:pt>
                <c:pt idx="5">
                  <c:v>Chills</c:v>
                </c:pt>
              </c:strCache>
            </c:strRef>
          </c:cat>
          <c:val>
            <c:numRef>
              <c:f>Table_S1!$L$3:$L$8</c:f>
              <c:numCache>
                <c:formatCode>0.0%</c:formatCode>
                <c:ptCount val="6"/>
                <c:pt idx="0">
                  <c:v>0.42219875940345786</c:v>
                </c:pt>
                <c:pt idx="1">
                  <c:v>0.27273327174343409</c:v>
                </c:pt>
                <c:pt idx="2">
                  <c:v>0.2471954599445691</c:v>
                </c:pt>
                <c:pt idx="3">
                  <c:v>0.13653160881615414</c:v>
                </c:pt>
                <c:pt idx="4">
                  <c:v>0.1176587039725485</c:v>
                </c:pt>
                <c:pt idx="5">
                  <c:v>5.7938498086313843E-2</c:v>
                </c:pt>
              </c:numCache>
            </c:numRef>
          </c:val>
          <c:smooth val="0"/>
          <c:extLst>
            <c:ext xmlns:c16="http://schemas.microsoft.com/office/drawing/2014/chart" uri="{C3380CC4-5D6E-409C-BE32-E72D297353CC}">
              <c16:uniqueId val="{00000002-116B-440D-9D47-750528617097}"/>
            </c:ext>
          </c:extLst>
        </c:ser>
        <c:ser>
          <c:idx val="3"/>
          <c:order val="3"/>
          <c:tx>
            <c:strRef>
              <c:f>Table_S1!$M$2</c:f>
              <c:strCache>
                <c:ptCount val="1"/>
                <c:pt idx="0">
                  <c:v>Moderna Placebo2</c:v>
                </c:pt>
              </c:strCache>
            </c:strRef>
          </c:tx>
          <c:spPr>
            <a:ln w="28575" cap="rnd">
              <a:solidFill>
                <a:schemeClr val="accent4"/>
              </a:solidFill>
              <a:round/>
            </a:ln>
            <a:effectLst/>
          </c:spPr>
          <c:marker>
            <c:symbol val="none"/>
          </c:marker>
          <c:cat>
            <c:strRef>
              <c:f>Table_S1!$I$3:$I$8</c:f>
              <c:strCache>
                <c:ptCount val="6"/>
                <c:pt idx="0">
                  <c:v>Any systemic</c:v>
                </c:pt>
                <c:pt idx="1">
                  <c:v>Fatigue</c:v>
                </c:pt>
                <c:pt idx="2">
                  <c:v>Headache</c:v>
                </c:pt>
                <c:pt idx="3">
                  <c:v>Myalgia</c:v>
                </c:pt>
                <c:pt idx="4">
                  <c:v>Arthralgia</c:v>
                </c:pt>
                <c:pt idx="5">
                  <c:v>Chills</c:v>
                </c:pt>
              </c:strCache>
            </c:strRef>
          </c:cat>
          <c:val>
            <c:numRef>
              <c:f>Table_S1!$M$3:$M$8</c:f>
              <c:numCache>
                <c:formatCode>0.0%</c:formatCode>
                <c:ptCount val="6"/>
                <c:pt idx="0">
                  <c:v>0.3654913836614031</c:v>
                </c:pt>
                <c:pt idx="1">
                  <c:v>0.23253298723772442</c:v>
                </c:pt>
                <c:pt idx="2">
                  <c:v>0.23447977503785419</c:v>
                </c:pt>
                <c:pt idx="3">
                  <c:v>0.12235921840074987</c:v>
                </c:pt>
                <c:pt idx="4">
                  <c:v>0.10584757372557502</c:v>
                </c:pt>
                <c:pt idx="5">
                  <c:v>5.4437955151777344E-2</c:v>
                </c:pt>
              </c:numCache>
            </c:numRef>
          </c:val>
          <c:smooth val="0"/>
          <c:extLst>
            <c:ext xmlns:c16="http://schemas.microsoft.com/office/drawing/2014/chart" uri="{C3380CC4-5D6E-409C-BE32-E72D297353CC}">
              <c16:uniqueId val="{00000003-116B-440D-9D47-750528617097}"/>
            </c:ext>
          </c:extLst>
        </c:ser>
        <c:ser>
          <c:idx val="4"/>
          <c:order val="4"/>
          <c:tx>
            <c:strRef>
              <c:f>Table_S1!$N$2</c:f>
              <c:strCache>
                <c:ptCount val="1"/>
                <c:pt idx="0">
                  <c:v>Janssen Placebo</c:v>
                </c:pt>
              </c:strCache>
            </c:strRef>
          </c:tx>
          <c:spPr>
            <a:ln w="28575" cap="rnd">
              <a:solidFill>
                <a:schemeClr val="accent5"/>
              </a:solidFill>
              <a:round/>
            </a:ln>
            <a:effectLst/>
          </c:spPr>
          <c:marker>
            <c:symbol val="none"/>
          </c:marker>
          <c:cat>
            <c:strRef>
              <c:f>Table_S1!$I$3:$I$8</c:f>
              <c:strCache>
                <c:ptCount val="6"/>
                <c:pt idx="0">
                  <c:v>Any systemic</c:v>
                </c:pt>
                <c:pt idx="1">
                  <c:v>Fatigue</c:v>
                </c:pt>
                <c:pt idx="2">
                  <c:v>Headache</c:v>
                </c:pt>
                <c:pt idx="3">
                  <c:v>Myalgia</c:v>
                </c:pt>
                <c:pt idx="4">
                  <c:v>Arthralgia</c:v>
                </c:pt>
                <c:pt idx="5">
                  <c:v>Chills</c:v>
                </c:pt>
              </c:strCache>
            </c:strRef>
          </c:cat>
          <c:val>
            <c:numRef>
              <c:f>Table_S1!$N$3:$N$8</c:f>
              <c:numCache>
                <c:formatCode>0.0%</c:formatCode>
                <c:ptCount val="6"/>
                <c:pt idx="0">
                  <c:v>0.35059171597633138</c:v>
                </c:pt>
                <c:pt idx="1">
                  <c:v>0.2153846153846154</c:v>
                </c:pt>
                <c:pt idx="2">
                  <c:v>0.23727810650887574</c:v>
                </c:pt>
                <c:pt idx="3">
                  <c:v>0.12721893491124261</c:v>
                </c:pt>
              </c:numCache>
            </c:numRef>
          </c:val>
          <c:smooth val="0"/>
          <c:extLst>
            <c:ext xmlns:c16="http://schemas.microsoft.com/office/drawing/2014/chart" uri="{C3380CC4-5D6E-409C-BE32-E72D297353CC}">
              <c16:uniqueId val="{00000004-116B-440D-9D47-750528617097}"/>
            </c:ext>
          </c:extLst>
        </c:ser>
        <c:dLbls>
          <c:showLegendKey val="0"/>
          <c:showVal val="0"/>
          <c:showCatName val="0"/>
          <c:showSerName val="0"/>
          <c:showPercent val="0"/>
          <c:showBubbleSize val="0"/>
        </c:dLbls>
        <c:smooth val="0"/>
        <c:axId val="434450512"/>
        <c:axId val="434459040"/>
      </c:lineChart>
      <c:catAx>
        <c:axId val="4344505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mn-lt"/>
                <a:ea typeface="+mn-ea"/>
                <a:cs typeface="+mn-cs"/>
              </a:defRPr>
            </a:pPr>
            <a:endParaRPr lang="en-US"/>
          </a:p>
        </c:txPr>
        <c:crossAx val="434459040"/>
        <c:crosses val="autoZero"/>
        <c:auto val="1"/>
        <c:lblAlgn val="ctr"/>
        <c:lblOffset val="100"/>
        <c:noMultiLvlLbl val="0"/>
      </c:catAx>
      <c:valAx>
        <c:axId val="43445904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solidFill>
                <a:latin typeface="+mn-lt"/>
                <a:ea typeface="+mn-ea"/>
                <a:cs typeface="+mn-cs"/>
              </a:defRPr>
            </a:pPr>
            <a:endParaRPr lang="en-US"/>
          </a:p>
        </c:txPr>
        <c:crossAx val="434450512"/>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100" b="1" i="0" u="none" strike="noStrike" kern="1200" baseline="0">
              <a:solidFill>
                <a:schemeClr val="tx1"/>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24</xdr:col>
      <xdr:colOff>392430</xdr:colOff>
      <xdr:row>0</xdr:row>
      <xdr:rowOff>102870</xdr:rowOff>
    </xdr:from>
    <xdr:to>
      <xdr:col>32</xdr:col>
      <xdr:colOff>87630</xdr:colOff>
      <xdr:row>15</xdr:row>
      <xdr:rowOff>102870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24</xdr:col>
      <xdr:colOff>461010</xdr:colOff>
      <xdr:row>15</xdr:row>
      <xdr:rowOff>179070</xdr:rowOff>
    </xdr:from>
    <xdr:to>
      <xdr:col>32</xdr:col>
      <xdr:colOff>156210</xdr:colOff>
      <xdr:row>30</xdr:row>
      <xdr:rowOff>179070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194310</xdr:colOff>
      <xdr:row>0</xdr:row>
      <xdr:rowOff>133350</xdr:rowOff>
    </xdr:from>
    <xdr:to>
      <xdr:col>47</xdr:col>
      <xdr:colOff>499110</xdr:colOff>
      <xdr:row>15</xdr:row>
      <xdr:rowOff>133350</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40</xdr:col>
      <xdr:colOff>95250</xdr:colOff>
      <xdr:row>16</xdr:row>
      <xdr:rowOff>49530</xdr:rowOff>
    </xdr:from>
    <xdr:to>
      <xdr:col>47</xdr:col>
      <xdr:colOff>400050</xdr:colOff>
      <xdr:row>31</xdr:row>
      <xdr:rowOff>49530</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16</xdr:col>
      <xdr:colOff>426720</xdr:colOff>
      <xdr:row>1</xdr:row>
      <xdr:rowOff>38100</xdr:rowOff>
    </xdr:from>
    <xdr:to>
      <xdr:col>25</xdr:col>
      <xdr:colOff>556260</xdr:colOff>
      <xdr:row>18</xdr:row>
      <xdr:rowOff>22860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fda.gov/emergency-preparedness-and-response/coronavirus-disease-2019-covid-19/comirnaty-and-pfizer-biontech-covid-19-vaccine" TargetMode="External"/><Relationship Id="rId1" Type="http://schemas.openxmlformats.org/officeDocument/2006/relationships/hyperlink" Target="https://www.cdc.gov/vaccines/covid-19/info-by-product/pfizer/reactogenicity.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512"/>
  <sheetViews>
    <sheetView workbookViewId="0">
      <selection activeCell="B3" sqref="B3"/>
    </sheetView>
  </sheetViews>
  <sheetFormatPr defaultRowHeight="14.4" x14ac:dyDescent="0.3"/>
  <cols>
    <col min="2" max="6" width="13.77734375" customWidth="1"/>
    <col min="8" max="8" width="30.109375" customWidth="1"/>
  </cols>
  <sheetData>
    <row r="1" spans="2:2" x14ac:dyDescent="0.3">
      <c r="B1" s="1" t="s">
        <v>0</v>
      </c>
    </row>
    <row r="2" spans="2:2" x14ac:dyDescent="0.3">
      <c r="B2" s="1" t="s">
        <v>937</v>
      </c>
    </row>
    <row r="3" spans="2:2" x14ac:dyDescent="0.3">
      <c r="B3" t="s">
        <v>1</v>
      </c>
    </row>
    <row r="5" spans="2:2" x14ac:dyDescent="0.3">
      <c r="B5" t="s">
        <v>2</v>
      </c>
    </row>
    <row r="6" spans="2:2" x14ac:dyDescent="0.3">
      <c r="B6" t="s">
        <v>3</v>
      </c>
    </row>
    <row r="7" spans="2:2" x14ac:dyDescent="0.3">
      <c r="B7" t="s">
        <v>4</v>
      </c>
    </row>
    <row r="8" spans="2:2" x14ac:dyDescent="0.3">
      <c r="B8" t="s">
        <v>5</v>
      </c>
    </row>
    <row r="9" spans="2:2" x14ac:dyDescent="0.3">
      <c r="B9" t="s">
        <v>6</v>
      </c>
    </row>
    <row r="10" spans="2:2" x14ac:dyDescent="0.3">
      <c r="B10" t="s">
        <v>7</v>
      </c>
    </row>
    <row r="11" spans="2:2" x14ac:dyDescent="0.3">
      <c r="B11" t="s">
        <v>8</v>
      </c>
    </row>
    <row r="12" spans="2:2" x14ac:dyDescent="0.3">
      <c r="B12" t="s">
        <v>4</v>
      </c>
    </row>
    <row r="13" spans="2:2" x14ac:dyDescent="0.3">
      <c r="B13" t="s">
        <v>5</v>
      </c>
    </row>
    <row r="14" spans="2:2" x14ac:dyDescent="0.3">
      <c r="B14" t="s">
        <v>6</v>
      </c>
    </row>
    <row r="15" spans="2:2" x14ac:dyDescent="0.3">
      <c r="B15" t="s">
        <v>7</v>
      </c>
    </row>
    <row r="16" spans="2:2" x14ac:dyDescent="0.3">
      <c r="B16" t="s">
        <v>9</v>
      </c>
    </row>
    <row r="17" spans="2:6" x14ac:dyDescent="0.3">
      <c r="B17" t="s">
        <v>4</v>
      </c>
    </row>
    <row r="18" spans="2:6" x14ac:dyDescent="0.3">
      <c r="B18" t="s">
        <v>5</v>
      </c>
    </row>
    <row r="19" spans="2:6" x14ac:dyDescent="0.3">
      <c r="B19" t="s">
        <v>6</v>
      </c>
    </row>
    <row r="20" spans="2:6" x14ac:dyDescent="0.3">
      <c r="B20" t="s">
        <v>7</v>
      </c>
    </row>
    <row r="22" spans="2:6" x14ac:dyDescent="0.3">
      <c r="B22" t="s">
        <v>3</v>
      </c>
    </row>
    <row r="24" spans="2:6" x14ac:dyDescent="0.3">
      <c r="B24" t="s">
        <v>4</v>
      </c>
    </row>
    <row r="26" spans="2:6" x14ac:dyDescent="0.3">
      <c r="B26" t="s">
        <v>10</v>
      </c>
    </row>
    <row r="28" spans="2:6" x14ac:dyDescent="0.3">
      <c r="B28" t="s">
        <v>11</v>
      </c>
    </row>
    <row r="30" spans="2:6" x14ac:dyDescent="0.3">
      <c r="B30" t="s">
        <v>12</v>
      </c>
    </row>
    <row r="31" spans="2:6" x14ac:dyDescent="0.3">
      <c r="C31" t="s">
        <v>13</v>
      </c>
      <c r="E31" t="s">
        <v>14</v>
      </c>
    </row>
    <row r="32" spans="2:6" x14ac:dyDescent="0.3">
      <c r="C32" t="s">
        <v>15</v>
      </c>
      <c r="D32" t="s">
        <v>17</v>
      </c>
      <c r="E32" t="s">
        <v>15</v>
      </c>
      <c r="F32" t="s">
        <v>17</v>
      </c>
    </row>
    <row r="33" spans="2:6" x14ac:dyDescent="0.3">
      <c r="C33" t="s">
        <v>16</v>
      </c>
      <c r="D33" t="s">
        <v>18</v>
      </c>
      <c r="E33" t="s">
        <v>19</v>
      </c>
      <c r="F33" t="s">
        <v>20</v>
      </c>
    </row>
    <row r="34" spans="2:6" x14ac:dyDescent="0.3">
      <c r="B34" t="s">
        <v>21</v>
      </c>
    </row>
    <row r="35" spans="2:6" x14ac:dyDescent="0.3">
      <c r="B35" t="s">
        <v>22</v>
      </c>
      <c r="C35" t="s">
        <v>23</v>
      </c>
      <c r="D35" t="s">
        <v>24</v>
      </c>
      <c r="E35" t="s">
        <v>25</v>
      </c>
      <c r="F35" t="s">
        <v>26</v>
      </c>
    </row>
    <row r="36" spans="2:6" x14ac:dyDescent="0.3">
      <c r="B36" t="s">
        <v>27</v>
      </c>
      <c r="C36" t="s">
        <v>28</v>
      </c>
      <c r="D36" t="s">
        <v>29</v>
      </c>
      <c r="E36" t="s">
        <v>30</v>
      </c>
      <c r="F36" t="s">
        <v>31</v>
      </c>
    </row>
    <row r="37" spans="2:6" x14ac:dyDescent="0.3">
      <c r="B37" t="s">
        <v>32</v>
      </c>
      <c r="C37" t="s">
        <v>33</v>
      </c>
      <c r="D37" t="s">
        <v>34</v>
      </c>
      <c r="E37" t="s">
        <v>35</v>
      </c>
      <c r="F37" t="s">
        <v>34</v>
      </c>
    </row>
    <row r="38" spans="2:6" x14ac:dyDescent="0.3">
      <c r="B38" t="s">
        <v>36</v>
      </c>
      <c r="C38" t="s">
        <v>34</v>
      </c>
      <c r="D38" t="s">
        <v>37</v>
      </c>
      <c r="E38" t="s">
        <v>38</v>
      </c>
      <c r="F38" t="s">
        <v>39</v>
      </c>
    </row>
    <row r="39" spans="2:6" x14ac:dyDescent="0.3">
      <c r="B39" t="s">
        <v>40</v>
      </c>
      <c r="C39" t="s">
        <v>39</v>
      </c>
      <c r="D39" t="s">
        <v>39</v>
      </c>
      <c r="E39" t="s">
        <v>39</v>
      </c>
      <c r="F39" t="s">
        <v>39</v>
      </c>
    </row>
    <row r="40" spans="2:6" x14ac:dyDescent="0.3">
      <c r="B40" t="s">
        <v>41</v>
      </c>
    </row>
    <row r="41" spans="2:6" x14ac:dyDescent="0.3">
      <c r="B41" t="s">
        <v>22</v>
      </c>
      <c r="C41" t="s">
        <v>42</v>
      </c>
      <c r="D41" t="s">
        <v>43</v>
      </c>
      <c r="E41" t="s">
        <v>44</v>
      </c>
      <c r="F41" t="s">
        <v>45</v>
      </c>
    </row>
    <row r="42" spans="2:6" x14ac:dyDescent="0.3">
      <c r="B42" t="s">
        <v>27</v>
      </c>
      <c r="C42" t="s">
        <v>46</v>
      </c>
      <c r="D42" t="s">
        <v>47</v>
      </c>
      <c r="E42" t="s">
        <v>48</v>
      </c>
      <c r="F42" t="s">
        <v>47</v>
      </c>
    </row>
    <row r="43" spans="2:6" x14ac:dyDescent="0.3">
      <c r="B43" t="s">
        <v>32</v>
      </c>
      <c r="C43" t="s">
        <v>49</v>
      </c>
      <c r="D43" t="s">
        <v>45</v>
      </c>
      <c r="E43" t="s">
        <v>50</v>
      </c>
      <c r="F43" t="s">
        <v>51</v>
      </c>
    </row>
    <row r="44" spans="2:6" x14ac:dyDescent="0.3">
      <c r="B44" t="s">
        <v>36</v>
      </c>
      <c r="C44" t="s">
        <v>45</v>
      </c>
      <c r="D44" t="s">
        <v>47</v>
      </c>
      <c r="E44" t="s">
        <v>52</v>
      </c>
      <c r="F44" t="s">
        <v>39</v>
      </c>
    </row>
    <row r="45" spans="2:6" x14ac:dyDescent="0.3">
      <c r="B45" t="s">
        <v>40</v>
      </c>
      <c r="C45" t="s">
        <v>39</v>
      </c>
      <c r="D45" t="s">
        <v>39</v>
      </c>
      <c r="E45" t="s">
        <v>39</v>
      </c>
      <c r="F45" t="s">
        <v>39</v>
      </c>
    </row>
    <row r="46" spans="2:6" x14ac:dyDescent="0.3">
      <c r="B46" t="s">
        <v>53</v>
      </c>
    </row>
    <row r="47" spans="2:6" x14ac:dyDescent="0.3">
      <c r="B47" t="s">
        <v>22</v>
      </c>
      <c r="C47" t="s">
        <v>54</v>
      </c>
      <c r="D47" t="s">
        <v>55</v>
      </c>
      <c r="E47" t="s">
        <v>56</v>
      </c>
      <c r="F47" t="s">
        <v>57</v>
      </c>
    </row>
    <row r="48" spans="2:6" x14ac:dyDescent="0.3">
      <c r="B48" t="s">
        <v>27</v>
      </c>
      <c r="C48" t="s">
        <v>58</v>
      </c>
      <c r="D48" t="s">
        <v>59</v>
      </c>
      <c r="E48" t="s">
        <v>60</v>
      </c>
      <c r="F48" t="s">
        <v>61</v>
      </c>
    </row>
    <row r="49" spans="2:6" x14ac:dyDescent="0.3">
      <c r="B49" t="s">
        <v>32</v>
      </c>
      <c r="C49" t="s">
        <v>62</v>
      </c>
      <c r="D49" t="s">
        <v>63</v>
      </c>
      <c r="E49" t="s">
        <v>64</v>
      </c>
      <c r="F49" t="s">
        <v>65</v>
      </c>
    </row>
    <row r="50" spans="2:6" x14ac:dyDescent="0.3">
      <c r="B50" t="s">
        <v>36</v>
      </c>
      <c r="C50" t="s">
        <v>66</v>
      </c>
      <c r="D50" t="s">
        <v>51</v>
      </c>
      <c r="E50" t="s">
        <v>67</v>
      </c>
      <c r="F50" t="s">
        <v>39</v>
      </c>
    </row>
    <row r="51" spans="2:6" x14ac:dyDescent="0.3">
      <c r="B51" t="s">
        <v>40</v>
      </c>
      <c r="C51" t="s">
        <v>39</v>
      </c>
      <c r="D51" t="s">
        <v>39</v>
      </c>
      <c r="E51" t="s">
        <v>39</v>
      </c>
      <c r="F51" t="s">
        <v>39</v>
      </c>
    </row>
    <row r="52" spans="2:6" x14ac:dyDescent="0.3">
      <c r="B52" t="s">
        <v>68</v>
      </c>
    </row>
    <row r="54" spans="2:6" x14ac:dyDescent="0.3">
      <c r="B54" t="s">
        <v>69</v>
      </c>
    </row>
    <row r="56" spans="2:6" x14ac:dyDescent="0.3">
      <c r="B56" t="s">
        <v>70</v>
      </c>
    </row>
    <row r="58" spans="2:6" x14ac:dyDescent="0.3">
      <c r="B58" t="s">
        <v>71</v>
      </c>
    </row>
    <row r="59" spans="2:6" x14ac:dyDescent="0.3">
      <c r="C59" t="s">
        <v>13</v>
      </c>
      <c r="E59" t="s">
        <v>14</v>
      </c>
    </row>
    <row r="60" spans="2:6" x14ac:dyDescent="0.3">
      <c r="C60" t="s">
        <v>15</v>
      </c>
      <c r="D60" t="s">
        <v>17</v>
      </c>
      <c r="E60" t="s">
        <v>15</v>
      </c>
      <c r="F60" t="s">
        <v>17</v>
      </c>
    </row>
    <row r="61" spans="2:6" x14ac:dyDescent="0.3">
      <c r="C61" t="s">
        <v>72</v>
      </c>
      <c r="D61" t="s">
        <v>73</v>
      </c>
      <c r="E61" t="s">
        <v>74</v>
      </c>
      <c r="F61" t="s">
        <v>75</v>
      </c>
    </row>
    <row r="62" spans="2:6" x14ac:dyDescent="0.3">
      <c r="B62" t="s">
        <v>21</v>
      </c>
    </row>
    <row r="63" spans="2:6" x14ac:dyDescent="0.3">
      <c r="B63" t="s">
        <v>22</v>
      </c>
      <c r="C63" t="s">
        <v>76</v>
      </c>
      <c r="D63" t="s">
        <v>77</v>
      </c>
      <c r="E63" t="s">
        <v>78</v>
      </c>
      <c r="F63" t="s">
        <v>79</v>
      </c>
    </row>
    <row r="64" spans="2:6" x14ac:dyDescent="0.3">
      <c r="B64" t="s">
        <v>27</v>
      </c>
      <c r="C64" t="s">
        <v>80</v>
      </c>
      <c r="D64" t="s">
        <v>79</v>
      </c>
      <c r="E64" t="s">
        <v>81</v>
      </c>
      <c r="F64" t="s">
        <v>82</v>
      </c>
    </row>
    <row r="65" spans="2:6" x14ac:dyDescent="0.3">
      <c r="B65" t="s">
        <v>32</v>
      </c>
      <c r="C65" t="s">
        <v>83</v>
      </c>
      <c r="D65" t="s">
        <v>84</v>
      </c>
      <c r="E65" t="s">
        <v>85</v>
      </c>
      <c r="F65" t="s">
        <v>86</v>
      </c>
    </row>
    <row r="66" spans="2:6" x14ac:dyDescent="0.3">
      <c r="B66" t="s">
        <v>36</v>
      </c>
      <c r="C66" t="s">
        <v>86</v>
      </c>
      <c r="D66" t="s">
        <v>51</v>
      </c>
      <c r="E66" t="s">
        <v>82</v>
      </c>
      <c r="F66" t="s">
        <v>87</v>
      </c>
    </row>
    <row r="67" spans="2:6" x14ac:dyDescent="0.3">
      <c r="B67" t="s">
        <v>40</v>
      </c>
      <c r="C67" t="s">
        <v>88</v>
      </c>
      <c r="D67" t="s">
        <v>39</v>
      </c>
      <c r="E67" t="s">
        <v>39</v>
      </c>
      <c r="F67" t="s">
        <v>39</v>
      </c>
    </row>
    <row r="68" spans="2:6" x14ac:dyDescent="0.3">
      <c r="B68" t="s">
        <v>41</v>
      </c>
    </row>
    <row r="69" spans="2:6" x14ac:dyDescent="0.3">
      <c r="B69" t="s">
        <v>22</v>
      </c>
      <c r="C69" t="s">
        <v>89</v>
      </c>
      <c r="D69" t="s">
        <v>90</v>
      </c>
      <c r="E69" t="s">
        <v>91</v>
      </c>
      <c r="F69" t="s">
        <v>92</v>
      </c>
    </row>
    <row r="70" spans="2:6" x14ac:dyDescent="0.3">
      <c r="B70" t="s">
        <v>27</v>
      </c>
      <c r="C70" t="s">
        <v>93</v>
      </c>
      <c r="D70" t="s">
        <v>94</v>
      </c>
      <c r="E70" t="s">
        <v>95</v>
      </c>
      <c r="F70" t="s">
        <v>84</v>
      </c>
    </row>
    <row r="71" spans="2:6" x14ac:dyDescent="0.3">
      <c r="B71" t="s">
        <v>32</v>
      </c>
      <c r="C71" t="s">
        <v>96</v>
      </c>
      <c r="D71" t="s">
        <v>97</v>
      </c>
      <c r="E71" t="s">
        <v>85</v>
      </c>
      <c r="F71" t="s">
        <v>84</v>
      </c>
    </row>
    <row r="72" spans="2:6" x14ac:dyDescent="0.3">
      <c r="B72" t="s">
        <v>36</v>
      </c>
      <c r="C72" t="s">
        <v>51</v>
      </c>
      <c r="D72" t="s">
        <v>39</v>
      </c>
      <c r="E72" t="s">
        <v>86</v>
      </c>
      <c r="F72" t="s">
        <v>87</v>
      </c>
    </row>
    <row r="73" spans="2:6" x14ac:dyDescent="0.3">
      <c r="B73" t="s">
        <v>40</v>
      </c>
      <c r="C73" t="s">
        <v>39</v>
      </c>
      <c r="D73" t="s">
        <v>39</v>
      </c>
      <c r="E73" t="s">
        <v>39</v>
      </c>
      <c r="F73" t="s">
        <v>39</v>
      </c>
    </row>
    <row r="74" spans="2:6" x14ac:dyDescent="0.3">
      <c r="B74" t="s">
        <v>53</v>
      </c>
    </row>
    <row r="75" spans="2:6" x14ac:dyDescent="0.3">
      <c r="B75" t="s">
        <v>22</v>
      </c>
      <c r="C75" t="s">
        <v>98</v>
      </c>
      <c r="D75" t="s">
        <v>99</v>
      </c>
      <c r="E75" t="s">
        <v>100</v>
      </c>
      <c r="F75" t="s">
        <v>101</v>
      </c>
    </row>
    <row r="76" spans="2:6" x14ac:dyDescent="0.3">
      <c r="B76" t="s">
        <v>27</v>
      </c>
      <c r="C76" t="s">
        <v>102</v>
      </c>
      <c r="D76" t="s">
        <v>103</v>
      </c>
      <c r="E76" t="s">
        <v>104</v>
      </c>
      <c r="F76" t="s">
        <v>101</v>
      </c>
    </row>
    <row r="77" spans="2:6" x14ac:dyDescent="0.3">
      <c r="B77" t="s">
        <v>32</v>
      </c>
      <c r="C77" t="s">
        <v>105</v>
      </c>
      <c r="D77" t="s">
        <v>34</v>
      </c>
      <c r="E77" t="s">
        <v>106</v>
      </c>
      <c r="F77" t="s">
        <v>51</v>
      </c>
    </row>
    <row r="78" spans="2:6" x14ac:dyDescent="0.3">
      <c r="B78" t="s">
        <v>36</v>
      </c>
      <c r="C78" t="s">
        <v>107</v>
      </c>
      <c r="D78" t="s">
        <v>39</v>
      </c>
      <c r="E78" t="s">
        <v>82</v>
      </c>
      <c r="F78" t="s">
        <v>39</v>
      </c>
    </row>
    <row r="79" spans="2:6" x14ac:dyDescent="0.3">
      <c r="B79" t="s">
        <v>40</v>
      </c>
      <c r="C79" t="s">
        <v>39</v>
      </c>
      <c r="D79" t="s">
        <v>39</v>
      </c>
      <c r="E79" t="s">
        <v>39</v>
      </c>
      <c r="F79" t="s">
        <v>39</v>
      </c>
    </row>
    <row r="80" spans="2:6" x14ac:dyDescent="0.3">
      <c r="B80" t="s">
        <v>108</v>
      </c>
    </row>
    <row r="82" spans="2:16" x14ac:dyDescent="0.3">
      <c r="B82" t="s">
        <v>109</v>
      </c>
    </row>
    <row r="84" spans="2:16" x14ac:dyDescent="0.3">
      <c r="B84" t="s">
        <v>5</v>
      </c>
    </row>
    <row r="86" spans="2:16" x14ac:dyDescent="0.3">
      <c r="B86" t="s">
        <v>110</v>
      </c>
    </row>
    <row r="88" spans="2:16" x14ac:dyDescent="0.3">
      <c r="B88" t="s">
        <v>111</v>
      </c>
    </row>
    <row r="90" spans="2:16" x14ac:dyDescent="0.3">
      <c r="B90" t="s">
        <v>112</v>
      </c>
      <c r="H90" t="s">
        <v>112</v>
      </c>
    </row>
    <row r="91" spans="2:16" x14ac:dyDescent="0.3">
      <c r="C91" t="s">
        <v>13</v>
      </c>
      <c r="E91" t="s">
        <v>14</v>
      </c>
      <c r="I91" t="s">
        <v>13</v>
      </c>
      <c r="J91" t="s">
        <v>14</v>
      </c>
    </row>
    <row r="92" spans="2:16" x14ac:dyDescent="0.3">
      <c r="C92" t="s">
        <v>15</v>
      </c>
      <c r="D92" t="s">
        <v>17</v>
      </c>
      <c r="E92" t="s">
        <v>15</v>
      </c>
      <c r="F92" t="s">
        <v>17</v>
      </c>
      <c r="I92" t="s">
        <v>17</v>
      </c>
      <c r="J92" t="s">
        <v>17</v>
      </c>
    </row>
    <row r="93" spans="2:16" x14ac:dyDescent="0.3">
      <c r="C93" t="s">
        <v>16</v>
      </c>
      <c r="D93" t="s">
        <v>18</v>
      </c>
      <c r="E93" t="s">
        <v>19</v>
      </c>
      <c r="F93" t="s">
        <v>20</v>
      </c>
      <c r="I93" t="s">
        <v>18</v>
      </c>
      <c r="J93" t="s">
        <v>20</v>
      </c>
    </row>
    <row r="94" spans="2:16" x14ac:dyDescent="0.3">
      <c r="B94" t="s">
        <v>113</v>
      </c>
      <c r="H94" t="s">
        <v>113</v>
      </c>
      <c r="I94" t="s">
        <v>116</v>
      </c>
      <c r="J94" t="s">
        <v>38</v>
      </c>
      <c r="K94" t="s">
        <v>226</v>
      </c>
      <c r="L94">
        <v>20</v>
      </c>
      <c r="M94">
        <v>10</v>
      </c>
      <c r="O94" s="2">
        <f>L94/2298</f>
        <v>8.7032201914708437E-3</v>
      </c>
      <c r="P94" s="2">
        <f>M94/2103</f>
        <v>4.7551117451260106E-3</v>
      </c>
    </row>
    <row r="95" spans="2:16" x14ac:dyDescent="0.3">
      <c r="B95" t="s">
        <v>114</v>
      </c>
      <c r="C95" t="s">
        <v>115</v>
      </c>
      <c r="D95" t="s">
        <v>116</v>
      </c>
      <c r="E95" t="s">
        <v>117</v>
      </c>
      <c r="F95" t="s">
        <v>38</v>
      </c>
      <c r="H95" t="s">
        <v>129</v>
      </c>
      <c r="I95" t="s">
        <v>131</v>
      </c>
      <c r="J95" t="s">
        <v>133</v>
      </c>
      <c r="K95" t="s">
        <v>946</v>
      </c>
      <c r="L95">
        <v>767</v>
      </c>
      <c r="M95">
        <v>479</v>
      </c>
      <c r="O95" s="2">
        <f t="shared" ref="O95:O101" si="0">L95/2298</f>
        <v>0.3337684943429069</v>
      </c>
      <c r="P95" s="2">
        <f t="shared" ref="P95:P101" si="1">M95/2103</f>
        <v>0.2277698525915359</v>
      </c>
    </row>
    <row r="96" spans="2:16" x14ac:dyDescent="0.3">
      <c r="B96" t="s">
        <v>118</v>
      </c>
      <c r="C96" t="s">
        <v>119</v>
      </c>
      <c r="D96" t="s">
        <v>120</v>
      </c>
      <c r="E96" t="s">
        <v>121</v>
      </c>
      <c r="F96" t="s">
        <v>45</v>
      </c>
      <c r="H96" t="s">
        <v>144</v>
      </c>
      <c r="I96" t="s">
        <v>146</v>
      </c>
      <c r="J96" t="s">
        <v>148</v>
      </c>
      <c r="K96" t="s">
        <v>940</v>
      </c>
      <c r="L96">
        <v>775</v>
      </c>
      <c r="M96">
        <v>506</v>
      </c>
      <c r="O96" s="2">
        <f t="shared" si="0"/>
        <v>0.33724978241949521</v>
      </c>
      <c r="P96" s="2">
        <f t="shared" si="1"/>
        <v>0.24060865430337613</v>
      </c>
    </row>
    <row r="97" spans="2:16" x14ac:dyDescent="0.3">
      <c r="B97" t="s">
        <v>122</v>
      </c>
      <c r="C97" t="s">
        <v>123</v>
      </c>
      <c r="D97" t="s">
        <v>45</v>
      </c>
      <c r="E97" t="s">
        <v>124</v>
      </c>
      <c r="F97" t="s">
        <v>47</v>
      </c>
      <c r="H97" t="s">
        <v>159</v>
      </c>
      <c r="I97" t="s">
        <v>161</v>
      </c>
      <c r="J97" t="s">
        <v>163</v>
      </c>
      <c r="K97" t="s">
        <v>944</v>
      </c>
      <c r="L97">
        <v>146</v>
      </c>
      <c r="M97">
        <v>79</v>
      </c>
      <c r="O97" s="2">
        <f t="shared" si="0"/>
        <v>6.3533507397737166E-2</v>
      </c>
      <c r="P97" s="2">
        <f t="shared" si="1"/>
        <v>3.7565382786495481E-2</v>
      </c>
    </row>
    <row r="98" spans="2:16" x14ac:dyDescent="0.3">
      <c r="B98" t="s">
        <v>125</v>
      </c>
      <c r="C98" t="s">
        <v>34</v>
      </c>
      <c r="D98" t="s">
        <v>47</v>
      </c>
      <c r="E98" t="s">
        <v>126</v>
      </c>
      <c r="F98" t="s">
        <v>51</v>
      </c>
      <c r="H98" t="s">
        <v>171</v>
      </c>
      <c r="I98" t="s">
        <v>33</v>
      </c>
      <c r="J98" t="s">
        <v>67</v>
      </c>
      <c r="K98" t="s">
        <v>947</v>
      </c>
      <c r="L98">
        <v>28</v>
      </c>
      <c r="M98">
        <v>25</v>
      </c>
      <c r="O98" s="2">
        <f t="shared" si="0"/>
        <v>1.2184508268059183E-2</v>
      </c>
      <c r="P98" s="2">
        <f t="shared" si="1"/>
        <v>1.1887779362815026E-2</v>
      </c>
    </row>
    <row r="99" spans="2:16" x14ac:dyDescent="0.3">
      <c r="B99" t="s">
        <v>127</v>
      </c>
      <c r="C99" t="s">
        <v>39</v>
      </c>
      <c r="D99" t="s">
        <v>51</v>
      </c>
      <c r="E99" t="s">
        <v>128</v>
      </c>
      <c r="F99" t="s">
        <v>39</v>
      </c>
      <c r="H99" t="s">
        <v>175</v>
      </c>
      <c r="I99" t="s">
        <v>177</v>
      </c>
      <c r="J99" t="s">
        <v>179</v>
      </c>
      <c r="K99" t="s">
        <v>948</v>
      </c>
      <c r="L99">
        <v>270</v>
      </c>
      <c r="M99">
        <v>177</v>
      </c>
      <c r="O99" s="2">
        <f t="shared" si="0"/>
        <v>0.1174934725848564</v>
      </c>
      <c r="P99" s="2">
        <f t="shared" si="1"/>
        <v>8.4165477888730383E-2</v>
      </c>
    </row>
    <row r="100" spans="2:16" x14ac:dyDescent="0.3">
      <c r="B100" t="s">
        <v>129</v>
      </c>
      <c r="H100" t="s">
        <v>188</v>
      </c>
      <c r="I100" t="s">
        <v>190</v>
      </c>
      <c r="J100" t="s">
        <v>192</v>
      </c>
      <c r="K100" t="s">
        <v>949</v>
      </c>
      <c r="L100">
        <v>249</v>
      </c>
      <c r="M100">
        <v>173</v>
      </c>
      <c r="O100" s="2">
        <f t="shared" si="0"/>
        <v>0.10835509138381201</v>
      </c>
      <c r="P100" s="2">
        <f t="shared" si="1"/>
        <v>8.2263433190679983E-2</v>
      </c>
    </row>
    <row r="101" spans="2:16" x14ac:dyDescent="0.3">
      <c r="B101" t="s">
        <v>22</v>
      </c>
      <c r="C101" t="s">
        <v>130</v>
      </c>
      <c r="D101" t="s">
        <v>131</v>
      </c>
      <c r="E101" t="s">
        <v>132</v>
      </c>
      <c r="F101" t="s">
        <v>133</v>
      </c>
      <c r="H101" t="s">
        <v>203</v>
      </c>
      <c r="I101" t="s">
        <v>205</v>
      </c>
      <c r="J101" t="s">
        <v>207</v>
      </c>
      <c r="K101" t="s">
        <v>950</v>
      </c>
      <c r="L101">
        <v>138</v>
      </c>
      <c r="M101">
        <v>109</v>
      </c>
      <c r="O101" s="2">
        <f t="shared" si="0"/>
        <v>6.0052219321148827E-2</v>
      </c>
      <c r="P101" s="2">
        <f t="shared" si="1"/>
        <v>5.1830718021873515E-2</v>
      </c>
    </row>
    <row r="102" spans="2:16" x14ac:dyDescent="0.3">
      <c r="B102" t="s">
        <v>27</v>
      </c>
      <c r="C102" t="s">
        <v>134</v>
      </c>
      <c r="D102" t="s">
        <v>135</v>
      </c>
      <c r="E102" t="s">
        <v>136</v>
      </c>
      <c r="F102" t="s">
        <v>137</v>
      </c>
    </row>
    <row r="103" spans="2:16" x14ac:dyDescent="0.3">
      <c r="B103" t="s">
        <v>32</v>
      </c>
      <c r="C103" t="s">
        <v>138</v>
      </c>
      <c r="D103" t="s">
        <v>139</v>
      </c>
      <c r="E103" t="s">
        <v>140</v>
      </c>
      <c r="F103" t="s">
        <v>141</v>
      </c>
      <c r="H103" t="s">
        <v>225</v>
      </c>
    </row>
    <row r="104" spans="2:16" x14ac:dyDescent="0.3">
      <c r="B104" t="s">
        <v>36</v>
      </c>
      <c r="C104" t="s">
        <v>142</v>
      </c>
      <c r="D104" t="s">
        <v>43</v>
      </c>
      <c r="E104" t="s">
        <v>143</v>
      </c>
      <c r="F104" t="s">
        <v>26</v>
      </c>
    </row>
    <row r="105" spans="2:16" x14ac:dyDescent="0.3">
      <c r="B105" t="s">
        <v>40</v>
      </c>
      <c r="C105" t="s">
        <v>39</v>
      </c>
      <c r="D105" t="s">
        <v>39</v>
      </c>
      <c r="E105" t="s">
        <v>39</v>
      </c>
      <c r="F105" t="s">
        <v>39</v>
      </c>
      <c r="I105" t="s">
        <v>17</v>
      </c>
      <c r="J105" t="s">
        <v>17</v>
      </c>
    </row>
    <row r="106" spans="2:16" x14ac:dyDescent="0.3">
      <c r="B106" t="s">
        <v>144</v>
      </c>
      <c r="I106" t="s">
        <v>73</v>
      </c>
      <c r="J106" t="s">
        <v>75</v>
      </c>
    </row>
    <row r="107" spans="2:16" x14ac:dyDescent="0.3">
      <c r="B107" t="s">
        <v>22</v>
      </c>
      <c r="C107" t="s">
        <v>145</v>
      </c>
      <c r="D107" t="s">
        <v>146</v>
      </c>
      <c r="E107" t="s">
        <v>147</v>
      </c>
      <c r="F107" t="s">
        <v>148</v>
      </c>
      <c r="H107" t="s">
        <v>226</v>
      </c>
      <c r="I107" t="s">
        <v>228</v>
      </c>
      <c r="J107" t="s">
        <v>107</v>
      </c>
      <c r="K107" t="s">
        <v>226</v>
      </c>
      <c r="L107">
        <v>7</v>
      </c>
      <c r="M107">
        <v>4</v>
      </c>
      <c r="O107" s="2">
        <f>L107/1792</f>
        <v>3.90625E-3</v>
      </c>
      <c r="P107" s="2">
        <f>M107/1646</f>
        <v>2.4301336573511541E-3</v>
      </c>
    </row>
    <row r="108" spans="2:16" x14ac:dyDescent="0.3">
      <c r="B108" t="s">
        <v>27</v>
      </c>
      <c r="C108" t="s">
        <v>149</v>
      </c>
      <c r="D108" t="s">
        <v>150</v>
      </c>
      <c r="E108" t="s">
        <v>151</v>
      </c>
      <c r="F108" t="s">
        <v>152</v>
      </c>
      <c r="H108" t="s">
        <v>129</v>
      </c>
      <c r="I108" t="s">
        <v>234</v>
      </c>
      <c r="J108" t="s">
        <v>236</v>
      </c>
      <c r="K108" t="s">
        <v>946</v>
      </c>
      <c r="L108">
        <v>405</v>
      </c>
      <c r="M108">
        <v>277</v>
      </c>
      <c r="O108" s="2">
        <f t="shared" ref="O108:O114" si="2">L108/1792</f>
        <v>0.22600446428571427</v>
      </c>
      <c r="P108" s="2">
        <f t="shared" ref="P108:P114" si="3">M108/1646</f>
        <v>0.16828675577156743</v>
      </c>
    </row>
    <row r="109" spans="2:16" x14ac:dyDescent="0.3">
      <c r="B109" t="s">
        <v>32</v>
      </c>
      <c r="C109" t="s">
        <v>59</v>
      </c>
      <c r="D109" t="s">
        <v>153</v>
      </c>
      <c r="E109" t="s">
        <v>154</v>
      </c>
      <c r="F109" t="s">
        <v>155</v>
      </c>
      <c r="H109" t="s">
        <v>144</v>
      </c>
      <c r="I109" t="s">
        <v>247</v>
      </c>
      <c r="J109" t="s">
        <v>249</v>
      </c>
      <c r="K109" t="s">
        <v>940</v>
      </c>
      <c r="L109">
        <v>325</v>
      </c>
      <c r="M109">
        <v>229</v>
      </c>
      <c r="O109" s="2">
        <f t="shared" si="2"/>
        <v>0.18136160714285715</v>
      </c>
      <c r="P109" s="2">
        <f t="shared" si="3"/>
        <v>0.13912515188335359</v>
      </c>
    </row>
    <row r="110" spans="2:16" x14ac:dyDescent="0.3">
      <c r="B110" t="s">
        <v>36</v>
      </c>
      <c r="C110" t="s">
        <v>156</v>
      </c>
      <c r="D110" t="s">
        <v>157</v>
      </c>
      <c r="E110" t="s">
        <v>158</v>
      </c>
      <c r="F110" t="s">
        <v>123</v>
      </c>
      <c r="H110" t="s">
        <v>159</v>
      </c>
      <c r="I110" t="s">
        <v>260</v>
      </c>
      <c r="J110" t="s">
        <v>245</v>
      </c>
      <c r="K110" t="s">
        <v>944</v>
      </c>
      <c r="L110">
        <v>57</v>
      </c>
      <c r="M110">
        <v>46</v>
      </c>
      <c r="O110" s="2">
        <f t="shared" si="2"/>
        <v>3.1808035714285712E-2</v>
      </c>
      <c r="P110" s="2">
        <f t="shared" si="3"/>
        <v>2.7946537059538274E-2</v>
      </c>
    </row>
    <row r="111" spans="2:16" x14ac:dyDescent="0.3">
      <c r="B111" t="s">
        <v>40</v>
      </c>
      <c r="C111" t="s">
        <v>39</v>
      </c>
      <c r="D111" t="s">
        <v>39</v>
      </c>
      <c r="E111" t="s">
        <v>39</v>
      </c>
      <c r="F111" t="s">
        <v>39</v>
      </c>
      <c r="H111" t="s">
        <v>171</v>
      </c>
      <c r="I111" t="s">
        <v>258</v>
      </c>
      <c r="J111" t="s">
        <v>84</v>
      </c>
      <c r="K111" t="s">
        <v>947</v>
      </c>
      <c r="L111">
        <v>9</v>
      </c>
      <c r="M111">
        <v>5</v>
      </c>
      <c r="O111" s="2">
        <f t="shared" si="2"/>
        <v>5.0223214285714289E-3</v>
      </c>
      <c r="P111" s="2">
        <f t="shared" si="3"/>
        <v>3.0376670716889429E-3</v>
      </c>
    </row>
    <row r="112" spans="2:16" x14ac:dyDescent="0.3">
      <c r="B112" t="s">
        <v>159</v>
      </c>
      <c r="H112" t="s">
        <v>175</v>
      </c>
      <c r="I112" t="s">
        <v>271</v>
      </c>
      <c r="J112" t="s">
        <v>273</v>
      </c>
      <c r="K112" t="s">
        <v>948</v>
      </c>
      <c r="L112">
        <v>118</v>
      </c>
      <c r="M112">
        <v>99</v>
      </c>
      <c r="O112" s="2">
        <f t="shared" si="2"/>
        <v>6.5848214285714288E-2</v>
      </c>
      <c r="P112" s="2">
        <f t="shared" si="3"/>
        <v>6.0145808019441069E-2</v>
      </c>
    </row>
    <row r="113" spans="2:16" x14ac:dyDescent="0.3">
      <c r="B113" t="s">
        <v>22</v>
      </c>
      <c r="C113" t="s">
        <v>160</v>
      </c>
      <c r="D113" t="s">
        <v>161</v>
      </c>
      <c r="E113" t="s">
        <v>162</v>
      </c>
      <c r="F113" t="s">
        <v>163</v>
      </c>
      <c r="H113" t="s">
        <v>188</v>
      </c>
      <c r="I113" t="s">
        <v>280</v>
      </c>
      <c r="J113" t="s">
        <v>282</v>
      </c>
      <c r="K113" t="s">
        <v>949</v>
      </c>
      <c r="L113">
        <v>149</v>
      </c>
      <c r="M113">
        <v>87</v>
      </c>
      <c r="O113" s="2">
        <f t="shared" si="2"/>
        <v>8.3147321428571425E-2</v>
      </c>
      <c r="P113" s="2">
        <f t="shared" si="3"/>
        <v>5.2855407047387608E-2</v>
      </c>
    </row>
    <row r="114" spans="2:16" x14ac:dyDescent="0.3">
      <c r="B114" t="s">
        <v>27</v>
      </c>
      <c r="C114" t="s">
        <v>164</v>
      </c>
      <c r="D114" t="s">
        <v>165</v>
      </c>
      <c r="E114" t="s">
        <v>166</v>
      </c>
      <c r="F114" t="s">
        <v>167</v>
      </c>
      <c r="H114" t="s">
        <v>203</v>
      </c>
      <c r="I114" t="s">
        <v>292</v>
      </c>
      <c r="J114" t="s">
        <v>294</v>
      </c>
      <c r="K114" t="s">
        <v>950</v>
      </c>
      <c r="L114">
        <v>109</v>
      </c>
      <c r="M114">
        <v>61</v>
      </c>
      <c r="O114" s="2">
        <f t="shared" si="2"/>
        <v>6.0825892857142856E-2</v>
      </c>
      <c r="P114" s="2">
        <f t="shared" si="3"/>
        <v>3.7059538274605106E-2</v>
      </c>
    </row>
    <row r="115" spans="2:16" x14ac:dyDescent="0.3">
      <c r="B115" t="s">
        <v>32</v>
      </c>
      <c r="C115" t="s">
        <v>168</v>
      </c>
      <c r="D115" t="s">
        <v>142</v>
      </c>
      <c r="E115" t="s">
        <v>169</v>
      </c>
      <c r="F115" t="s">
        <v>26</v>
      </c>
    </row>
    <row r="116" spans="2:16" x14ac:dyDescent="0.3">
      <c r="B116" t="s">
        <v>36</v>
      </c>
      <c r="C116" t="s">
        <v>170</v>
      </c>
      <c r="D116" t="s">
        <v>51</v>
      </c>
      <c r="E116" t="s">
        <v>50</v>
      </c>
      <c r="F116" t="s">
        <v>39</v>
      </c>
    </row>
    <row r="117" spans="2:16" x14ac:dyDescent="0.3">
      <c r="B117" t="s">
        <v>40</v>
      </c>
      <c r="C117" t="s">
        <v>39</v>
      </c>
      <c r="D117" t="s">
        <v>39</v>
      </c>
      <c r="E117" t="s">
        <v>39</v>
      </c>
      <c r="F117" t="s">
        <v>39</v>
      </c>
    </row>
    <row r="118" spans="2:16" x14ac:dyDescent="0.3">
      <c r="B118" t="s">
        <v>171</v>
      </c>
    </row>
    <row r="119" spans="2:16" x14ac:dyDescent="0.3">
      <c r="B119" t="s">
        <v>22</v>
      </c>
      <c r="C119" t="s">
        <v>33</v>
      </c>
      <c r="D119" t="s">
        <v>33</v>
      </c>
      <c r="E119" t="s">
        <v>35</v>
      </c>
      <c r="F119" t="s">
        <v>67</v>
      </c>
    </row>
    <row r="120" spans="2:16" x14ac:dyDescent="0.3">
      <c r="B120" t="s">
        <v>27</v>
      </c>
      <c r="C120" t="s">
        <v>66</v>
      </c>
      <c r="D120" t="s">
        <v>172</v>
      </c>
      <c r="E120" t="s">
        <v>173</v>
      </c>
      <c r="F120" t="s">
        <v>174</v>
      </c>
    </row>
    <row r="121" spans="2:16" x14ac:dyDescent="0.3">
      <c r="B121" t="s">
        <v>32</v>
      </c>
      <c r="C121" t="s">
        <v>107</v>
      </c>
      <c r="D121" t="s">
        <v>45</v>
      </c>
      <c r="E121" t="s">
        <v>31</v>
      </c>
      <c r="F121" t="s">
        <v>170</v>
      </c>
    </row>
    <row r="122" spans="2:16" x14ac:dyDescent="0.3">
      <c r="B122" t="s">
        <v>36</v>
      </c>
      <c r="C122" t="s">
        <v>39</v>
      </c>
      <c r="D122" t="s">
        <v>128</v>
      </c>
      <c r="E122" t="s">
        <v>107</v>
      </c>
      <c r="F122" t="s">
        <v>39</v>
      </c>
    </row>
    <row r="123" spans="2:16" x14ac:dyDescent="0.3">
      <c r="B123" t="s">
        <v>40</v>
      </c>
      <c r="C123" t="s">
        <v>39</v>
      </c>
      <c r="D123" t="s">
        <v>39</v>
      </c>
      <c r="E123" t="s">
        <v>39</v>
      </c>
      <c r="F123" t="s">
        <v>39</v>
      </c>
    </row>
    <row r="124" spans="2:16" x14ac:dyDescent="0.3">
      <c r="B124" t="s">
        <v>175</v>
      </c>
    </row>
    <row r="125" spans="2:16" x14ac:dyDescent="0.3">
      <c r="B125" t="s">
        <v>22</v>
      </c>
      <c r="C125" t="s">
        <v>176</v>
      </c>
      <c r="D125" t="s">
        <v>177</v>
      </c>
      <c r="E125" t="s">
        <v>178</v>
      </c>
      <c r="F125" t="s">
        <v>179</v>
      </c>
    </row>
    <row r="126" spans="2:16" x14ac:dyDescent="0.3">
      <c r="B126" t="s">
        <v>27</v>
      </c>
      <c r="C126" t="s">
        <v>180</v>
      </c>
      <c r="D126" t="s">
        <v>181</v>
      </c>
      <c r="E126" t="s">
        <v>182</v>
      </c>
      <c r="F126" t="s">
        <v>183</v>
      </c>
    </row>
    <row r="127" spans="2:16" x14ac:dyDescent="0.3">
      <c r="B127" t="s">
        <v>32</v>
      </c>
      <c r="C127" t="s">
        <v>184</v>
      </c>
      <c r="D127" t="s">
        <v>185</v>
      </c>
      <c r="E127" t="s">
        <v>186</v>
      </c>
      <c r="F127" t="s">
        <v>187</v>
      </c>
    </row>
    <row r="128" spans="2:16" x14ac:dyDescent="0.3">
      <c r="B128" t="s">
        <v>36</v>
      </c>
      <c r="C128" t="s">
        <v>47</v>
      </c>
      <c r="D128" t="s">
        <v>128</v>
      </c>
      <c r="E128" t="s">
        <v>107</v>
      </c>
      <c r="F128" t="s">
        <v>128</v>
      </c>
    </row>
    <row r="129" spans="2:6" x14ac:dyDescent="0.3">
      <c r="B129" t="s">
        <v>40</v>
      </c>
      <c r="C129" t="s">
        <v>39</v>
      </c>
      <c r="D129" t="s">
        <v>39</v>
      </c>
      <c r="E129" t="s">
        <v>39</v>
      </c>
      <c r="F129" t="s">
        <v>39</v>
      </c>
    </row>
    <row r="130" spans="2:6" x14ac:dyDescent="0.3">
      <c r="B130" t="s">
        <v>188</v>
      </c>
    </row>
    <row r="131" spans="2:6" x14ac:dyDescent="0.3">
      <c r="B131" t="s">
        <v>22</v>
      </c>
      <c r="C131" t="s">
        <v>189</v>
      </c>
      <c r="D131" t="s">
        <v>190</v>
      </c>
      <c r="E131" t="s">
        <v>191</v>
      </c>
      <c r="F131" t="s">
        <v>192</v>
      </c>
    </row>
    <row r="132" spans="2:6" x14ac:dyDescent="0.3">
      <c r="B132" t="s">
        <v>27</v>
      </c>
      <c r="C132" t="s">
        <v>193</v>
      </c>
      <c r="D132" t="s">
        <v>194</v>
      </c>
      <c r="E132" t="s">
        <v>195</v>
      </c>
      <c r="F132" t="s">
        <v>196</v>
      </c>
    </row>
    <row r="133" spans="2:6" x14ac:dyDescent="0.3">
      <c r="B133" t="s">
        <v>32</v>
      </c>
      <c r="C133" t="s">
        <v>197</v>
      </c>
      <c r="D133" t="s">
        <v>198</v>
      </c>
      <c r="E133" t="s">
        <v>199</v>
      </c>
      <c r="F133" t="s">
        <v>200</v>
      </c>
    </row>
    <row r="134" spans="2:6" x14ac:dyDescent="0.3">
      <c r="B134" t="s">
        <v>36</v>
      </c>
      <c r="C134" t="s">
        <v>201</v>
      </c>
      <c r="D134" t="s">
        <v>51</v>
      </c>
      <c r="E134" t="s">
        <v>202</v>
      </c>
      <c r="F134" t="s">
        <v>47</v>
      </c>
    </row>
    <row r="135" spans="2:6" x14ac:dyDescent="0.3">
      <c r="B135" t="s">
        <v>40</v>
      </c>
      <c r="C135" t="s">
        <v>39</v>
      </c>
      <c r="D135" t="s">
        <v>39</v>
      </c>
      <c r="E135" t="s">
        <v>39</v>
      </c>
      <c r="F135" t="s">
        <v>39</v>
      </c>
    </row>
    <row r="136" spans="2:6" x14ac:dyDescent="0.3">
      <c r="B136" t="s">
        <v>203</v>
      </c>
    </row>
    <row r="137" spans="2:6" x14ac:dyDescent="0.3">
      <c r="B137" t="s">
        <v>22</v>
      </c>
      <c r="C137" t="s">
        <v>204</v>
      </c>
      <c r="D137" t="s">
        <v>205</v>
      </c>
      <c r="E137" t="s">
        <v>206</v>
      </c>
      <c r="F137" t="s">
        <v>207</v>
      </c>
    </row>
    <row r="138" spans="2:6" x14ac:dyDescent="0.3">
      <c r="B138" t="s">
        <v>27</v>
      </c>
      <c r="C138" t="s">
        <v>208</v>
      </c>
      <c r="D138" t="s">
        <v>209</v>
      </c>
      <c r="E138" t="s">
        <v>210</v>
      </c>
      <c r="F138" t="s">
        <v>211</v>
      </c>
    </row>
    <row r="139" spans="2:6" x14ac:dyDescent="0.3">
      <c r="B139" t="s">
        <v>32</v>
      </c>
      <c r="C139" t="s">
        <v>212</v>
      </c>
      <c r="D139" t="s">
        <v>213</v>
      </c>
      <c r="E139" t="s">
        <v>214</v>
      </c>
      <c r="F139" t="s">
        <v>215</v>
      </c>
    </row>
    <row r="140" spans="2:6" x14ac:dyDescent="0.3">
      <c r="B140" t="s">
        <v>36</v>
      </c>
      <c r="C140" t="s">
        <v>45</v>
      </c>
      <c r="D140" t="s">
        <v>39</v>
      </c>
      <c r="E140" t="s">
        <v>65</v>
      </c>
      <c r="F140" t="s">
        <v>107</v>
      </c>
    </row>
    <row r="141" spans="2:6" x14ac:dyDescent="0.3">
      <c r="B141" t="s">
        <v>40</v>
      </c>
      <c r="C141" t="s">
        <v>39</v>
      </c>
      <c r="D141" t="s">
        <v>39</v>
      </c>
      <c r="E141" t="s">
        <v>39</v>
      </c>
      <c r="F141" t="s">
        <v>39</v>
      </c>
    </row>
    <row r="142" spans="2:6" x14ac:dyDescent="0.3">
      <c r="B142" t="s">
        <v>216</v>
      </c>
      <c r="C142" t="s">
        <v>217</v>
      </c>
      <c r="D142" t="s">
        <v>218</v>
      </c>
      <c r="E142" t="s">
        <v>219</v>
      </c>
      <c r="F142" t="s">
        <v>220</v>
      </c>
    </row>
    <row r="143" spans="2:6" x14ac:dyDescent="0.3">
      <c r="B143" t="s">
        <v>221</v>
      </c>
    </row>
    <row r="145" spans="2:6" x14ac:dyDescent="0.3">
      <c r="B145" t="s">
        <v>222</v>
      </c>
    </row>
    <row r="147" spans="2:6" x14ac:dyDescent="0.3">
      <c r="B147" t="s">
        <v>223</v>
      </c>
    </row>
    <row r="149" spans="2:6" x14ac:dyDescent="0.3">
      <c r="B149" t="s">
        <v>224</v>
      </c>
    </row>
    <row r="151" spans="2:6" x14ac:dyDescent="0.3">
      <c r="B151" t="s">
        <v>225</v>
      </c>
    </row>
    <row r="152" spans="2:6" x14ac:dyDescent="0.3">
      <c r="C152" t="s">
        <v>13</v>
      </c>
      <c r="E152" t="s">
        <v>14</v>
      </c>
    </row>
    <row r="153" spans="2:6" x14ac:dyDescent="0.3">
      <c r="C153" t="s">
        <v>15</v>
      </c>
      <c r="D153" t="s">
        <v>17</v>
      </c>
      <c r="E153" t="s">
        <v>15</v>
      </c>
      <c r="F153" t="s">
        <v>17</v>
      </c>
    </row>
    <row r="154" spans="2:6" x14ac:dyDescent="0.3">
      <c r="C154" t="s">
        <v>72</v>
      </c>
      <c r="D154" t="s">
        <v>73</v>
      </c>
      <c r="E154" t="s">
        <v>74</v>
      </c>
      <c r="F154" t="s">
        <v>75</v>
      </c>
    </row>
    <row r="155" spans="2:6" x14ac:dyDescent="0.3">
      <c r="B155" t="s">
        <v>226</v>
      </c>
    </row>
    <row r="156" spans="2:6" x14ac:dyDescent="0.3">
      <c r="B156" t="s">
        <v>114</v>
      </c>
      <c r="C156" t="s">
        <v>227</v>
      </c>
      <c r="D156" t="s">
        <v>228</v>
      </c>
      <c r="E156" t="s">
        <v>229</v>
      </c>
      <c r="F156" t="s">
        <v>107</v>
      </c>
    </row>
    <row r="157" spans="2:6" x14ac:dyDescent="0.3">
      <c r="B157" t="s">
        <v>118</v>
      </c>
      <c r="C157" t="s">
        <v>230</v>
      </c>
      <c r="D157" t="s">
        <v>51</v>
      </c>
      <c r="E157" t="s">
        <v>231</v>
      </c>
      <c r="F157" t="s">
        <v>51</v>
      </c>
    </row>
    <row r="158" spans="2:6" x14ac:dyDescent="0.3">
      <c r="B158" t="s">
        <v>122</v>
      </c>
      <c r="C158" t="s">
        <v>87</v>
      </c>
      <c r="D158" t="s">
        <v>86</v>
      </c>
      <c r="E158" t="s">
        <v>232</v>
      </c>
      <c r="F158" t="s">
        <v>87</v>
      </c>
    </row>
    <row r="159" spans="2:6" x14ac:dyDescent="0.3">
      <c r="B159" t="s">
        <v>125</v>
      </c>
      <c r="C159" t="s">
        <v>87</v>
      </c>
      <c r="D159" t="s">
        <v>51</v>
      </c>
      <c r="E159" t="s">
        <v>84</v>
      </c>
      <c r="F159" t="s">
        <v>87</v>
      </c>
    </row>
    <row r="160" spans="2:6" x14ac:dyDescent="0.3">
      <c r="B160" t="s">
        <v>127</v>
      </c>
      <c r="C160" t="s">
        <v>87</v>
      </c>
      <c r="D160" t="s">
        <v>39</v>
      </c>
      <c r="E160" t="s">
        <v>39</v>
      </c>
      <c r="F160" t="s">
        <v>39</v>
      </c>
    </row>
    <row r="161" spans="2:6" x14ac:dyDescent="0.3">
      <c r="B161" t="s">
        <v>129</v>
      </c>
    </row>
    <row r="162" spans="2:6" x14ac:dyDescent="0.3">
      <c r="B162" t="s">
        <v>22</v>
      </c>
      <c r="C162" t="s">
        <v>233</v>
      </c>
      <c r="D162" t="s">
        <v>234</v>
      </c>
      <c r="E162" t="s">
        <v>235</v>
      </c>
      <c r="F162" t="s">
        <v>236</v>
      </c>
    </row>
    <row r="163" spans="2:6" x14ac:dyDescent="0.3">
      <c r="B163" t="s">
        <v>27</v>
      </c>
      <c r="C163" t="s">
        <v>237</v>
      </c>
      <c r="D163" t="s">
        <v>238</v>
      </c>
      <c r="E163" t="s">
        <v>239</v>
      </c>
      <c r="F163" t="s">
        <v>240</v>
      </c>
    </row>
    <row r="164" spans="2:6" x14ac:dyDescent="0.3">
      <c r="B164" t="s">
        <v>32</v>
      </c>
      <c r="C164" t="s">
        <v>241</v>
      </c>
      <c r="D164" t="s">
        <v>242</v>
      </c>
      <c r="E164" t="s">
        <v>243</v>
      </c>
      <c r="F164" t="s">
        <v>244</v>
      </c>
    </row>
    <row r="165" spans="2:6" x14ac:dyDescent="0.3">
      <c r="B165" t="s">
        <v>36</v>
      </c>
      <c r="C165" t="s">
        <v>51</v>
      </c>
      <c r="D165" t="s">
        <v>86</v>
      </c>
      <c r="E165" t="s">
        <v>245</v>
      </c>
      <c r="F165" t="s">
        <v>51</v>
      </c>
    </row>
    <row r="166" spans="2:6" x14ac:dyDescent="0.3">
      <c r="B166" t="s">
        <v>40</v>
      </c>
      <c r="C166" t="s">
        <v>39</v>
      </c>
      <c r="D166" t="s">
        <v>39</v>
      </c>
      <c r="E166" t="s">
        <v>39</v>
      </c>
      <c r="F166" t="s">
        <v>39</v>
      </c>
    </row>
    <row r="167" spans="2:6" x14ac:dyDescent="0.3">
      <c r="B167" t="s">
        <v>144</v>
      </c>
    </row>
    <row r="168" spans="2:6" x14ac:dyDescent="0.3">
      <c r="B168" t="s">
        <v>22</v>
      </c>
      <c r="C168" t="s">
        <v>246</v>
      </c>
      <c r="D168" t="s">
        <v>247</v>
      </c>
      <c r="E168" t="s">
        <v>248</v>
      </c>
      <c r="F168" t="s">
        <v>249</v>
      </c>
    </row>
    <row r="169" spans="2:6" x14ac:dyDescent="0.3">
      <c r="B169" t="s">
        <v>27</v>
      </c>
      <c r="C169" t="s">
        <v>250</v>
      </c>
      <c r="D169" t="s">
        <v>251</v>
      </c>
      <c r="E169" t="s">
        <v>252</v>
      </c>
      <c r="F169" t="s">
        <v>253</v>
      </c>
    </row>
    <row r="170" spans="2:6" x14ac:dyDescent="0.3">
      <c r="B170" t="s">
        <v>32</v>
      </c>
      <c r="C170" t="s">
        <v>254</v>
      </c>
      <c r="D170" t="s">
        <v>255</v>
      </c>
      <c r="E170" t="s">
        <v>256</v>
      </c>
      <c r="F170" t="s">
        <v>257</v>
      </c>
    </row>
    <row r="171" spans="2:6" x14ac:dyDescent="0.3">
      <c r="B171" t="s">
        <v>36</v>
      </c>
      <c r="C171" t="s">
        <v>51</v>
      </c>
      <c r="D171" t="s">
        <v>86</v>
      </c>
      <c r="E171" t="s">
        <v>258</v>
      </c>
      <c r="F171" t="s">
        <v>107</v>
      </c>
    </row>
    <row r="172" spans="2:6" x14ac:dyDescent="0.3">
      <c r="B172" t="s">
        <v>40</v>
      </c>
      <c r="C172" t="s">
        <v>39</v>
      </c>
      <c r="D172" t="s">
        <v>39</v>
      </c>
      <c r="E172" t="s">
        <v>39</v>
      </c>
      <c r="F172" t="s">
        <v>39</v>
      </c>
    </row>
    <row r="173" spans="2:6" x14ac:dyDescent="0.3">
      <c r="B173" t="s">
        <v>159</v>
      </c>
    </row>
    <row r="174" spans="2:6" x14ac:dyDescent="0.3">
      <c r="B174" t="s">
        <v>22</v>
      </c>
      <c r="C174" t="s">
        <v>259</v>
      </c>
      <c r="D174" t="s">
        <v>260</v>
      </c>
      <c r="E174" t="s">
        <v>261</v>
      </c>
      <c r="F174" t="s">
        <v>245</v>
      </c>
    </row>
    <row r="175" spans="2:6" x14ac:dyDescent="0.3">
      <c r="B175" t="s">
        <v>27</v>
      </c>
      <c r="C175" t="s">
        <v>262</v>
      </c>
      <c r="D175" t="s">
        <v>263</v>
      </c>
      <c r="E175" t="s">
        <v>264</v>
      </c>
      <c r="F175" t="s">
        <v>265</v>
      </c>
    </row>
    <row r="176" spans="2:6" x14ac:dyDescent="0.3">
      <c r="B176" t="s">
        <v>32</v>
      </c>
      <c r="C176" t="s">
        <v>227</v>
      </c>
      <c r="D176" t="s">
        <v>266</v>
      </c>
      <c r="E176" t="s">
        <v>267</v>
      </c>
      <c r="F176" t="s">
        <v>92</v>
      </c>
    </row>
    <row r="177" spans="2:6" x14ac:dyDescent="0.3">
      <c r="B177" t="s">
        <v>36</v>
      </c>
      <c r="C177" t="s">
        <v>268</v>
      </c>
      <c r="D177" t="s">
        <v>87</v>
      </c>
      <c r="E177" t="s">
        <v>269</v>
      </c>
      <c r="F177" t="s">
        <v>39</v>
      </c>
    </row>
    <row r="178" spans="2:6" x14ac:dyDescent="0.3">
      <c r="B178" t="s">
        <v>40</v>
      </c>
      <c r="C178" t="s">
        <v>39</v>
      </c>
      <c r="D178" t="s">
        <v>39</v>
      </c>
      <c r="E178" t="s">
        <v>39</v>
      </c>
      <c r="F178" t="s">
        <v>39</v>
      </c>
    </row>
    <row r="179" spans="2:6" x14ac:dyDescent="0.3">
      <c r="B179" t="s">
        <v>171</v>
      </c>
    </row>
    <row r="180" spans="2:6" x14ac:dyDescent="0.3">
      <c r="B180" t="s">
        <v>22</v>
      </c>
      <c r="C180" t="s">
        <v>258</v>
      </c>
      <c r="D180" t="s">
        <v>258</v>
      </c>
      <c r="E180" t="s">
        <v>92</v>
      </c>
      <c r="F180" t="s">
        <v>84</v>
      </c>
    </row>
    <row r="181" spans="2:6" x14ac:dyDescent="0.3">
      <c r="B181" t="s">
        <v>27</v>
      </c>
      <c r="C181" t="s">
        <v>31</v>
      </c>
      <c r="D181" t="s">
        <v>258</v>
      </c>
      <c r="E181" t="s">
        <v>258</v>
      </c>
      <c r="F181" t="s">
        <v>84</v>
      </c>
    </row>
    <row r="182" spans="2:6" x14ac:dyDescent="0.3">
      <c r="B182" t="s">
        <v>32</v>
      </c>
      <c r="C182" t="s">
        <v>87</v>
      </c>
      <c r="D182" t="s">
        <v>39</v>
      </c>
      <c r="E182" t="s">
        <v>87</v>
      </c>
      <c r="F182" t="s">
        <v>39</v>
      </c>
    </row>
    <row r="183" spans="2:6" x14ac:dyDescent="0.3">
      <c r="B183" t="s">
        <v>36</v>
      </c>
      <c r="C183" t="s">
        <v>86</v>
      </c>
      <c r="D183" t="s">
        <v>39</v>
      </c>
      <c r="E183" t="s">
        <v>87</v>
      </c>
      <c r="F183" t="s">
        <v>39</v>
      </c>
    </row>
    <row r="184" spans="2:6" x14ac:dyDescent="0.3">
      <c r="B184" t="s">
        <v>40</v>
      </c>
      <c r="C184" t="s">
        <v>39</v>
      </c>
      <c r="D184" t="s">
        <v>39</v>
      </c>
      <c r="E184" t="s">
        <v>39</v>
      </c>
      <c r="F184" t="s">
        <v>39</v>
      </c>
    </row>
    <row r="185" spans="2:6" x14ac:dyDescent="0.3">
      <c r="B185" t="s">
        <v>175</v>
      </c>
    </row>
    <row r="186" spans="2:6" x14ac:dyDescent="0.3">
      <c r="B186" t="s">
        <v>22</v>
      </c>
      <c r="C186" t="s">
        <v>270</v>
      </c>
      <c r="D186" t="s">
        <v>271</v>
      </c>
      <c r="E186" t="s">
        <v>272</v>
      </c>
      <c r="F186" t="s">
        <v>273</v>
      </c>
    </row>
    <row r="187" spans="2:6" x14ac:dyDescent="0.3">
      <c r="B187" t="s">
        <v>27</v>
      </c>
      <c r="C187" t="s">
        <v>89</v>
      </c>
      <c r="D187" t="s">
        <v>274</v>
      </c>
      <c r="E187" t="s">
        <v>244</v>
      </c>
      <c r="F187" t="s">
        <v>275</v>
      </c>
    </row>
    <row r="188" spans="2:6" x14ac:dyDescent="0.3">
      <c r="B188" t="s">
        <v>32</v>
      </c>
      <c r="C188" t="s">
        <v>227</v>
      </c>
      <c r="D188" t="s">
        <v>276</v>
      </c>
      <c r="E188" t="s">
        <v>277</v>
      </c>
      <c r="F188" t="s">
        <v>278</v>
      </c>
    </row>
    <row r="189" spans="2:6" x14ac:dyDescent="0.3">
      <c r="B189" t="s">
        <v>36</v>
      </c>
      <c r="C189" t="s">
        <v>86</v>
      </c>
      <c r="D189" t="s">
        <v>87</v>
      </c>
      <c r="E189" t="s">
        <v>51</v>
      </c>
      <c r="F189" t="s">
        <v>107</v>
      </c>
    </row>
    <row r="190" spans="2:6" x14ac:dyDescent="0.3">
      <c r="B190" t="s">
        <v>40</v>
      </c>
      <c r="C190" t="s">
        <v>39</v>
      </c>
      <c r="D190" t="s">
        <v>39</v>
      </c>
      <c r="E190" t="s">
        <v>39</v>
      </c>
      <c r="F190" t="s">
        <v>39</v>
      </c>
    </row>
    <row r="191" spans="2:6" x14ac:dyDescent="0.3">
      <c r="B191" t="s">
        <v>188</v>
      </c>
    </row>
    <row r="192" spans="2:6" x14ac:dyDescent="0.3">
      <c r="B192" t="s">
        <v>22</v>
      </c>
      <c r="C192" t="s">
        <v>279</v>
      </c>
      <c r="D192" t="s">
        <v>280</v>
      </c>
      <c r="E192" t="s">
        <v>281</v>
      </c>
      <c r="F192" t="s">
        <v>282</v>
      </c>
    </row>
    <row r="193" spans="2:6" x14ac:dyDescent="0.3">
      <c r="B193" t="s">
        <v>27</v>
      </c>
      <c r="C193" t="s">
        <v>283</v>
      </c>
      <c r="D193" t="s">
        <v>274</v>
      </c>
      <c r="E193" t="s">
        <v>284</v>
      </c>
      <c r="F193" t="s">
        <v>285</v>
      </c>
    </row>
    <row r="194" spans="2:6" x14ac:dyDescent="0.3">
      <c r="B194" t="s">
        <v>32</v>
      </c>
      <c r="C194" t="s">
        <v>286</v>
      </c>
      <c r="D194" t="s">
        <v>287</v>
      </c>
      <c r="E194" t="s">
        <v>288</v>
      </c>
      <c r="F194" t="s">
        <v>289</v>
      </c>
    </row>
    <row r="195" spans="2:6" x14ac:dyDescent="0.3">
      <c r="B195" t="s">
        <v>36</v>
      </c>
      <c r="C195" t="s">
        <v>87</v>
      </c>
      <c r="D195" t="s">
        <v>86</v>
      </c>
      <c r="E195" t="s">
        <v>290</v>
      </c>
      <c r="F195" t="s">
        <v>87</v>
      </c>
    </row>
    <row r="196" spans="2:6" x14ac:dyDescent="0.3">
      <c r="B196" t="s">
        <v>40</v>
      </c>
      <c r="C196" t="s">
        <v>39</v>
      </c>
      <c r="D196" t="s">
        <v>39</v>
      </c>
      <c r="E196" t="s">
        <v>39</v>
      </c>
      <c r="F196" t="s">
        <v>39</v>
      </c>
    </row>
    <row r="197" spans="2:6" x14ac:dyDescent="0.3">
      <c r="B197" t="s">
        <v>203</v>
      </c>
    </row>
    <row r="198" spans="2:6" x14ac:dyDescent="0.3">
      <c r="B198" t="s">
        <v>22</v>
      </c>
      <c r="C198" t="s">
        <v>291</v>
      </c>
      <c r="D198" t="s">
        <v>292</v>
      </c>
      <c r="E198" t="s">
        <v>293</v>
      </c>
      <c r="F198" t="s">
        <v>294</v>
      </c>
    </row>
    <row r="199" spans="2:6" x14ac:dyDescent="0.3">
      <c r="B199" t="s">
        <v>27</v>
      </c>
      <c r="C199" t="s">
        <v>295</v>
      </c>
      <c r="D199" t="s">
        <v>296</v>
      </c>
      <c r="E199" t="s">
        <v>267</v>
      </c>
      <c r="F199" t="s">
        <v>265</v>
      </c>
    </row>
    <row r="200" spans="2:6" x14ac:dyDescent="0.3">
      <c r="B200" t="s">
        <v>32</v>
      </c>
      <c r="C200" t="s">
        <v>297</v>
      </c>
      <c r="D200" t="s">
        <v>263</v>
      </c>
      <c r="E200" t="s">
        <v>298</v>
      </c>
      <c r="F200" t="s">
        <v>299</v>
      </c>
    </row>
    <row r="201" spans="2:6" x14ac:dyDescent="0.3">
      <c r="B201" t="s">
        <v>36</v>
      </c>
      <c r="C201" t="s">
        <v>51</v>
      </c>
      <c r="D201" t="s">
        <v>87</v>
      </c>
      <c r="E201" t="s">
        <v>228</v>
      </c>
      <c r="F201" t="s">
        <v>87</v>
      </c>
    </row>
    <row r="202" spans="2:6" x14ac:dyDescent="0.3">
      <c r="B202" t="s">
        <v>40</v>
      </c>
      <c r="C202" t="s">
        <v>39</v>
      </c>
      <c r="D202" t="s">
        <v>39</v>
      </c>
      <c r="E202" t="s">
        <v>39</v>
      </c>
      <c r="F202" t="s">
        <v>39</v>
      </c>
    </row>
    <row r="203" spans="2:6" x14ac:dyDescent="0.3">
      <c r="B203" t="s">
        <v>216</v>
      </c>
      <c r="C203" t="s">
        <v>300</v>
      </c>
      <c r="D203" t="s">
        <v>301</v>
      </c>
      <c r="E203" t="s">
        <v>302</v>
      </c>
      <c r="F203" t="s">
        <v>240</v>
      </c>
    </row>
    <row r="204" spans="2:6" x14ac:dyDescent="0.3">
      <c r="B204" t="s">
        <v>221</v>
      </c>
    </row>
    <row r="206" spans="2:6" x14ac:dyDescent="0.3">
      <c r="B206" t="s">
        <v>222</v>
      </c>
    </row>
    <row r="208" spans="2:6" x14ac:dyDescent="0.3">
      <c r="B208" t="s">
        <v>303</v>
      </c>
    </row>
    <row r="210" spans="2:2" x14ac:dyDescent="0.3">
      <c r="B210" t="s">
        <v>6</v>
      </c>
    </row>
    <row r="212" spans="2:2" x14ac:dyDescent="0.3">
      <c r="B212" t="s">
        <v>304</v>
      </c>
    </row>
    <row r="214" spans="2:2" x14ac:dyDescent="0.3">
      <c r="B214" t="s">
        <v>7</v>
      </c>
    </row>
    <row r="216" spans="2:2" x14ac:dyDescent="0.3">
      <c r="B216" t="s">
        <v>305</v>
      </c>
    </row>
    <row r="218" spans="2:2" x14ac:dyDescent="0.3">
      <c r="B218" t="s">
        <v>306</v>
      </c>
    </row>
    <row r="220" spans="2:2" x14ac:dyDescent="0.3">
      <c r="B220" t="s">
        <v>307</v>
      </c>
    </row>
    <row r="222" spans="2:2" x14ac:dyDescent="0.3">
      <c r="B222" t="s">
        <v>8</v>
      </c>
    </row>
    <row r="224" spans="2:2" x14ac:dyDescent="0.3">
      <c r="B224" t="s">
        <v>4</v>
      </c>
    </row>
    <row r="226" spans="2:6" x14ac:dyDescent="0.3">
      <c r="B226" t="s">
        <v>308</v>
      </c>
    </row>
    <row r="228" spans="2:6" x14ac:dyDescent="0.3">
      <c r="B228" t="s">
        <v>309</v>
      </c>
    </row>
    <row r="230" spans="2:6" x14ac:dyDescent="0.3">
      <c r="B230" t="s">
        <v>309</v>
      </c>
    </row>
    <row r="231" spans="2:6" x14ac:dyDescent="0.3">
      <c r="C231" t="s">
        <v>13</v>
      </c>
      <c r="E231" t="s">
        <v>14</v>
      </c>
    </row>
    <row r="232" spans="2:6" x14ac:dyDescent="0.3">
      <c r="C232" t="s">
        <v>310</v>
      </c>
      <c r="E232" t="s">
        <v>310</v>
      </c>
    </row>
    <row r="233" spans="2:6" x14ac:dyDescent="0.3">
      <c r="C233" t="s">
        <v>15</v>
      </c>
      <c r="D233" t="s">
        <v>17</v>
      </c>
      <c r="E233" t="s">
        <v>15</v>
      </c>
      <c r="F233" t="s">
        <v>17</v>
      </c>
    </row>
    <row r="234" spans="2:6" x14ac:dyDescent="0.3">
      <c r="C234" t="s">
        <v>311</v>
      </c>
      <c r="D234" t="s">
        <v>311</v>
      </c>
      <c r="E234" t="s">
        <v>312</v>
      </c>
      <c r="F234" t="s">
        <v>313</v>
      </c>
    </row>
    <row r="235" spans="2:6" x14ac:dyDescent="0.3">
      <c r="B235" t="s">
        <v>21</v>
      </c>
    </row>
    <row r="236" spans="2:6" x14ac:dyDescent="0.3">
      <c r="B236" t="s">
        <v>22</v>
      </c>
      <c r="C236" t="s">
        <v>314</v>
      </c>
      <c r="D236" t="s">
        <v>315</v>
      </c>
      <c r="E236" t="s">
        <v>316</v>
      </c>
      <c r="F236" t="s">
        <v>317</v>
      </c>
    </row>
    <row r="237" spans="2:6" x14ac:dyDescent="0.3">
      <c r="B237" t="s">
        <v>27</v>
      </c>
      <c r="C237" t="s">
        <v>318</v>
      </c>
      <c r="D237" t="s">
        <v>319</v>
      </c>
      <c r="E237" t="s">
        <v>320</v>
      </c>
      <c r="F237" t="s">
        <v>321</v>
      </c>
    </row>
    <row r="238" spans="2:6" x14ac:dyDescent="0.3">
      <c r="B238" t="s">
        <v>32</v>
      </c>
      <c r="C238" t="s">
        <v>322</v>
      </c>
      <c r="D238" t="s">
        <v>87</v>
      </c>
      <c r="E238" t="s">
        <v>323</v>
      </c>
      <c r="F238" t="s">
        <v>324</v>
      </c>
    </row>
    <row r="239" spans="2:6" x14ac:dyDescent="0.3">
      <c r="B239" t="s">
        <v>36</v>
      </c>
      <c r="C239" t="s">
        <v>87</v>
      </c>
      <c r="D239">
        <v>0</v>
      </c>
      <c r="E239">
        <v>0</v>
      </c>
      <c r="F239">
        <v>0</v>
      </c>
    </row>
    <row r="240" spans="2:6" x14ac:dyDescent="0.3">
      <c r="B240" t="s">
        <v>40</v>
      </c>
      <c r="C240">
        <v>0</v>
      </c>
      <c r="D240">
        <v>0</v>
      </c>
      <c r="E240">
        <v>0</v>
      </c>
      <c r="F240">
        <v>0</v>
      </c>
    </row>
    <row r="241" spans="2:6" x14ac:dyDescent="0.3">
      <c r="B241" t="s">
        <v>41</v>
      </c>
    </row>
    <row r="242" spans="2:6" x14ac:dyDescent="0.3">
      <c r="B242" t="s">
        <v>22</v>
      </c>
      <c r="C242" t="s">
        <v>325</v>
      </c>
      <c r="D242" t="s">
        <v>319</v>
      </c>
      <c r="E242" t="s">
        <v>326</v>
      </c>
      <c r="F242" t="s">
        <v>327</v>
      </c>
    </row>
    <row r="243" spans="2:6" x14ac:dyDescent="0.3">
      <c r="B243" t="s">
        <v>27</v>
      </c>
      <c r="C243" t="s">
        <v>328</v>
      </c>
      <c r="D243" t="s">
        <v>329</v>
      </c>
      <c r="E243" t="s">
        <v>330</v>
      </c>
      <c r="F243" t="s">
        <v>331</v>
      </c>
    </row>
    <row r="244" spans="2:6" x14ac:dyDescent="0.3">
      <c r="B244" t="s">
        <v>32</v>
      </c>
      <c r="C244" t="s">
        <v>332</v>
      </c>
      <c r="D244" t="s">
        <v>324</v>
      </c>
      <c r="E244" t="s">
        <v>333</v>
      </c>
      <c r="F244" t="s">
        <v>324</v>
      </c>
    </row>
    <row r="245" spans="2:6" x14ac:dyDescent="0.3">
      <c r="B245" t="s">
        <v>36</v>
      </c>
      <c r="C245">
        <v>0</v>
      </c>
      <c r="D245">
        <v>0</v>
      </c>
      <c r="E245">
        <v>0</v>
      </c>
      <c r="F245">
        <v>0</v>
      </c>
    </row>
    <row r="246" spans="2:6" x14ac:dyDescent="0.3">
      <c r="B246" t="s">
        <v>40</v>
      </c>
      <c r="C246">
        <v>0</v>
      </c>
      <c r="D246">
        <v>0</v>
      </c>
      <c r="E246">
        <v>0</v>
      </c>
      <c r="F246">
        <v>0</v>
      </c>
    </row>
    <row r="247" spans="2:6" x14ac:dyDescent="0.3">
      <c r="B247" t="s">
        <v>53</v>
      </c>
    </row>
    <row r="248" spans="2:6" x14ac:dyDescent="0.3">
      <c r="B248" t="s">
        <v>22</v>
      </c>
      <c r="C248" t="s">
        <v>334</v>
      </c>
      <c r="D248" t="s">
        <v>335</v>
      </c>
      <c r="E248" t="s">
        <v>336</v>
      </c>
      <c r="F248" t="s">
        <v>337</v>
      </c>
    </row>
    <row r="249" spans="2:6" x14ac:dyDescent="0.3">
      <c r="B249" t="s">
        <v>27</v>
      </c>
      <c r="C249" t="s">
        <v>338</v>
      </c>
      <c r="D249" t="s">
        <v>339</v>
      </c>
      <c r="E249" t="s">
        <v>340</v>
      </c>
      <c r="F249" t="s">
        <v>341</v>
      </c>
    </row>
    <row r="250" spans="2:6" x14ac:dyDescent="0.3">
      <c r="B250" t="s">
        <v>32</v>
      </c>
      <c r="C250" t="s">
        <v>342</v>
      </c>
      <c r="D250" t="s">
        <v>343</v>
      </c>
      <c r="E250" t="s">
        <v>344</v>
      </c>
      <c r="F250" t="s">
        <v>345</v>
      </c>
    </row>
    <row r="251" spans="2:6" x14ac:dyDescent="0.3">
      <c r="B251" t="s">
        <v>36</v>
      </c>
      <c r="C251" t="s">
        <v>319</v>
      </c>
      <c r="D251">
        <v>0</v>
      </c>
      <c r="E251" t="s">
        <v>346</v>
      </c>
      <c r="F251">
        <v>0</v>
      </c>
    </row>
    <row r="252" spans="2:6" x14ac:dyDescent="0.3">
      <c r="B252" t="s">
        <v>40</v>
      </c>
      <c r="C252">
        <v>0</v>
      </c>
      <c r="D252">
        <v>0</v>
      </c>
      <c r="E252">
        <v>0</v>
      </c>
      <c r="F252">
        <v>0</v>
      </c>
    </row>
    <row r="253" spans="2:6" x14ac:dyDescent="0.3">
      <c r="B253" t="s">
        <v>68</v>
      </c>
    </row>
    <row r="255" spans="2:6" x14ac:dyDescent="0.3">
      <c r="B255" t="s">
        <v>69</v>
      </c>
    </row>
    <row r="257" spans="2:6" x14ac:dyDescent="0.3">
      <c r="B257" t="s">
        <v>5</v>
      </c>
    </row>
    <row r="259" spans="2:6" x14ac:dyDescent="0.3">
      <c r="B259" t="s">
        <v>347</v>
      </c>
    </row>
    <row r="261" spans="2:6" x14ac:dyDescent="0.3">
      <c r="B261" t="s">
        <v>348</v>
      </c>
    </row>
    <row r="263" spans="2:6" x14ac:dyDescent="0.3">
      <c r="B263" t="s">
        <v>348</v>
      </c>
    </row>
    <row r="264" spans="2:6" x14ac:dyDescent="0.3">
      <c r="C264" t="s">
        <v>13</v>
      </c>
      <c r="E264" t="s">
        <v>14</v>
      </c>
    </row>
    <row r="265" spans="2:6" x14ac:dyDescent="0.3">
      <c r="C265" t="s">
        <v>15</v>
      </c>
      <c r="D265" t="s">
        <v>17</v>
      </c>
      <c r="E265" t="s">
        <v>15</v>
      </c>
      <c r="F265" t="s">
        <v>17</v>
      </c>
    </row>
    <row r="266" spans="2:6" x14ac:dyDescent="0.3">
      <c r="C266" t="s">
        <v>311</v>
      </c>
      <c r="D266" t="s">
        <v>311</v>
      </c>
      <c r="E266" t="s">
        <v>312</v>
      </c>
      <c r="F266" t="s">
        <v>313</v>
      </c>
    </row>
    <row r="267" spans="2:6" x14ac:dyDescent="0.3">
      <c r="B267" t="s">
        <v>113</v>
      </c>
    </row>
    <row r="268" spans="2:6" x14ac:dyDescent="0.3">
      <c r="B268" t="s">
        <v>114</v>
      </c>
      <c r="C268" t="s">
        <v>349</v>
      </c>
      <c r="D268" t="s">
        <v>315</v>
      </c>
      <c r="E268" t="s">
        <v>350</v>
      </c>
      <c r="F268" t="s">
        <v>346</v>
      </c>
    </row>
    <row r="269" spans="2:6" x14ac:dyDescent="0.3">
      <c r="B269" t="s">
        <v>118</v>
      </c>
      <c r="C269" t="s">
        <v>351</v>
      </c>
      <c r="D269" t="s">
        <v>321</v>
      </c>
      <c r="E269" t="s">
        <v>352</v>
      </c>
      <c r="F269" t="s">
        <v>353</v>
      </c>
    </row>
    <row r="270" spans="2:6" x14ac:dyDescent="0.3">
      <c r="B270" t="s">
        <v>122</v>
      </c>
      <c r="C270" t="s">
        <v>320</v>
      </c>
      <c r="D270" t="s">
        <v>324</v>
      </c>
      <c r="E270" t="s">
        <v>354</v>
      </c>
      <c r="F270" t="s">
        <v>87</v>
      </c>
    </row>
    <row r="271" spans="2:6" x14ac:dyDescent="0.3">
      <c r="B271" t="s">
        <v>125</v>
      </c>
      <c r="C271" t="s">
        <v>317</v>
      </c>
      <c r="D271" t="s">
        <v>324</v>
      </c>
      <c r="E271" t="s">
        <v>355</v>
      </c>
      <c r="F271" t="s">
        <v>87</v>
      </c>
    </row>
    <row r="272" spans="2:6" x14ac:dyDescent="0.3">
      <c r="B272" t="s">
        <v>127</v>
      </c>
      <c r="C272" t="s">
        <v>87</v>
      </c>
      <c r="D272">
        <v>0</v>
      </c>
      <c r="E272">
        <v>0</v>
      </c>
      <c r="F272">
        <v>0</v>
      </c>
    </row>
    <row r="273" spans="2:6" x14ac:dyDescent="0.3">
      <c r="B273" t="s">
        <v>129</v>
      </c>
    </row>
    <row r="274" spans="2:6" x14ac:dyDescent="0.3">
      <c r="B274" t="s">
        <v>22</v>
      </c>
      <c r="C274" t="s">
        <v>356</v>
      </c>
      <c r="D274" t="s">
        <v>357</v>
      </c>
      <c r="E274" t="s">
        <v>358</v>
      </c>
      <c r="F274" t="s">
        <v>359</v>
      </c>
    </row>
    <row r="275" spans="2:6" x14ac:dyDescent="0.3">
      <c r="B275" t="s">
        <v>27</v>
      </c>
      <c r="C275" t="s">
        <v>360</v>
      </c>
      <c r="D275" t="s">
        <v>361</v>
      </c>
      <c r="E275" t="s">
        <v>362</v>
      </c>
      <c r="F275" t="s">
        <v>363</v>
      </c>
    </row>
    <row r="276" spans="2:6" x14ac:dyDescent="0.3">
      <c r="B276" t="s">
        <v>32</v>
      </c>
      <c r="C276" t="s">
        <v>364</v>
      </c>
      <c r="D276" t="s">
        <v>365</v>
      </c>
      <c r="E276" t="s">
        <v>366</v>
      </c>
      <c r="F276" t="s">
        <v>367</v>
      </c>
    </row>
    <row r="277" spans="2:6" x14ac:dyDescent="0.3">
      <c r="B277" t="s">
        <v>36</v>
      </c>
      <c r="C277" t="s">
        <v>368</v>
      </c>
      <c r="D277" t="s">
        <v>321</v>
      </c>
      <c r="E277" t="s">
        <v>323</v>
      </c>
      <c r="F277" t="s">
        <v>331</v>
      </c>
    </row>
    <row r="278" spans="2:6" x14ac:dyDescent="0.3">
      <c r="B278" t="s">
        <v>40</v>
      </c>
      <c r="C278">
        <v>0</v>
      </c>
      <c r="D278">
        <v>0</v>
      </c>
      <c r="E278">
        <v>0</v>
      </c>
      <c r="F278">
        <v>0</v>
      </c>
    </row>
    <row r="279" spans="2:6" x14ac:dyDescent="0.3">
      <c r="B279" t="s">
        <v>144</v>
      </c>
    </row>
    <row r="280" spans="2:6" x14ac:dyDescent="0.3">
      <c r="B280" t="s">
        <v>22</v>
      </c>
      <c r="C280" t="s">
        <v>369</v>
      </c>
      <c r="D280" t="s">
        <v>370</v>
      </c>
      <c r="E280" t="s">
        <v>371</v>
      </c>
      <c r="F280" t="s">
        <v>372</v>
      </c>
    </row>
    <row r="281" spans="2:6" x14ac:dyDescent="0.3">
      <c r="B281" t="s">
        <v>27</v>
      </c>
      <c r="C281" t="s">
        <v>373</v>
      </c>
      <c r="D281" t="s">
        <v>374</v>
      </c>
      <c r="E281" t="s">
        <v>375</v>
      </c>
      <c r="F281" t="s">
        <v>376</v>
      </c>
    </row>
    <row r="282" spans="2:6" x14ac:dyDescent="0.3">
      <c r="B282" t="s">
        <v>32</v>
      </c>
      <c r="C282" t="s">
        <v>377</v>
      </c>
      <c r="D282" t="s">
        <v>378</v>
      </c>
      <c r="E282" t="s">
        <v>379</v>
      </c>
      <c r="F282" t="s">
        <v>380</v>
      </c>
    </row>
    <row r="283" spans="2:6" x14ac:dyDescent="0.3">
      <c r="B283" t="s">
        <v>36</v>
      </c>
      <c r="C283" t="s">
        <v>319</v>
      </c>
      <c r="D283" t="s">
        <v>329</v>
      </c>
      <c r="E283" t="s">
        <v>381</v>
      </c>
      <c r="F283" t="s">
        <v>87</v>
      </c>
    </row>
    <row r="284" spans="2:6" x14ac:dyDescent="0.3">
      <c r="B284" t="s">
        <v>40</v>
      </c>
      <c r="C284">
        <v>0</v>
      </c>
      <c r="D284">
        <v>0</v>
      </c>
      <c r="E284">
        <v>0</v>
      </c>
      <c r="F284">
        <v>0</v>
      </c>
    </row>
    <row r="285" spans="2:6" x14ac:dyDescent="0.3">
      <c r="B285" t="s">
        <v>159</v>
      </c>
    </row>
    <row r="286" spans="2:6" x14ac:dyDescent="0.3">
      <c r="B286" t="s">
        <v>22</v>
      </c>
      <c r="C286" t="s">
        <v>382</v>
      </c>
      <c r="D286" t="s">
        <v>383</v>
      </c>
      <c r="E286" t="s">
        <v>384</v>
      </c>
      <c r="F286" t="s">
        <v>385</v>
      </c>
    </row>
    <row r="287" spans="2:6" x14ac:dyDescent="0.3">
      <c r="B287" t="s">
        <v>27</v>
      </c>
      <c r="C287" t="s">
        <v>386</v>
      </c>
      <c r="D287" t="s">
        <v>387</v>
      </c>
      <c r="E287" t="s">
        <v>388</v>
      </c>
      <c r="F287" t="s">
        <v>389</v>
      </c>
    </row>
    <row r="288" spans="2:6" x14ac:dyDescent="0.3">
      <c r="B288" t="s">
        <v>32</v>
      </c>
      <c r="C288" t="s">
        <v>390</v>
      </c>
      <c r="D288" t="s">
        <v>391</v>
      </c>
      <c r="E288" t="s">
        <v>392</v>
      </c>
      <c r="F288" t="s">
        <v>393</v>
      </c>
    </row>
    <row r="289" spans="2:6" x14ac:dyDescent="0.3">
      <c r="B289" t="s">
        <v>36</v>
      </c>
      <c r="C289" t="s">
        <v>394</v>
      </c>
      <c r="D289" t="s">
        <v>324</v>
      </c>
      <c r="E289" t="s">
        <v>322</v>
      </c>
      <c r="F289">
        <v>0</v>
      </c>
    </row>
    <row r="290" spans="2:6" x14ac:dyDescent="0.3">
      <c r="B290" t="s">
        <v>40</v>
      </c>
      <c r="C290">
        <v>0</v>
      </c>
      <c r="D290">
        <v>0</v>
      </c>
      <c r="E290">
        <v>0</v>
      </c>
      <c r="F290">
        <v>0</v>
      </c>
    </row>
    <row r="291" spans="2:6" x14ac:dyDescent="0.3">
      <c r="B291" t="s">
        <v>171</v>
      </c>
    </row>
    <row r="292" spans="2:6" x14ac:dyDescent="0.3">
      <c r="B292" t="s">
        <v>22</v>
      </c>
      <c r="C292" t="s">
        <v>395</v>
      </c>
      <c r="D292" t="s">
        <v>317</v>
      </c>
      <c r="E292" t="s">
        <v>320</v>
      </c>
      <c r="F292" t="s">
        <v>315</v>
      </c>
    </row>
    <row r="293" spans="2:6" x14ac:dyDescent="0.3">
      <c r="B293" t="s">
        <v>27</v>
      </c>
      <c r="C293" t="s">
        <v>396</v>
      </c>
      <c r="D293" t="s">
        <v>321</v>
      </c>
      <c r="E293" t="s">
        <v>355</v>
      </c>
      <c r="F293" t="s">
        <v>319</v>
      </c>
    </row>
    <row r="294" spans="2:6" x14ac:dyDescent="0.3">
      <c r="B294" t="s">
        <v>32</v>
      </c>
      <c r="C294">
        <v>0</v>
      </c>
      <c r="D294" t="s">
        <v>324</v>
      </c>
      <c r="E294" t="s">
        <v>331</v>
      </c>
      <c r="F294" t="s">
        <v>87</v>
      </c>
    </row>
    <row r="295" spans="2:6" x14ac:dyDescent="0.3">
      <c r="B295" t="s">
        <v>36</v>
      </c>
      <c r="C295" t="s">
        <v>87</v>
      </c>
      <c r="D295">
        <v>0</v>
      </c>
      <c r="E295">
        <v>0</v>
      </c>
      <c r="F295">
        <v>0</v>
      </c>
    </row>
    <row r="296" spans="2:6" x14ac:dyDescent="0.3">
      <c r="B296" t="s">
        <v>40</v>
      </c>
      <c r="C296">
        <v>0</v>
      </c>
      <c r="D296">
        <v>0</v>
      </c>
      <c r="E296">
        <v>0</v>
      </c>
      <c r="F296">
        <v>0</v>
      </c>
    </row>
    <row r="297" spans="2:6" x14ac:dyDescent="0.3">
      <c r="B297" t="s">
        <v>175</v>
      </c>
    </row>
    <row r="298" spans="2:6" x14ac:dyDescent="0.3">
      <c r="B298" t="s">
        <v>22</v>
      </c>
      <c r="C298" t="s">
        <v>397</v>
      </c>
      <c r="D298" t="s">
        <v>387</v>
      </c>
      <c r="E298" t="s">
        <v>398</v>
      </c>
      <c r="F298" t="s">
        <v>399</v>
      </c>
    </row>
    <row r="299" spans="2:6" x14ac:dyDescent="0.3">
      <c r="B299" t="s">
        <v>27</v>
      </c>
      <c r="C299" t="s">
        <v>400</v>
      </c>
      <c r="D299" t="s">
        <v>401</v>
      </c>
      <c r="E299" t="s">
        <v>402</v>
      </c>
      <c r="F299" t="s">
        <v>403</v>
      </c>
    </row>
    <row r="300" spans="2:6" x14ac:dyDescent="0.3">
      <c r="B300" t="s">
        <v>32</v>
      </c>
      <c r="C300" t="s">
        <v>404</v>
      </c>
      <c r="D300" t="s">
        <v>317</v>
      </c>
      <c r="E300" t="s">
        <v>405</v>
      </c>
      <c r="F300" t="s">
        <v>353</v>
      </c>
    </row>
    <row r="301" spans="2:6" x14ac:dyDescent="0.3">
      <c r="B301" t="s">
        <v>36</v>
      </c>
      <c r="C301">
        <v>0</v>
      </c>
      <c r="D301">
        <v>0</v>
      </c>
      <c r="E301">
        <v>0</v>
      </c>
      <c r="F301">
        <v>0</v>
      </c>
    </row>
    <row r="302" spans="2:6" x14ac:dyDescent="0.3">
      <c r="B302" t="s">
        <v>40</v>
      </c>
      <c r="C302">
        <v>0</v>
      </c>
      <c r="D302">
        <v>0</v>
      </c>
      <c r="E302">
        <v>0</v>
      </c>
      <c r="F302">
        <v>0</v>
      </c>
    </row>
    <row r="303" spans="2:6" x14ac:dyDescent="0.3">
      <c r="B303" t="s">
        <v>188</v>
      </c>
    </row>
    <row r="304" spans="2:6" x14ac:dyDescent="0.3">
      <c r="B304" t="s">
        <v>22</v>
      </c>
      <c r="C304" t="s">
        <v>406</v>
      </c>
      <c r="D304" t="s">
        <v>407</v>
      </c>
      <c r="E304" t="s">
        <v>408</v>
      </c>
      <c r="F304" t="s">
        <v>409</v>
      </c>
    </row>
    <row r="305" spans="2:6" x14ac:dyDescent="0.3">
      <c r="B305" t="s">
        <v>27</v>
      </c>
      <c r="C305" t="s">
        <v>410</v>
      </c>
      <c r="D305" t="s">
        <v>411</v>
      </c>
      <c r="E305" t="s">
        <v>412</v>
      </c>
      <c r="F305" t="s">
        <v>413</v>
      </c>
    </row>
    <row r="306" spans="2:6" x14ac:dyDescent="0.3">
      <c r="B306" t="s">
        <v>32</v>
      </c>
      <c r="C306" t="s">
        <v>414</v>
      </c>
      <c r="D306" t="s">
        <v>415</v>
      </c>
      <c r="E306" t="s">
        <v>416</v>
      </c>
      <c r="F306" t="s">
        <v>417</v>
      </c>
    </row>
    <row r="307" spans="2:6" x14ac:dyDescent="0.3">
      <c r="B307" t="s">
        <v>36</v>
      </c>
      <c r="C307" t="s">
        <v>324</v>
      </c>
      <c r="D307">
        <v>0</v>
      </c>
      <c r="E307" t="s">
        <v>405</v>
      </c>
      <c r="F307" t="s">
        <v>324</v>
      </c>
    </row>
    <row r="308" spans="2:6" x14ac:dyDescent="0.3">
      <c r="B308" t="s">
        <v>40</v>
      </c>
      <c r="C308">
        <v>0</v>
      </c>
      <c r="D308">
        <v>0</v>
      </c>
      <c r="E308">
        <v>0</v>
      </c>
      <c r="F308">
        <v>0</v>
      </c>
    </row>
    <row r="309" spans="2:6" x14ac:dyDescent="0.3">
      <c r="B309" t="s">
        <v>203</v>
      </c>
    </row>
    <row r="310" spans="2:6" x14ac:dyDescent="0.3">
      <c r="B310" t="s">
        <v>22</v>
      </c>
      <c r="C310" t="s">
        <v>383</v>
      </c>
      <c r="D310" t="s">
        <v>400</v>
      </c>
      <c r="E310" t="s">
        <v>418</v>
      </c>
      <c r="F310" t="s">
        <v>413</v>
      </c>
    </row>
    <row r="311" spans="2:6" x14ac:dyDescent="0.3">
      <c r="B311" t="s">
        <v>27</v>
      </c>
      <c r="C311" t="s">
        <v>419</v>
      </c>
      <c r="D311" t="s">
        <v>420</v>
      </c>
      <c r="E311" t="s">
        <v>421</v>
      </c>
      <c r="F311" t="s">
        <v>422</v>
      </c>
    </row>
    <row r="312" spans="2:6" x14ac:dyDescent="0.3">
      <c r="B312" t="s">
        <v>32</v>
      </c>
      <c r="C312" t="s">
        <v>423</v>
      </c>
      <c r="D312" t="s">
        <v>424</v>
      </c>
      <c r="E312" t="s">
        <v>425</v>
      </c>
      <c r="F312" t="s">
        <v>393</v>
      </c>
    </row>
    <row r="313" spans="2:6" x14ac:dyDescent="0.3">
      <c r="B313" t="s">
        <v>36</v>
      </c>
      <c r="C313" t="s">
        <v>87</v>
      </c>
      <c r="D313">
        <v>0</v>
      </c>
      <c r="E313" t="s">
        <v>331</v>
      </c>
      <c r="F313">
        <v>0</v>
      </c>
    </row>
    <row r="314" spans="2:6" x14ac:dyDescent="0.3">
      <c r="B314" t="s">
        <v>40</v>
      </c>
      <c r="C314">
        <v>0</v>
      </c>
      <c r="D314">
        <v>0</v>
      </c>
      <c r="E314">
        <v>0</v>
      </c>
      <c r="F314">
        <v>0</v>
      </c>
    </row>
    <row r="315" spans="2:6" x14ac:dyDescent="0.3">
      <c r="B315" t="s">
        <v>426</v>
      </c>
      <c r="C315" t="s">
        <v>427</v>
      </c>
      <c r="D315" t="s">
        <v>428</v>
      </c>
      <c r="E315" t="s">
        <v>429</v>
      </c>
      <c r="F315" t="s">
        <v>430</v>
      </c>
    </row>
    <row r="316" spans="2:6" x14ac:dyDescent="0.3">
      <c r="B316" t="s">
        <v>431</v>
      </c>
      <c r="C316" t="s">
        <v>432</v>
      </c>
      <c r="D316" t="s">
        <v>390</v>
      </c>
      <c r="E316" t="s">
        <v>433</v>
      </c>
      <c r="F316" t="s">
        <v>434</v>
      </c>
    </row>
    <row r="317" spans="2:6" x14ac:dyDescent="0.3">
      <c r="B317" t="s">
        <v>221</v>
      </c>
    </row>
    <row r="319" spans="2:6" x14ac:dyDescent="0.3">
      <c r="B319" t="s">
        <v>222</v>
      </c>
    </row>
    <row r="321" spans="2:2" x14ac:dyDescent="0.3">
      <c r="B321" t="s">
        <v>303</v>
      </c>
    </row>
    <row r="323" spans="2:2" x14ac:dyDescent="0.3">
      <c r="B323" t="s">
        <v>6</v>
      </c>
    </row>
    <row r="325" spans="2:2" x14ac:dyDescent="0.3">
      <c r="B325" t="s">
        <v>435</v>
      </c>
    </row>
    <row r="327" spans="2:2" x14ac:dyDescent="0.3">
      <c r="B327" t="s">
        <v>7</v>
      </c>
    </row>
    <row r="329" spans="2:2" x14ac:dyDescent="0.3">
      <c r="B329" t="s">
        <v>436</v>
      </c>
    </row>
    <row r="331" spans="2:2" x14ac:dyDescent="0.3">
      <c r="B331" t="s">
        <v>437</v>
      </c>
    </row>
    <row r="333" spans="2:2" x14ac:dyDescent="0.3">
      <c r="B333" t="s">
        <v>307</v>
      </c>
    </row>
    <row r="335" spans="2:2" x14ac:dyDescent="0.3">
      <c r="B335" t="s">
        <v>9</v>
      </c>
    </row>
    <row r="337" spans="2:6" x14ac:dyDescent="0.3">
      <c r="B337" t="s">
        <v>4</v>
      </c>
    </row>
    <row r="339" spans="2:6" x14ac:dyDescent="0.3">
      <c r="B339" t="s">
        <v>438</v>
      </c>
    </row>
    <row r="341" spans="2:6" x14ac:dyDescent="0.3">
      <c r="B341" t="s">
        <v>439</v>
      </c>
    </row>
    <row r="343" spans="2:6" x14ac:dyDescent="0.3">
      <c r="B343" t="s">
        <v>439</v>
      </c>
    </row>
    <row r="344" spans="2:6" x14ac:dyDescent="0.3">
      <c r="C344" t="s">
        <v>13</v>
      </c>
      <c r="E344" t="s">
        <v>14</v>
      </c>
    </row>
    <row r="345" spans="2:6" x14ac:dyDescent="0.3">
      <c r="C345" t="s">
        <v>440</v>
      </c>
      <c r="E345" t="s">
        <v>440</v>
      </c>
    </row>
    <row r="346" spans="2:6" x14ac:dyDescent="0.3">
      <c r="C346" t="s">
        <v>15</v>
      </c>
      <c r="D346" t="s">
        <v>17</v>
      </c>
      <c r="E346" t="s">
        <v>15</v>
      </c>
      <c r="F346" t="s">
        <v>17</v>
      </c>
    </row>
    <row r="347" spans="2:6" x14ac:dyDescent="0.3">
      <c r="C347" t="s">
        <v>441</v>
      </c>
      <c r="D347" t="s">
        <v>442</v>
      </c>
      <c r="E347" t="s">
        <v>443</v>
      </c>
      <c r="F347" t="s">
        <v>444</v>
      </c>
    </row>
    <row r="348" spans="2:6" x14ac:dyDescent="0.3">
      <c r="B348" t="s">
        <v>21</v>
      </c>
    </row>
    <row r="349" spans="2:6" x14ac:dyDescent="0.3">
      <c r="B349" t="s">
        <v>22</v>
      </c>
      <c r="C349" t="s">
        <v>445</v>
      </c>
      <c r="D349" t="s">
        <v>446</v>
      </c>
      <c r="E349" t="s">
        <v>447</v>
      </c>
      <c r="F349" t="s">
        <v>448</v>
      </c>
    </row>
    <row r="350" spans="2:6" x14ac:dyDescent="0.3">
      <c r="B350" t="s">
        <v>27</v>
      </c>
      <c r="C350" t="s">
        <v>449</v>
      </c>
      <c r="D350" t="s">
        <v>450</v>
      </c>
      <c r="E350" t="s">
        <v>449</v>
      </c>
      <c r="F350" t="s">
        <v>451</v>
      </c>
    </row>
    <row r="351" spans="2:6" x14ac:dyDescent="0.3">
      <c r="B351" t="s">
        <v>32</v>
      </c>
      <c r="C351" t="s">
        <v>452</v>
      </c>
      <c r="D351" t="s">
        <v>453</v>
      </c>
      <c r="E351" t="s">
        <v>454</v>
      </c>
      <c r="F351" t="s">
        <v>455</v>
      </c>
    </row>
    <row r="352" spans="2:6" x14ac:dyDescent="0.3">
      <c r="B352" t="s">
        <v>36</v>
      </c>
      <c r="C352">
        <v>0</v>
      </c>
      <c r="D352">
        <v>0</v>
      </c>
      <c r="E352" t="s">
        <v>86</v>
      </c>
      <c r="F352">
        <v>0</v>
      </c>
    </row>
    <row r="353" spans="2:6" x14ac:dyDescent="0.3">
      <c r="B353" t="s">
        <v>40</v>
      </c>
      <c r="C353">
        <v>0</v>
      </c>
      <c r="D353">
        <v>0</v>
      </c>
      <c r="E353">
        <v>0</v>
      </c>
      <c r="F353">
        <v>0</v>
      </c>
    </row>
    <row r="354" spans="2:6" x14ac:dyDescent="0.3">
      <c r="B354" t="s">
        <v>41</v>
      </c>
    </row>
    <row r="355" spans="2:6" x14ac:dyDescent="0.3">
      <c r="B355" t="s">
        <v>22</v>
      </c>
      <c r="C355" t="s">
        <v>456</v>
      </c>
      <c r="D355" t="s">
        <v>457</v>
      </c>
      <c r="E355" t="s">
        <v>458</v>
      </c>
      <c r="F355" t="s">
        <v>457</v>
      </c>
    </row>
    <row r="356" spans="2:6" x14ac:dyDescent="0.3">
      <c r="B356" t="s">
        <v>27</v>
      </c>
      <c r="C356" t="s">
        <v>459</v>
      </c>
      <c r="D356" t="s">
        <v>460</v>
      </c>
      <c r="E356" t="s">
        <v>461</v>
      </c>
      <c r="F356" t="s">
        <v>462</v>
      </c>
    </row>
    <row r="357" spans="2:6" x14ac:dyDescent="0.3">
      <c r="B357" t="s">
        <v>32</v>
      </c>
      <c r="C357" t="s">
        <v>463</v>
      </c>
      <c r="D357" t="s">
        <v>464</v>
      </c>
      <c r="E357" t="s">
        <v>465</v>
      </c>
      <c r="F357" t="s">
        <v>466</v>
      </c>
    </row>
    <row r="358" spans="2:6" x14ac:dyDescent="0.3">
      <c r="B358" t="s">
        <v>36</v>
      </c>
      <c r="C358" t="s">
        <v>87</v>
      </c>
      <c r="D358">
        <v>0</v>
      </c>
      <c r="E358">
        <v>0</v>
      </c>
      <c r="F358">
        <v>0</v>
      </c>
    </row>
    <row r="359" spans="2:6" x14ac:dyDescent="0.3">
      <c r="B359" t="s">
        <v>40</v>
      </c>
      <c r="C359">
        <v>0</v>
      </c>
      <c r="D359">
        <v>0</v>
      </c>
      <c r="E359">
        <v>0</v>
      </c>
      <c r="F359">
        <v>0</v>
      </c>
    </row>
    <row r="360" spans="2:6" x14ac:dyDescent="0.3">
      <c r="B360" t="s">
        <v>53</v>
      </c>
    </row>
    <row r="361" spans="2:6" x14ac:dyDescent="0.3">
      <c r="B361" t="s">
        <v>22</v>
      </c>
      <c r="C361" t="s">
        <v>467</v>
      </c>
      <c r="D361" t="s">
        <v>468</v>
      </c>
      <c r="E361" t="s">
        <v>469</v>
      </c>
      <c r="F361" t="s">
        <v>470</v>
      </c>
    </row>
    <row r="362" spans="2:6" x14ac:dyDescent="0.3">
      <c r="B362" t="s">
        <v>27</v>
      </c>
      <c r="C362" t="s">
        <v>471</v>
      </c>
      <c r="D362" t="s">
        <v>472</v>
      </c>
      <c r="E362" t="s">
        <v>473</v>
      </c>
      <c r="F362" t="s">
        <v>474</v>
      </c>
    </row>
    <row r="363" spans="2:6" x14ac:dyDescent="0.3">
      <c r="B363" t="s">
        <v>32</v>
      </c>
      <c r="C363" t="s">
        <v>475</v>
      </c>
      <c r="D363" t="s">
        <v>476</v>
      </c>
      <c r="E363" t="s">
        <v>477</v>
      </c>
      <c r="F363" t="s">
        <v>478</v>
      </c>
    </row>
    <row r="364" spans="2:6" x14ac:dyDescent="0.3">
      <c r="B364" t="s">
        <v>36</v>
      </c>
      <c r="C364" t="s">
        <v>479</v>
      </c>
      <c r="D364">
        <v>0</v>
      </c>
      <c r="E364" t="s">
        <v>84</v>
      </c>
      <c r="F364">
        <v>0</v>
      </c>
    </row>
    <row r="365" spans="2:6" x14ac:dyDescent="0.3">
      <c r="B365" t="s">
        <v>40</v>
      </c>
      <c r="C365">
        <v>0</v>
      </c>
      <c r="D365">
        <v>0</v>
      </c>
      <c r="E365">
        <v>0</v>
      </c>
      <c r="F365">
        <v>0</v>
      </c>
    </row>
    <row r="366" spans="2:6" x14ac:dyDescent="0.3">
      <c r="B366" t="s">
        <v>480</v>
      </c>
      <c r="C366" t="s">
        <v>481</v>
      </c>
      <c r="D366" t="s">
        <v>482</v>
      </c>
      <c r="E366" t="s">
        <v>483</v>
      </c>
      <c r="F366" t="s">
        <v>484</v>
      </c>
    </row>
    <row r="367" spans="2:6" x14ac:dyDescent="0.3">
      <c r="B367" t="s">
        <v>68</v>
      </c>
    </row>
    <row r="369" spans="2:6" x14ac:dyDescent="0.3">
      <c r="B369" t="s">
        <v>69</v>
      </c>
    </row>
    <row r="371" spans="2:6" x14ac:dyDescent="0.3">
      <c r="B371" t="s">
        <v>5</v>
      </c>
    </row>
    <row r="373" spans="2:6" x14ac:dyDescent="0.3">
      <c r="B373" t="s">
        <v>485</v>
      </c>
    </row>
    <row r="375" spans="2:6" x14ac:dyDescent="0.3">
      <c r="B375" t="s">
        <v>486</v>
      </c>
    </row>
    <row r="377" spans="2:6" x14ac:dyDescent="0.3">
      <c r="B377" t="s">
        <v>486</v>
      </c>
    </row>
    <row r="378" spans="2:6" x14ac:dyDescent="0.3">
      <c r="C378" t="s">
        <v>13</v>
      </c>
      <c r="E378" t="s">
        <v>14</v>
      </c>
    </row>
    <row r="379" spans="2:6" x14ac:dyDescent="0.3">
      <c r="C379" t="s">
        <v>487</v>
      </c>
      <c r="E379" t="s">
        <v>487</v>
      </c>
    </row>
    <row r="380" spans="2:6" x14ac:dyDescent="0.3">
      <c r="C380" t="s">
        <v>15</v>
      </c>
      <c r="D380" t="s">
        <v>17</v>
      </c>
      <c r="E380" t="s">
        <v>15</v>
      </c>
      <c r="F380" t="s">
        <v>17</v>
      </c>
    </row>
    <row r="381" spans="2:6" x14ac:dyDescent="0.3">
      <c r="C381" t="s">
        <v>441</v>
      </c>
      <c r="D381" t="s">
        <v>442</v>
      </c>
      <c r="E381" t="s">
        <v>443</v>
      </c>
      <c r="F381" t="s">
        <v>488</v>
      </c>
    </row>
    <row r="382" spans="2:6" x14ac:dyDescent="0.3">
      <c r="B382" t="s">
        <v>113</v>
      </c>
    </row>
    <row r="383" spans="2:6" x14ac:dyDescent="0.3">
      <c r="B383" t="s">
        <v>114</v>
      </c>
      <c r="C383" t="s">
        <v>489</v>
      </c>
      <c r="D383" t="s">
        <v>490</v>
      </c>
      <c r="E383" t="s">
        <v>491</v>
      </c>
      <c r="F383" t="s">
        <v>455</v>
      </c>
    </row>
    <row r="384" spans="2:6" x14ac:dyDescent="0.3">
      <c r="B384" t="s">
        <v>118</v>
      </c>
      <c r="C384" t="s">
        <v>492</v>
      </c>
      <c r="D384" t="s">
        <v>493</v>
      </c>
      <c r="E384" t="s">
        <v>494</v>
      </c>
      <c r="F384" t="s">
        <v>466</v>
      </c>
    </row>
    <row r="385" spans="2:6" x14ac:dyDescent="0.3">
      <c r="B385" t="s">
        <v>122</v>
      </c>
      <c r="C385" t="s">
        <v>495</v>
      </c>
      <c r="D385" t="s">
        <v>466</v>
      </c>
      <c r="E385" t="s">
        <v>489</v>
      </c>
      <c r="F385" t="s">
        <v>496</v>
      </c>
    </row>
    <row r="386" spans="2:6" x14ac:dyDescent="0.3">
      <c r="B386" t="s">
        <v>125</v>
      </c>
      <c r="C386" t="s">
        <v>86</v>
      </c>
      <c r="D386" t="s">
        <v>87</v>
      </c>
      <c r="E386" t="s">
        <v>82</v>
      </c>
      <c r="F386" t="s">
        <v>87</v>
      </c>
    </row>
    <row r="387" spans="2:6" x14ac:dyDescent="0.3">
      <c r="B387" t="s">
        <v>127</v>
      </c>
      <c r="C387">
        <v>0</v>
      </c>
      <c r="D387">
        <v>0</v>
      </c>
      <c r="E387" t="s">
        <v>87</v>
      </c>
      <c r="F387">
        <v>0</v>
      </c>
    </row>
    <row r="388" spans="2:6" x14ac:dyDescent="0.3">
      <c r="B388" t="s">
        <v>129</v>
      </c>
    </row>
    <row r="389" spans="2:6" x14ac:dyDescent="0.3">
      <c r="B389" t="s">
        <v>22</v>
      </c>
      <c r="C389" t="s">
        <v>497</v>
      </c>
      <c r="D389" t="s">
        <v>468</v>
      </c>
      <c r="E389" t="s">
        <v>498</v>
      </c>
      <c r="F389" t="s">
        <v>499</v>
      </c>
    </row>
    <row r="390" spans="2:6" x14ac:dyDescent="0.3">
      <c r="B390" t="s">
        <v>27</v>
      </c>
      <c r="C390" t="s">
        <v>500</v>
      </c>
      <c r="D390" t="s">
        <v>501</v>
      </c>
      <c r="E390" t="s">
        <v>502</v>
      </c>
      <c r="F390" t="s">
        <v>503</v>
      </c>
    </row>
    <row r="391" spans="2:6" x14ac:dyDescent="0.3">
      <c r="B391" t="s">
        <v>32</v>
      </c>
      <c r="C391" t="s">
        <v>504</v>
      </c>
      <c r="D391" t="s">
        <v>505</v>
      </c>
      <c r="E391" t="s">
        <v>506</v>
      </c>
      <c r="F391" t="s">
        <v>507</v>
      </c>
    </row>
    <row r="392" spans="2:6" x14ac:dyDescent="0.3">
      <c r="B392" t="s">
        <v>36</v>
      </c>
      <c r="C392" t="s">
        <v>479</v>
      </c>
      <c r="D392" t="s">
        <v>87</v>
      </c>
      <c r="E392" t="s">
        <v>92</v>
      </c>
      <c r="F392" t="s">
        <v>87</v>
      </c>
    </row>
    <row r="393" spans="2:6" x14ac:dyDescent="0.3">
      <c r="B393" t="s">
        <v>40</v>
      </c>
      <c r="C393">
        <v>0</v>
      </c>
      <c r="D393">
        <v>0</v>
      </c>
      <c r="E393">
        <v>0</v>
      </c>
      <c r="F393">
        <v>0</v>
      </c>
    </row>
    <row r="394" spans="2:6" x14ac:dyDescent="0.3">
      <c r="B394" t="s">
        <v>144</v>
      </c>
    </row>
    <row r="395" spans="2:6" x14ac:dyDescent="0.3">
      <c r="B395" t="s">
        <v>22</v>
      </c>
      <c r="C395" t="s">
        <v>508</v>
      </c>
      <c r="D395" t="s">
        <v>509</v>
      </c>
      <c r="E395" t="s">
        <v>510</v>
      </c>
      <c r="F395" t="s">
        <v>511</v>
      </c>
    </row>
    <row r="396" spans="2:6" x14ac:dyDescent="0.3">
      <c r="B396" t="s">
        <v>27</v>
      </c>
      <c r="C396" t="s">
        <v>512</v>
      </c>
      <c r="D396" t="s">
        <v>513</v>
      </c>
      <c r="E396" t="s">
        <v>514</v>
      </c>
      <c r="F396" t="s">
        <v>515</v>
      </c>
    </row>
    <row r="397" spans="2:6" x14ac:dyDescent="0.3">
      <c r="B397" t="s">
        <v>32</v>
      </c>
      <c r="C397" t="s">
        <v>516</v>
      </c>
      <c r="D397" t="s">
        <v>517</v>
      </c>
      <c r="E397" t="s">
        <v>518</v>
      </c>
      <c r="F397" t="s">
        <v>519</v>
      </c>
    </row>
    <row r="398" spans="2:6" x14ac:dyDescent="0.3">
      <c r="B398" t="s">
        <v>36</v>
      </c>
      <c r="C398" t="s">
        <v>51</v>
      </c>
      <c r="D398" t="s">
        <v>493</v>
      </c>
      <c r="E398" t="s">
        <v>86</v>
      </c>
      <c r="F398">
        <v>0</v>
      </c>
    </row>
    <row r="399" spans="2:6" x14ac:dyDescent="0.3">
      <c r="B399" t="s">
        <v>40</v>
      </c>
      <c r="C399">
        <v>0</v>
      </c>
      <c r="D399">
        <v>0</v>
      </c>
      <c r="E399">
        <v>0</v>
      </c>
      <c r="F399">
        <v>0</v>
      </c>
    </row>
    <row r="400" spans="2:6" x14ac:dyDescent="0.3">
      <c r="B400" t="s">
        <v>159</v>
      </c>
    </row>
    <row r="401" spans="2:6" x14ac:dyDescent="0.3">
      <c r="B401" t="s">
        <v>22</v>
      </c>
      <c r="C401" t="s">
        <v>520</v>
      </c>
      <c r="D401" t="s">
        <v>521</v>
      </c>
      <c r="E401" t="s">
        <v>522</v>
      </c>
      <c r="F401" t="s">
        <v>523</v>
      </c>
    </row>
    <row r="402" spans="2:6" x14ac:dyDescent="0.3">
      <c r="B402" t="s">
        <v>27</v>
      </c>
      <c r="C402" t="s">
        <v>524</v>
      </c>
      <c r="D402" t="s">
        <v>476</v>
      </c>
      <c r="E402" t="s">
        <v>525</v>
      </c>
      <c r="F402" t="s">
        <v>526</v>
      </c>
    </row>
    <row r="403" spans="2:6" x14ac:dyDescent="0.3">
      <c r="B403" t="s">
        <v>32</v>
      </c>
      <c r="C403" t="s">
        <v>527</v>
      </c>
      <c r="D403" t="s">
        <v>466</v>
      </c>
      <c r="E403" t="s">
        <v>528</v>
      </c>
      <c r="F403" t="s">
        <v>464</v>
      </c>
    </row>
    <row r="404" spans="2:6" x14ac:dyDescent="0.3">
      <c r="B404" t="s">
        <v>36</v>
      </c>
      <c r="C404">
        <v>0</v>
      </c>
      <c r="D404">
        <v>0</v>
      </c>
      <c r="E404" t="s">
        <v>51</v>
      </c>
      <c r="F404" t="s">
        <v>87</v>
      </c>
    </row>
    <row r="405" spans="2:6" x14ac:dyDescent="0.3">
      <c r="B405" t="s">
        <v>40</v>
      </c>
      <c r="C405">
        <v>0</v>
      </c>
      <c r="D405">
        <v>0</v>
      </c>
      <c r="E405">
        <v>0</v>
      </c>
      <c r="F405">
        <v>0</v>
      </c>
    </row>
    <row r="406" spans="2:6" x14ac:dyDescent="0.3">
      <c r="B406" t="s">
        <v>171</v>
      </c>
    </row>
    <row r="407" spans="2:6" x14ac:dyDescent="0.3">
      <c r="B407" t="s">
        <v>22</v>
      </c>
      <c r="C407" t="s">
        <v>529</v>
      </c>
      <c r="D407" t="s">
        <v>530</v>
      </c>
      <c r="E407" t="s">
        <v>531</v>
      </c>
      <c r="F407" t="s">
        <v>453</v>
      </c>
    </row>
    <row r="408" spans="2:6" x14ac:dyDescent="0.3">
      <c r="B408" t="s">
        <v>27</v>
      </c>
      <c r="C408" t="s">
        <v>532</v>
      </c>
      <c r="D408" t="s">
        <v>530</v>
      </c>
      <c r="E408" t="s">
        <v>533</v>
      </c>
      <c r="F408" t="s">
        <v>453</v>
      </c>
    </row>
    <row r="409" spans="2:6" x14ac:dyDescent="0.3">
      <c r="B409" t="s">
        <v>32</v>
      </c>
      <c r="C409" t="s">
        <v>534</v>
      </c>
      <c r="D409">
        <v>0</v>
      </c>
      <c r="E409" t="s">
        <v>87</v>
      </c>
      <c r="F409">
        <v>0</v>
      </c>
    </row>
    <row r="410" spans="2:6" x14ac:dyDescent="0.3">
      <c r="B410" t="s">
        <v>36</v>
      </c>
      <c r="C410">
        <v>0</v>
      </c>
      <c r="D410">
        <v>0</v>
      </c>
      <c r="E410">
        <v>0</v>
      </c>
      <c r="F410">
        <v>0</v>
      </c>
    </row>
    <row r="411" spans="2:6" x14ac:dyDescent="0.3">
      <c r="B411" t="s">
        <v>40</v>
      </c>
      <c r="C411">
        <v>0</v>
      </c>
      <c r="D411">
        <v>0</v>
      </c>
      <c r="E411">
        <v>0</v>
      </c>
      <c r="F411">
        <v>0</v>
      </c>
    </row>
    <row r="412" spans="2:6" x14ac:dyDescent="0.3">
      <c r="B412" t="s">
        <v>175</v>
      </c>
    </row>
    <row r="413" spans="2:6" x14ac:dyDescent="0.3">
      <c r="B413" t="s">
        <v>22</v>
      </c>
      <c r="C413" t="s">
        <v>535</v>
      </c>
      <c r="D413" t="s">
        <v>536</v>
      </c>
      <c r="E413" t="s">
        <v>537</v>
      </c>
      <c r="F413" t="s">
        <v>521</v>
      </c>
    </row>
    <row r="414" spans="2:6" x14ac:dyDescent="0.3">
      <c r="B414" t="s">
        <v>27</v>
      </c>
      <c r="C414" t="s">
        <v>452</v>
      </c>
      <c r="D414" t="s">
        <v>536</v>
      </c>
      <c r="E414" t="s">
        <v>463</v>
      </c>
      <c r="F414" t="s">
        <v>523</v>
      </c>
    </row>
    <row r="415" spans="2:6" x14ac:dyDescent="0.3">
      <c r="B415" t="s">
        <v>32</v>
      </c>
      <c r="C415" t="s">
        <v>538</v>
      </c>
      <c r="D415">
        <v>0</v>
      </c>
      <c r="E415" t="s">
        <v>534</v>
      </c>
      <c r="F415" t="s">
        <v>496</v>
      </c>
    </row>
    <row r="416" spans="2:6" x14ac:dyDescent="0.3">
      <c r="B416" t="s">
        <v>36</v>
      </c>
      <c r="C416">
        <v>0</v>
      </c>
      <c r="D416">
        <v>0</v>
      </c>
      <c r="E416">
        <v>0</v>
      </c>
      <c r="F416">
        <v>0</v>
      </c>
    </row>
    <row r="417" spans="2:6" x14ac:dyDescent="0.3">
      <c r="B417" t="s">
        <v>40</v>
      </c>
      <c r="C417">
        <v>0</v>
      </c>
      <c r="D417">
        <v>0</v>
      </c>
      <c r="E417">
        <v>0</v>
      </c>
      <c r="F417">
        <v>0</v>
      </c>
    </row>
    <row r="418" spans="2:6" x14ac:dyDescent="0.3">
      <c r="B418" t="s">
        <v>188</v>
      </c>
    </row>
    <row r="419" spans="2:6" x14ac:dyDescent="0.3">
      <c r="B419" t="s">
        <v>22</v>
      </c>
      <c r="C419" t="s">
        <v>539</v>
      </c>
      <c r="D419" t="s">
        <v>540</v>
      </c>
      <c r="E419" t="s">
        <v>541</v>
      </c>
      <c r="F419" t="s">
        <v>542</v>
      </c>
    </row>
    <row r="420" spans="2:6" x14ac:dyDescent="0.3">
      <c r="B420" t="s">
        <v>27</v>
      </c>
      <c r="C420" t="s">
        <v>543</v>
      </c>
      <c r="D420" t="s">
        <v>521</v>
      </c>
      <c r="E420" t="s">
        <v>544</v>
      </c>
      <c r="F420" t="s">
        <v>545</v>
      </c>
    </row>
    <row r="421" spans="2:6" x14ac:dyDescent="0.3">
      <c r="B421" t="s">
        <v>32</v>
      </c>
      <c r="C421" t="s">
        <v>546</v>
      </c>
      <c r="D421" t="s">
        <v>547</v>
      </c>
      <c r="E421" t="s">
        <v>548</v>
      </c>
      <c r="F421" t="s">
        <v>549</v>
      </c>
    </row>
    <row r="422" spans="2:6" x14ac:dyDescent="0.3">
      <c r="B422" t="s">
        <v>36</v>
      </c>
      <c r="C422" t="s">
        <v>87</v>
      </c>
      <c r="D422">
        <v>0</v>
      </c>
      <c r="E422" t="s">
        <v>87</v>
      </c>
      <c r="F422">
        <v>0</v>
      </c>
    </row>
    <row r="423" spans="2:6" x14ac:dyDescent="0.3">
      <c r="B423" t="s">
        <v>40</v>
      </c>
      <c r="C423">
        <v>0</v>
      </c>
      <c r="D423">
        <v>0</v>
      </c>
      <c r="E423">
        <v>0</v>
      </c>
      <c r="F423">
        <v>0</v>
      </c>
    </row>
    <row r="424" spans="2:6" x14ac:dyDescent="0.3">
      <c r="B424" t="s">
        <v>203</v>
      </c>
    </row>
    <row r="425" spans="2:6" x14ac:dyDescent="0.3">
      <c r="B425" t="s">
        <v>22</v>
      </c>
      <c r="C425" t="s">
        <v>550</v>
      </c>
      <c r="D425" t="s">
        <v>551</v>
      </c>
      <c r="E425" t="s">
        <v>552</v>
      </c>
      <c r="F425" t="s">
        <v>553</v>
      </c>
    </row>
    <row r="426" spans="2:6" x14ac:dyDescent="0.3">
      <c r="B426" t="s">
        <v>27</v>
      </c>
      <c r="C426" t="s">
        <v>554</v>
      </c>
      <c r="D426" t="s">
        <v>536</v>
      </c>
      <c r="E426" t="s">
        <v>555</v>
      </c>
      <c r="F426" t="s">
        <v>457</v>
      </c>
    </row>
    <row r="427" spans="2:6" x14ac:dyDescent="0.3">
      <c r="B427" t="s">
        <v>32</v>
      </c>
      <c r="C427" t="s">
        <v>527</v>
      </c>
      <c r="D427" t="s">
        <v>490</v>
      </c>
      <c r="E427" t="s">
        <v>556</v>
      </c>
      <c r="F427" t="s">
        <v>464</v>
      </c>
    </row>
    <row r="428" spans="2:6" x14ac:dyDescent="0.3">
      <c r="B428" t="s">
        <v>36</v>
      </c>
      <c r="C428">
        <v>0</v>
      </c>
      <c r="D428">
        <v>0</v>
      </c>
      <c r="E428">
        <v>0</v>
      </c>
      <c r="F428">
        <v>0</v>
      </c>
    </row>
    <row r="429" spans="2:6" x14ac:dyDescent="0.3">
      <c r="B429" t="s">
        <v>40</v>
      </c>
      <c r="C429">
        <v>0</v>
      </c>
      <c r="D429">
        <v>0</v>
      </c>
      <c r="E429">
        <v>0</v>
      </c>
      <c r="F429">
        <v>0</v>
      </c>
    </row>
    <row r="430" spans="2:6" x14ac:dyDescent="0.3">
      <c r="B430" t="s">
        <v>426</v>
      </c>
      <c r="C430" t="s">
        <v>557</v>
      </c>
      <c r="D430" t="s">
        <v>558</v>
      </c>
      <c r="E430" t="s">
        <v>559</v>
      </c>
      <c r="F430" t="s">
        <v>560</v>
      </c>
    </row>
    <row r="431" spans="2:6" x14ac:dyDescent="0.3">
      <c r="B431" t="s">
        <v>431</v>
      </c>
      <c r="C431" t="s">
        <v>561</v>
      </c>
      <c r="D431" t="s">
        <v>562</v>
      </c>
      <c r="E431" t="s">
        <v>563</v>
      </c>
      <c r="F431" t="s">
        <v>564</v>
      </c>
    </row>
    <row r="432" spans="2:6" x14ac:dyDescent="0.3">
      <c r="B432" t="s">
        <v>221</v>
      </c>
    </row>
    <row r="434" spans="2:2" x14ac:dyDescent="0.3">
      <c r="B434" t="s">
        <v>222</v>
      </c>
    </row>
    <row r="436" spans="2:2" x14ac:dyDescent="0.3">
      <c r="B436" t="s">
        <v>303</v>
      </c>
    </row>
    <row r="438" spans="2:2" x14ac:dyDescent="0.3">
      <c r="B438" t="s">
        <v>6</v>
      </c>
    </row>
    <row r="440" spans="2:2" x14ac:dyDescent="0.3">
      <c r="B440" t="s">
        <v>565</v>
      </c>
    </row>
    <row r="442" spans="2:2" x14ac:dyDescent="0.3">
      <c r="B442" t="s">
        <v>566</v>
      </c>
    </row>
    <row r="444" spans="2:2" x14ac:dyDescent="0.3">
      <c r="B444" t="s">
        <v>7</v>
      </c>
    </row>
    <row r="446" spans="2:2" x14ac:dyDescent="0.3">
      <c r="B446" t="s">
        <v>567</v>
      </c>
    </row>
    <row r="448" spans="2:2" x14ac:dyDescent="0.3">
      <c r="B448" t="s">
        <v>568</v>
      </c>
    </row>
    <row r="450" spans="2:2" x14ac:dyDescent="0.3">
      <c r="B450" t="s">
        <v>307</v>
      </c>
    </row>
    <row r="451" spans="2:2" x14ac:dyDescent="0.3">
      <c r="B451" t="s">
        <v>569</v>
      </c>
    </row>
    <row r="452" spans="2:2" x14ac:dyDescent="0.3">
      <c r="B452" t="s">
        <v>570</v>
      </c>
    </row>
    <row r="453" spans="2:2" x14ac:dyDescent="0.3">
      <c r="B453" t="s">
        <v>571</v>
      </c>
    </row>
    <row r="454" spans="2:2" x14ac:dyDescent="0.3">
      <c r="B454" t="s">
        <v>572</v>
      </c>
    </row>
    <row r="455" spans="2:2" x14ac:dyDescent="0.3">
      <c r="B455" t="s">
        <v>573</v>
      </c>
    </row>
    <row r="456" spans="2:2" x14ac:dyDescent="0.3">
      <c r="B456" t="s">
        <v>574</v>
      </c>
    </row>
    <row r="457" spans="2:2" x14ac:dyDescent="0.3">
      <c r="B457" t="s">
        <v>575</v>
      </c>
    </row>
    <row r="458" spans="2:2" x14ac:dyDescent="0.3">
      <c r="B458" t="s">
        <v>576</v>
      </c>
    </row>
    <row r="459" spans="2:2" x14ac:dyDescent="0.3">
      <c r="B459" t="s">
        <v>577</v>
      </c>
    </row>
    <row r="460" spans="2:2" x14ac:dyDescent="0.3">
      <c r="B460" t="s">
        <v>578</v>
      </c>
    </row>
    <row r="461" spans="2:2" x14ac:dyDescent="0.3">
      <c r="B461" t="s">
        <v>579</v>
      </c>
    </row>
    <row r="462" spans="2:2" x14ac:dyDescent="0.3">
      <c r="B462" t="s">
        <v>580</v>
      </c>
    </row>
    <row r="463" spans="2:2" x14ac:dyDescent="0.3">
      <c r="B463" t="s">
        <v>581</v>
      </c>
    </row>
    <row r="464" spans="2:2" x14ac:dyDescent="0.3">
      <c r="B464" t="s">
        <v>582</v>
      </c>
    </row>
    <row r="465" spans="2:2" x14ac:dyDescent="0.3">
      <c r="B465" t="s">
        <v>583</v>
      </c>
    </row>
    <row r="466" spans="2:2" x14ac:dyDescent="0.3">
      <c r="B466" t="s">
        <v>584</v>
      </c>
    </row>
    <row r="467" spans="2:2" x14ac:dyDescent="0.3">
      <c r="B467" t="s">
        <v>585</v>
      </c>
    </row>
    <row r="468" spans="2:2" x14ac:dyDescent="0.3">
      <c r="B468" t="s">
        <v>586</v>
      </c>
    </row>
    <row r="469" spans="2:2" x14ac:dyDescent="0.3">
      <c r="B469" t="s">
        <v>587</v>
      </c>
    </row>
    <row r="470" spans="2:2" x14ac:dyDescent="0.3">
      <c r="B470" t="s">
        <v>588</v>
      </c>
    </row>
    <row r="471" spans="2:2" x14ac:dyDescent="0.3">
      <c r="B471" t="s">
        <v>589</v>
      </c>
    </row>
    <row r="472" spans="2:2" x14ac:dyDescent="0.3">
      <c r="B472" t="s">
        <v>590</v>
      </c>
    </row>
    <row r="473" spans="2:2" x14ac:dyDescent="0.3">
      <c r="B473" t="s">
        <v>591</v>
      </c>
    </row>
    <row r="474" spans="2:2" x14ac:dyDescent="0.3">
      <c r="B474" t="s">
        <v>592</v>
      </c>
    </row>
    <row r="475" spans="2:2" x14ac:dyDescent="0.3">
      <c r="B475" t="s">
        <v>593</v>
      </c>
    </row>
    <row r="476" spans="2:2" x14ac:dyDescent="0.3">
      <c r="B476" t="s">
        <v>594</v>
      </c>
    </row>
    <row r="477" spans="2:2" x14ac:dyDescent="0.3">
      <c r="B477" t="s">
        <v>595</v>
      </c>
    </row>
    <row r="478" spans="2:2" x14ac:dyDescent="0.3">
      <c r="B478" t="s">
        <v>596</v>
      </c>
    </row>
    <row r="479" spans="2:2" x14ac:dyDescent="0.3">
      <c r="B479" t="s">
        <v>597</v>
      </c>
    </row>
    <row r="480" spans="2:2" x14ac:dyDescent="0.3">
      <c r="B480" t="s">
        <v>598</v>
      </c>
    </row>
    <row r="481" spans="2:2" x14ac:dyDescent="0.3">
      <c r="B481" t="s">
        <v>599</v>
      </c>
    </row>
    <row r="482" spans="2:2" x14ac:dyDescent="0.3">
      <c r="B482" t="s">
        <v>600</v>
      </c>
    </row>
    <row r="483" spans="2:2" x14ac:dyDescent="0.3">
      <c r="B483" t="s">
        <v>601</v>
      </c>
    </row>
    <row r="484" spans="2:2" x14ac:dyDescent="0.3">
      <c r="B484" t="s">
        <v>602</v>
      </c>
    </row>
    <row r="485" spans="2:2" x14ac:dyDescent="0.3">
      <c r="B485" t="s">
        <v>603</v>
      </c>
    </row>
    <row r="486" spans="2:2" x14ac:dyDescent="0.3">
      <c r="B486" t="s">
        <v>604</v>
      </c>
    </row>
    <row r="487" spans="2:2" x14ac:dyDescent="0.3">
      <c r="B487" t="s">
        <v>605</v>
      </c>
    </row>
    <row r="489" spans="2:2" x14ac:dyDescent="0.3">
      <c r="B489" t="s">
        <v>606</v>
      </c>
    </row>
    <row r="490" spans="2:2" x14ac:dyDescent="0.3">
      <c r="B490" t="s">
        <v>607</v>
      </c>
    </row>
    <row r="491" spans="2:2" x14ac:dyDescent="0.3">
      <c r="B491" t="s">
        <v>608</v>
      </c>
    </row>
    <row r="492" spans="2:2" x14ac:dyDescent="0.3">
      <c r="B492" t="s">
        <v>609</v>
      </c>
    </row>
    <row r="493" spans="2:2" x14ac:dyDescent="0.3">
      <c r="B493" t="s">
        <v>610</v>
      </c>
    </row>
    <row r="494" spans="2:2" x14ac:dyDescent="0.3">
      <c r="B494" t="s">
        <v>611</v>
      </c>
    </row>
    <row r="495" spans="2:2" x14ac:dyDescent="0.3">
      <c r="B495" t="s">
        <v>612</v>
      </c>
    </row>
    <row r="497" spans="2:2" x14ac:dyDescent="0.3">
      <c r="B497" t="s">
        <v>613</v>
      </c>
    </row>
    <row r="499" spans="2:2" x14ac:dyDescent="0.3">
      <c r="B499" t="s">
        <v>614</v>
      </c>
    </row>
    <row r="500" spans="2:2" x14ac:dyDescent="0.3">
      <c r="B500" t="s">
        <v>615</v>
      </c>
    </row>
    <row r="501" spans="2:2" x14ac:dyDescent="0.3">
      <c r="B501" t="s">
        <v>616</v>
      </c>
    </row>
    <row r="502" spans="2:2" x14ac:dyDescent="0.3">
      <c r="B502" t="s">
        <v>617</v>
      </c>
    </row>
    <row r="503" spans="2:2" x14ac:dyDescent="0.3">
      <c r="B503" t="s">
        <v>618</v>
      </c>
    </row>
    <row r="505" spans="2:2" x14ac:dyDescent="0.3">
      <c r="B505" t="s">
        <v>619</v>
      </c>
    </row>
    <row r="506" spans="2:2" x14ac:dyDescent="0.3">
      <c r="B506" t="s">
        <v>620</v>
      </c>
    </row>
    <row r="507" spans="2:2" x14ac:dyDescent="0.3">
      <c r="B507" t="s">
        <v>621</v>
      </c>
    </row>
    <row r="508" spans="2:2" x14ac:dyDescent="0.3">
      <c r="B508" t="s">
        <v>622</v>
      </c>
    </row>
    <row r="509" spans="2:2" x14ac:dyDescent="0.3">
      <c r="B509" t="s">
        <v>623</v>
      </c>
    </row>
    <row r="510" spans="2:2" x14ac:dyDescent="0.3">
      <c r="B510" t="s">
        <v>624</v>
      </c>
    </row>
    <row r="511" spans="2:2" x14ac:dyDescent="0.3">
      <c r="B511" t="s">
        <v>625</v>
      </c>
    </row>
    <row r="512" spans="2:2" x14ac:dyDescent="0.3">
      <c r="B512" t="s">
        <v>626</v>
      </c>
    </row>
  </sheetData>
  <hyperlinks>
    <hyperlink ref="B1" r:id="rId1"/>
    <hyperlink ref="B2"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158"/>
  <sheetViews>
    <sheetView workbookViewId="0">
      <selection activeCell="K77" sqref="K77:P98"/>
    </sheetView>
  </sheetViews>
  <sheetFormatPr defaultRowHeight="14.4" x14ac:dyDescent="0.3"/>
  <cols>
    <col min="8" max="8" width="16.33203125" customWidth="1"/>
  </cols>
  <sheetData>
    <row r="1" spans="2:6" x14ac:dyDescent="0.3">
      <c r="B1" t="s">
        <v>856</v>
      </c>
    </row>
    <row r="3" spans="2:6" x14ac:dyDescent="0.3">
      <c r="B3" t="s">
        <v>627</v>
      </c>
    </row>
    <row r="5" spans="2:6" x14ac:dyDescent="0.3">
      <c r="B5" t="s">
        <v>4</v>
      </c>
    </row>
    <row r="7" spans="2:6" x14ac:dyDescent="0.3">
      <c r="B7" t="s">
        <v>833</v>
      </c>
    </row>
    <row r="9" spans="2:6" x14ac:dyDescent="0.3">
      <c r="B9" t="s">
        <v>628</v>
      </c>
    </row>
    <row r="11" spans="2:6" x14ac:dyDescent="0.3">
      <c r="B11" t="s">
        <v>628</v>
      </c>
    </row>
    <row r="12" spans="2:6" x14ac:dyDescent="0.3">
      <c r="C12" t="s">
        <v>13</v>
      </c>
      <c r="E12" t="s">
        <v>14</v>
      </c>
    </row>
    <row r="13" spans="2:6" x14ac:dyDescent="0.3">
      <c r="C13" t="s">
        <v>578</v>
      </c>
      <c r="D13" t="s">
        <v>17</v>
      </c>
      <c r="E13" t="s">
        <v>578</v>
      </c>
      <c r="F13" t="s">
        <v>17</v>
      </c>
    </row>
    <row r="14" spans="2:6" x14ac:dyDescent="0.3">
      <c r="C14" t="s">
        <v>629</v>
      </c>
      <c r="D14" t="s">
        <v>630</v>
      </c>
      <c r="E14" t="s">
        <v>631</v>
      </c>
      <c r="F14" t="s">
        <v>632</v>
      </c>
    </row>
    <row r="15" spans="2:6" x14ac:dyDescent="0.3">
      <c r="B15" t="s">
        <v>633</v>
      </c>
    </row>
    <row r="16" spans="2:6" x14ac:dyDescent="0.3">
      <c r="B16" t="s">
        <v>22</v>
      </c>
      <c r="C16" t="s">
        <v>634</v>
      </c>
      <c r="D16" t="s">
        <v>635</v>
      </c>
      <c r="E16" t="s">
        <v>636</v>
      </c>
      <c r="F16" t="s">
        <v>637</v>
      </c>
    </row>
    <row r="17" spans="2:6" x14ac:dyDescent="0.3">
      <c r="B17" t="s">
        <v>638</v>
      </c>
      <c r="C17" t="s">
        <v>639</v>
      </c>
      <c r="D17" t="s">
        <v>640</v>
      </c>
      <c r="E17" t="s">
        <v>641</v>
      </c>
      <c r="F17" t="s">
        <v>642</v>
      </c>
    </row>
    <row r="18" spans="2:6" x14ac:dyDescent="0.3">
      <c r="B18" t="s">
        <v>834</v>
      </c>
    </row>
    <row r="19" spans="2:6" x14ac:dyDescent="0.3">
      <c r="B19" t="s">
        <v>22</v>
      </c>
      <c r="C19" t="s">
        <v>643</v>
      </c>
      <c r="D19" t="s">
        <v>644</v>
      </c>
      <c r="E19" t="s">
        <v>645</v>
      </c>
      <c r="F19" t="s">
        <v>646</v>
      </c>
    </row>
    <row r="20" spans="2:6" x14ac:dyDescent="0.3">
      <c r="B20" t="s">
        <v>638</v>
      </c>
      <c r="C20" t="s">
        <v>647</v>
      </c>
      <c r="D20" t="s">
        <v>648</v>
      </c>
      <c r="E20" t="s">
        <v>649</v>
      </c>
      <c r="F20" t="s">
        <v>650</v>
      </c>
    </row>
    <row r="21" spans="2:6" x14ac:dyDescent="0.3">
      <c r="B21" t="s">
        <v>21</v>
      </c>
    </row>
    <row r="22" spans="2:6" x14ac:dyDescent="0.3">
      <c r="B22" t="s">
        <v>22</v>
      </c>
      <c r="C22" t="s">
        <v>651</v>
      </c>
      <c r="D22" t="s">
        <v>652</v>
      </c>
      <c r="E22" t="s">
        <v>653</v>
      </c>
      <c r="F22" t="s">
        <v>654</v>
      </c>
    </row>
    <row r="23" spans="2:6" x14ac:dyDescent="0.3">
      <c r="B23" t="s">
        <v>36</v>
      </c>
      <c r="C23" t="s">
        <v>655</v>
      </c>
      <c r="D23" t="s">
        <v>656</v>
      </c>
      <c r="E23" t="s">
        <v>657</v>
      </c>
      <c r="F23" t="s">
        <v>658</v>
      </c>
    </row>
    <row r="24" spans="2:6" x14ac:dyDescent="0.3">
      <c r="B24" t="s">
        <v>835</v>
      </c>
    </row>
    <row r="25" spans="2:6" x14ac:dyDescent="0.3">
      <c r="B25" t="s">
        <v>22</v>
      </c>
      <c r="C25" t="s">
        <v>659</v>
      </c>
      <c r="D25" t="s">
        <v>660</v>
      </c>
      <c r="E25" t="s">
        <v>661</v>
      </c>
      <c r="F25" t="s">
        <v>662</v>
      </c>
    </row>
    <row r="26" spans="2:6" x14ac:dyDescent="0.3">
      <c r="B26" t="s">
        <v>638</v>
      </c>
      <c r="C26" t="s">
        <v>663</v>
      </c>
      <c r="D26" t="s">
        <v>664</v>
      </c>
      <c r="E26" t="s">
        <v>665</v>
      </c>
      <c r="F26" t="s">
        <v>666</v>
      </c>
    </row>
    <row r="27" spans="2:6" x14ac:dyDescent="0.3">
      <c r="B27" t="s">
        <v>836</v>
      </c>
    </row>
    <row r="28" spans="2:6" x14ac:dyDescent="0.3">
      <c r="B28" t="s">
        <v>22</v>
      </c>
      <c r="C28" t="s">
        <v>667</v>
      </c>
      <c r="D28" t="s">
        <v>668</v>
      </c>
      <c r="E28" t="s">
        <v>669</v>
      </c>
      <c r="F28" t="s">
        <v>670</v>
      </c>
    </row>
    <row r="29" spans="2:6" x14ac:dyDescent="0.3">
      <c r="B29" t="s">
        <v>638</v>
      </c>
      <c r="C29" t="s">
        <v>671</v>
      </c>
      <c r="D29" t="s">
        <v>672</v>
      </c>
      <c r="E29" t="s">
        <v>673</v>
      </c>
      <c r="F29" t="s">
        <v>674</v>
      </c>
    </row>
    <row r="30" spans="2:6" x14ac:dyDescent="0.3">
      <c r="B30" t="s">
        <v>837</v>
      </c>
    </row>
    <row r="32" spans="2:6" x14ac:dyDescent="0.3">
      <c r="B32" t="s">
        <v>838</v>
      </c>
    </row>
    <row r="34" spans="2:6" x14ac:dyDescent="0.3">
      <c r="B34" t="s">
        <v>839</v>
      </c>
    </row>
    <row r="36" spans="2:6" x14ac:dyDescent="0.3">
      <c r="B36" t="s">
        <v>675</v>
      </c>
    </row>
    <row r="38" spans="2:6" x14ac:dyDescent="0.3">
      <c r="B38" t="s">
        <v>676</v>
      </c>
    </row>
    <row r="40" spans="2:6" x14ac:dyDescent="0.3">
      <c r="B40" t="s">
        <v>676</v>
      </c>
    </row>
    <row r="41" spans="2:6" x14ac:dyDescent="0.3">
      <c r="C41" t="s">
        <v>13</v>
      </c>
      <c r="E41" t="s">
        <v>14</v>
      </c>
    </row>
    <row r="42" spans="2:6" x14ac:dyDescent="0.3">
      <c r="C42" t="s">
        <v>578</v>
      </c>
      <c r="D42" t="s">
        <v>17</v>
      </c>
      <c r="E42" t="s">
        <v>578</v>
      </c>
      <c r="F42" t="s">
        <v>17</v>
      </c>
    </row>
    <row r="43" spans="2:6" x14ac:dyDescent="0.3">
      <c r="C43" t="s">
        <v>677</v>
      </c>
      <c r="D43" t="s">
        <v>678</v>
      </c>
      <c r="E43" t="s">
        <v>679</v>
      </c>
      <c r="F43" t="s">
        <v>680</v>
      </c>
    </row>
    <row r="44" spans="2:6" x14ac:dyDescent="0.3">
      <c r="B44" t="s">
        <v>633</v>
      </c>
    </row>
    <row r="45" spans="2:6" x14ac:dyDescent="0.3">
      <c r="B45" t="s">
        <v>22</v>
      </c>
      <c r="C45" t="s">
        <v>681</v>
      </c>
      <c r="D45" t="s">
        <v>682</v>
      </c>
      <c r="E45" t="s">
        <v>683</v>
      </c>
      <c r="F45" t="s">
        <v>684</v>
      </c>
    </row>
    <row r="46" spans="2:6" x14ac:dyDescent="0.3">
      <c r="B46" t="s">
        <v>638</v>
      </c>
      <c r="C46" t="s">
        <v>685</v>
      </c>
      <c r="D46" t="s">
        <v>686</v>
      </c>
      <c r="E46" t="s">
        <v>687</v>
      </c>
      <c r="F46" t="s">
        <v>688</v>
      </c>
    </row>
    <row r="47" spans="2:6" x14ac:dyDescent="0.3">
      <c r="B47" t="s">
        <v>834</v>
      </c>
    </row>
    <row r="48" spans="2:6" x14ac:dyDescent="0.3">
      <c r="B48" t="s">
        <v>22</v>
      </c>
      <c r="C48" t="s">
        <v>689</v>
      </c>
      <c r="D48" t="s">
        <v>690</v>
      </c>
      <c r="E48" t="s">
        <v>691</v>
      </c>
      <c r="F48" t="s">
        <v>692</v>
      </c>
    </row>
    <row r="49" spans="2:6" x14ac:dyDescent="0.3">
      <c r="B49" t="s">
        <v>638</v>
      </c>
      <c r="C49" t="s">
        <v>693</v>
      </c>
      <c r="D49" t="s">
        <v>694</v>
      </c>
      <c r="E49" t="s">
        <v>695</v>
      </c>
      <c r="F49" t="s">
        <v>696</v>
      </c>
    </row>
    <row r="50" spans="2:6" x14ac:dyDescent="0.3">
      <c r="B50" t="s">
        <v>21</v>
      </c>
    </row>
    <row r="51" spans="2:6" x14ac:dyDescent="0.3">
      <c r="B51" t="s">
        <v>22</v>
      </c>
      <c r="C51" t="s">
        <v>697</v>
      </c>
      <c r="D51" t="s">
        <v>698</v>
      </c>
      <c r="E51" t="s">
        <v>699</v>
      </c>
      <c r="F51" t="s">
        <v>700</v>
      </c>
    </row>
    <row r="52" spans="2:6" x14ac:dyDescent="0.3">
      <c r="B52" t="s">
        <v>638</v>
      </c>
      <c r="C52" t="s">
        <v>701</v>
      </c>
      <c r="D52" t="s">
        <v>702</v>
      </c>
      <c r="E52" t="s">
        <v>703</v>
      </c>
      <c r="F52" t="s">
        <v>664</v>
      </c>
    </row>
    <row r="53" spans="2:6" x14ac:dyDescent="0.3">
      <c r="B53" t="s">
        <v>835</v>
      </c>
    </row>
    <row r="54" spans="2:6" x14ac:dyDescent="0.3">
      <c r="B54" t="s">
        <v>22</v>
      </c>
      <c r="C54" t="s">
        <v>704</v>
      </c>
      <c r="D54" t="s">
        <v>698</v>
      </c>
      <c r="E54" t="s">
        <v>705</v>
      </c>
      <c r="F54" t="s">
        <v>700</v>
      </c>
    </row>
    <row r="55" spans="2:6" x14ac:dyDescent="0.3">
      <c r="B55" t="s">
        <v>638</v>
      </c>
      <c r="C55" t="s">
        <v>706</v>
      </c>
      <c r="D55" t="s">
        <v>664</v>
      </c>
      <c r="E55" t="s">
        <v>707</v>
      </c>
      <c r="F55" t="s">
        <v>708</v>
      </c>
    </row>
    <row r="56" spans="2:6" x14ac:dyDescent="0.3">
      <c r="B56" t="s">
        <v>836</v>
      </c>
    </row>
    <row r="57" spans="2:6" x14ac:dyDescent="0.3">
      <c r="B57" t="s">
        <v>22</v>
      </c>
      <c r="C57" t="s">
        <v>709</v>
      </c>
      <c r="D57" t="s">
        <v>710</v>
      </c>
      <c r="E57" t="s">
        <v>711</v>
      </c>
      <c r="F57" t="s">
        <v>712</v>
      </c>
    </row>
    <row r="58" spans="2:6" x14ac:dyDescent="0.3">
      <c r="B58" t="s">
        <v>638</v>
      </c>
      <c r="C58" t="s">
        <v>713</v>
      </c>
      <c r="D58" t="s">
        <v>714</v>
      </c>
      <c r="E58" t="s">
        <v>715</v>
      </c>
      <c r="F58" t="s">
        <v>701</v>
      </c>
    </row>
    <row r="59" spans="2:6" x14ac:dyDescent="0.3">
      <c r="B59" t="s">
        <v>837</v>
      </c>
    </row>
    <row r="61" spans="2:6" x14ac:dyDescent="0.3">
      <c r="B61" t="s">
        <v>838</v>
      </c>
    </row>
    <row r="63" spans="2:6" x14ac:dyDescent="0.3">
      <c r="B63" t="s">
        <v>840</v>
      </c>
    </row>
    <row r="65" spans="2:16" x14ac:dyDescent="0.3">
      <c r="B65" t="s">
        <v>675</v>
      </c>
    </row>
    <row r="67" spans="2:16" x14ac:dyDescent="0.3">
      <c r="B67" t="s">
        <v>5</v>
      </c>
    </row>
    <row r="69" spans="2:16" x14ac:dyDescent="0.3">
      <c r="B69" t="s">
        <v>841</v>
      </c>
    </row>
    <row r="71" spans="2:16" x14ac:dyDescent="0.3">
      <c r="B71" t="s">
        <v>716</v>
      </c>
    </row>
    <row r="73" spans="2:16" x14ac:dyDescent="0.3">
      <c r="B73" t="s">
        <v>716</v>
      </c>
      <c r="H73" t="s">
        <v>716</v>
      </c>
    </row>
    <row r="74" spans="2:16" x14ac:dyDescent="0.3">
      <c r="C74" t="s">
        <v>13</v>
      </c>
      <c r="E74" t="s">
        <v>14</v>
      </c>
      <c r="I74" t="s">
        <v>578</v>
      </c>
      <c r="J74" t="s">
        <v>578</v>
      </c>
    </row>
    <row r="75" spans="2:16" x14ac:dyDescent="0.3">
      <c r="C75" t="s">
        <v>578</v>
      </c>
      <c r="D75" t="s">
        <v>17</v>
      </c>
      <c r="E75" t="s">
        <v>578</v>
      </c>
      <c r="F75" t="s">
        <v>17</v>
      </c>
      <c r="I75" t="s">
        <v>17</v>
      </c>
      <c r="J75" t="s">
        <v>17</v>
      </c>
      <c r="L75" t="s">
        <v>17</v>
      </c>
      <c r="M75" t="s">
        <v>17</v>
      </c>
    </row>
    <row r="76" spans="2:16" x14ac:dyDescent="0.3">
      <c r="C76" t="s">
        <v>717</v>
      </c>
      <c r="D76" t="s">
        <v>718</v>
      </c>
      <c r="E76" t="s">
        <v>719</v>
      </c>
      <c r="F76" t="s">
        <v>720</v>
      </c>
      <c r="I76" t="s">
        <v>718</v>
      </c>
      <c r="J76" t="s">
        <v>720</v>
      </c>
      <c r="L76">
        <v>11406</v>
      </c>
      <c r="M76">
        <v>10320</v>
      </c>
    </row>
    <row r="77" spans="2:16" x14ac:dyDescent="0.3">
      <c r="B77" t="s">
        <v>721</v>
      </c>
      <c r="H77" t="s">
        <v>721</v>
      </c>
      <c r="I77" t="s">
        <v>723</v>
      </c>
      <c r="J77" t="s">
        <v>725</v>
      </c>
      <c r="K77" t="s">
        <v>938</v>
      </c>
      <c r="L77">
        <v>5063</v>
      </c>
      <c r="M77">
        <v>3967</v>
      </c>
      <c r="O77" s="2">
        <f>L77/11406</f>
        <v>0.44388918113273718</v>
      </c>
      <c r="P77" s="2">
        <f>M77/10320</f>
        <v>0.38439922480620153</v>
      </c>
    </row>
    <row r="78" spans="2:16" x14ac:dyDescent="0.3">
      <c r="B78" t="s">
        <v>22</v>
      </c>
      <c r="C78" t="s">
        <v>722</v>
      </c>
      <c r="D78" t="s">
        <v>723</v>
      </c>
      <c r="E78" t="s">
        <v>724</v>
      </c>
      <c r="F78" t="s">
        <v>725</v>
      </c>
      <c r="H78" t="s">
        <v>842</v>
      </c>
      <c r="I78" t="s">
        <v>640</v>
      </c>
      <c r="J78" t="s">
        <v>733</v>
      </c>
      <c r="K78" t="s">
        <v>939</v>
      </c>
      <c r="L78">
        <v>39</v>
      </c>
      <c r="M78">
        <v>38</v>
      </c>
      <c r="O78" s="2">
        <f t="shared" ref="O78:O84" si="0">L78/11406</f>
        <v>3.4192530247238295E-3</v>
      </c>
      <c r="P78" s="2">
        <f t="shared" ref="P78:P84" si="1">M78/10320</f>
        <v>3.6821705426356589E-3</v>
      </c>
    </row>
    <row r="79" spans="2:16" x14ac:dyDescent="0.3">
      <c r="B79" t="s">
        <v>638</v>
      </c>
      <c r="C79" t="s">
        <v>726</v>
      </c>
      <c r="D79" t="s">
        <v>727</v>
      </c>
      <c r="E79" t="s">
        <v>728</v>
      </c>
      <c r="F79" t="s">
        <v>729</v>
      </c>
      <c r="H79" t="s">
        <v>843</v>
      </c>
      <c r="I79" t="s">
        <v>737</v>
      </c>
      <c r="J79" t="s">
        <v>739</v>
      </c>
      <c r="K79" t="s">
        <v>940</v>
      </c>
      <c r="L79">
        <v>3303</v>
      </c>
      <c r="M79">
        <v>2617</v>
      </c>
      <c r="O79" s="2">
        <f t="shared" si="0"/>
        <v>0.28958442924776434</v>
      </c>
      <c r="P79" s="2">
        <f t="shared" si="1"/>
        <v>0.25358527131782943</v>
      </c>
    </row>
    <row r="80" spans="2:16" x14ac:dyDescent="0.3">
      <c r="B80" t="s">
        <v>40</v>
      </c>
      <c r="C80" t="s">
        <v>730</v>
      </c>
      <c r="D80" t="s">
        <v>666</v>
      </c>
      <c r="E80" t="s">
        <v>674</v>
      </c>
      <c r="F80" t="s">
        <v>702</v>
      </c>
      <c r="H80" t="s">
        <v>844</v>
      </c>
      <c r="I80" t="s">
        <v>745</v>
      </c>
      <c r="J80" t="s">
        <v>747</v>
      </c>
      <c r="K80" t="s">
        <v>941</v>
      </c>
      <c r="L80">
        <v>3282</v>
      </c>
      <c r="M80">
        <v>2530</v>
      </c>
      <c r="O80" s="2">
        <f t="shared" si="0"/>
        <v>0.28774329300368229</v>
      </c>
      <c r="P80" s="2">
        <f t="shared" si="1"/>
        <v>0.24515503875968991</v>
      </c>
    </row>
    <row r="81" spans="2:16" x14ac:dyDescent="0.3">
      <c r="B81" t="s">
        <v>842</v>
      </c>
      <c r="H81" t="s">
        <v>845</v>
      </c>
      <c r="I81" t="s">
        <v>753</v>
      </c>
      <c r="J81" t="s">
        <v>755</v>
      </c>
      <c r="K81" t="s">
        <v>942</v>
      </c>
      <c r="L81">
        <v>1626</v>
      </c>
      <c r="M81">
        <v>1312</v>
      </c>
      <c r="O81" s="2">
        <f t="shared" si="0"/>
        <v>0.14255654918463967</v>
      </c>
      <c r="P81" s="2">
        <f t="shared" si="1"/>
        <v>0.12713178294573643</v>
      </c>
    </row>
    <row r="82" spans="2:16" x14ac:dyDescent="0.3">
      <c r="B82" t="s">
        <v>22</v>
      </c>
      <c r="C82" t="s">
        <v>731</v>
      </c>
      <c r="D82" t="s">
        <v>640</v>
      </c>
      <c r="E82" t="s">
        <v>732</v>
      </c>
      <c r="F82" t="s">
        <v>733</v>
      </c>
      <c r="H82" t="s">
        <v>846</v>
      </c>
      <c r="I82" t="s">
        <v>761</v>
      </c>
      <c r="J82" t="s">
        <v>763</v>
      </c>
      <c r="K82" t="s">
        <v>943</v>
      </c>
      <c r="L82">
        <v>1327</v>
      </c>
      <c r="M82">
        <v>1087</v>
      </c>
      <c r="O82" s="2">
        <f t="shared" si="0"/>
        <v>0.1163422759950903</v>
      </c>
      <c r="P82" s="2">
        <f t="shared" si="1"/>
        <v>0.10532945736434109</v>
      </c>
    </row>
    <row r="83" spans="2:16" x14ac:dyDescent="0.3">
      <c r="B83" t="s">
        <v>638</v>
      </c>
      <c r="C83" t="s">
        <v>674</v>
      </c>
      <c r="D83" t="s">
        <v>734</v>
      </c>
      <c r="E83" t="s">
        <v>735</v>
      </c>
      <c r="F83" t="s">
        <v>734</v>
      </c>
      <c r="H83" t="s">
        <v>847</v>
      </c>
      <c r="I83" t="s">
        <v>768</v>
      </c>
      <c r="J83" t="s">
        <v>770</v>
      </c>
      <c r="K83" t="s">
        <v>945</v>
      </c>
      <c r="L83">
        <v>908</v>
      </c>
      <c r="M83">
        <v>754</v>
      </c>
      <c r="O83" s="2">
        <f t="shared" si="0"/>
        <v>7.9607224267929155E-2</v>
      </c>
      <c r="P83" s="2">
        <f t="shared" si="1"/>
        <v>7.3062015503875963E-2</v>
      </c>
    </row>
    <row r="84" spans="2:16" x14ac:dyDescent="0.3">
      <c r="B84" t="s">
        <v>40</v>
      </c>
      <c r="C84" t="s">
        <v>666</v>
      </c>
      <c r="D84" t="s">
        <v>666</v>
      </c>
      <c r="E84" t="s">
        <v>674</v>
      </c>
      <c r="F84" t="s">
        <v>734</v>
      </c>
      <c r="H84" t="s">
        <v>848</v>
      </c>
      <c r="I84" t="s">
        <v>774</v>
      </c>
      <c r="J84" t="s">
        <v>776</v>
      </c>
      <c r="K84" t="s">
        <v>944</v>
      </c>
      <c r="L84">
        <v>730</v>
      </c>
      <c r="M84">
        <v>611</v>
      </c>
      <c r="O84" s="2">
        <f t="shared" si="0"/>
        <v>6.4001402770471685E-2</v>
      </c>
      <c r="P84" s="2">
        <f t="shared" si="1"/>
        <v>5.9205426356589146E-2</v>
      </c>
    </row>
    <row r="85" spans="2:16" x14ac:dyDescent="0.3">
      <c r="B85" t="s">
        <v>843</v>
      </c>
    </row>
    <row r="86" spans="2:16" x14ac:dyDescent="0.3">
      <c r="B86" t="s">
        <v>22</v>
      </c>
      <c r="C86" t="s">
        <v>736</v>
      </c>
      <c r="D86" t="s">
        <v>737</v>
      </c>
      <c r="E86" t="s">
        <v>738</v>
      </c>
      <c r="F86" t="s">
        <v>739</v>
      </c>
    </row>
    <row r="87" spans="2:16" x14ac:dyDescent="0.3">
      <c r="B87" t="s">
        <v>638</v>
      </c>
      <c r="C87" t="s">
        <v>740</v>
      </c>
      <c r="D87" t="s">
        <v>741</v>
      </c>
      <c r="E87" t="s">
        <v>742</v>
      </c>
      <c r="F87" t="s">
        <v>743</v>
      </c>
      <c r="H87" t="s">
        <v>780</v>
      </c>
    </row>
    <row r="88" spans="2:16" x14ac:dyDescent="0.3">
      <c r="B88" t="s">
        <v>844</v>
      </c>
    </row>
    <row r="89" spans="2:16" x14ac:dyDescent="0.3">
      <c r="B89" t="s">
        <v>22</v>
      </c>
      <c r="C89" t="s">
        <v>744</v>
      </c>
      <c r="D89" t="s">
        <v>745</v>
      </c>
      <c r="E89" t="s">
        <v>746</v>
      </c>
      <c r="F89" t="s">
        <v>747</v>
      </c>
      <c r="I89" t="s">
        <v>17</v>
      </c>
      <c r="J89" t="s">
        <v>17</v>
      </c>
      <c r="L89" t="s">
        <v>17</v>
      </c>
      <c r="M89" t="s">
        <v>17</v>
      </c>
    </row>
    <row r="90" spans="2:16" x14ac:dyDescent="0.3">
      <c r="B90" t="s">
        <v>638</v>
      </c>
      <c r="C90" t="s">
        <v>748</v>
      </c>
      <c r="D90" t="s">
        <v>749</v>
      </c>
      <c r="E90" t="s">
        <v>750</v>
      </c>
      <c r="F90" t="s">
        <v>751</v>
      </c>
      <c r="I90" t="s">
        <v>782</v>
      </c>
      <c r="J90" t="s">
        <v>680</v>
      </c>
      <c r="L90">
        <v>3748</v>
      </c>
      <c r="M90">
        <v>3549</v>
      </c>
    </row>
    <row r="91" spans="2:16" x14ac:dyDescent="0.3">
      <c r="B91" t="s">
        <v>40</v>
      </c>
      <c r="C91" t="s">
        <v>734</v>
      </c>
      <c r="D91" t="s">
        <v>39</v>
      </c>
      <c r="E91" t="s">
        <v>39</v>
      </c>
      <c r="F91" t="s">
        <v>39</v>
      </c>
      <c r="H91" t="s">
        <v>721</v>
      </c>
      <c r="I91" t="s">
        <v>785</v>
      </c>
      <c r="J91" t="s">
        <v>787</v>
      </c>
      <c r="K91" t="s">
        <v>938</v>
      </c>
      <c r="L91">
        <v>1335</v>
      </c>
      <c r="M91">
        <v>1102</v>
      </c>
      <c r="N91" t="s">
        <v>938</v>
      </c>
      <c r="O91" s="2">
        <f>L91/3748</f>
        <v>0.35618996798292424</v>
      </c>
      <c r="P91" s="2">
        <f>M91/3549</f>
        <v>0.31051000281769514</v>
      </c>
    </row>
    <row r="92" spans="2:16" x14ac:dyDescent="0.3">
      <c r="B92" t="s">
        <v>845</v>
      </c>
      <c r="H92" t="s">
        <v>842</v>
      </c>
      <c r="I92" t="s">
        <v>708</v>
      </c>
      <c r="J92" t="s">
        <v>794</v>
      </c>
      <c r="K92" t="s">
        <v>939</v>
      </c>
      <c r="L92">
        <v>7</v>
      </c>
      <c r="M92">
        <v>5</v>
      </c>
      <c r="N92" t="s">
        <v>939</v>
      </c>
      <c r="O92" s="2">
        <f t="shared" ref="O92:O98" si="2">L92/3748</f>
        <v>1.8676627534685165E-3</v>
      </c>
      <c r="P92" s="2">
        <f t="shared" ref="P92:P98" si="3">M92/3549</f>
        <v>1.4088475626937165E-3</v>
      </c>
    </row>
    <row r="93" spans="2:16" x14ac:dyDescent="0.3">
      <c r="B93" t="s">
        <v>22</v>
      </c>
      <c r="C93" t="s">
        <v>752</v>
      </c>
      <c r="D93" t="s">
        <v>753</v>
      </c>
      <c r="E93" t="s">
        <v>754</v>
      </c>
      <c r="F93" t="s">
        <v>755</v>
      </c>
      <c r="H93" t="s">
        <v>843</v>
      </c>
      <c r="I93" t="s">
        <v>797</v>
      </c>
      <c r="J93" t="s">
        <v>799</v>
      </c>
      <c r="K93" t="s">
        <v>940</v>
      </c>
      <c r="L93">
        <v>443</v>
      </c>
      <c r="M93">
        <v>635</v>
      </c>
      <c r="N93" t="s">
        <v>940</v>
      </c>
      <c r="O93" s="2">
        <f t="shared" si="2"/>
        <v>0.11819637139807898</v>
      </c>
      <c r="P93" s="2">
        <f t="shared" si="3"/>
        <v>0.17892364046210199</v>
      </c>
    </row>
    <row r="94" spans="2:16" x14ac:dyDescent="0.3">
      <c r="B94" t="s">
        <v>638</v>
      </c>
      <c r="C94" t="s">
        <v>756</v>
      </c>
      <c r="D94" t="s">
        <v>757</v>
      </c>
      <c r="E94" t="s">
        <v>758</v>
      </c>
      <c r="F94" t="s">
        <v>759</v>
      </c>
      <c r="H94" t="s">
        <v>844</v>
      </c>
      <c r="I94" t="s">
        <v>804</v>
      </c>
      <c r="J94" t="s">
        <v>806</v>
      </c>
      <c r="K94" t="s">
        <v>941</v>
      </c>
      <c r="L94">
        <v>851</v>
      </c>
      <c r="M94">
        <v>695</v>
      </c>
      <c r="N94" t="s">
        <v>941</v>
      </c>
      <c r="O94" s="2">
        <f t="shared" si="2"/>
        <v>0.22705442902881537</v>
      </c>
      <c r="P94" s="2">
        <f t="shared" si="3"/>
        <v>0.19582981121442661</v>
      </c>
    </row>
    <row r="95" spans="2:16" x14ac:dyDescent="0.3">
      <c r="B95" t="s">
        <v>846</v>
      </c>
      <c r="H95" t="s">
        <v>845</v>
      </c>
      <c r="I95" t="s">
        <v>797</v>
      </c>
      <c r="J95" t="s">
        <v>812</v>
      </c>
      <c r="K95" t="s">
        <v>942</v>
      </c>
      <c r="L95">
        <v>443</v>
      </c>
      <c r="M95">
        <v>385</v>
      </c>
      <c r="N95" t="s">
        <v>942</v>
      </c>
      <c r="O95" s="2">
        <f t="shared" si="2"/>
        <v>0.11819637139807898</v>
      </c>
      <c r="P95" s="2">
        <f t="shared" si="3"/>
        <v>0.10848126232741617</v>
      </c>
    </row>
    <row r="96" spans="2:16" x14ac:dyDescent="0.3">
      <c r="B96" t="s">
        <v>22</v>
      </c>
      <c r="C96" t="s">
        <v>760</v>
      </c>
      <c r="D96" t="s">
        <v>761</v>
      </c>
      <c r="E96" t="s">
        <v>762</v>
      </c>
      <c r="F96" t="s">
        <v>763</v>
      </c>
      <c r="H96" t="s">
        <v>846</v>
      </c>
      <c r="I96" t="s">
        <v>816</v>
      </c>
      <c r="J96" t="s">
        <v>818</v>
      </c>
      <c r="K96" t="s">
        <v>943</v>
      </c>
      <c r="L96">
        <v>456</v>
      </c>
      <c r="M96">
        <v>381</v>
      </c>
      <c r="N96" t="s">
        <v>943</v>
      </c>
      <c r="O96" s="2">
        <f t="shared" si="2"/>
        <v>0.12166488794023479</v>
      </c>
      <c r="P96" s="2">
        <f t="shared" si="3"/>
        <v>0.10735418427726121</v>
      </c>
    </row>
    <row r="97" spans="2:16" x14ac:dyDescent="0.3">
      <c r="B97" t="s">
        <v>638</v>
      </c>
      <c r="C97" t="s">
        <v>764</v>
      </c>
      <c r="D97" t="s">
        <v>765</v>
      </c>
      <c r="E97" t="s">
        <v>766</v>
      </c>
      <c r="F97" t="s">
        <v>671</v>
      </c>
      <c r="H97" t="s">
        <v>847</v>
      </c>
      <c r="I97" t="s">
        <v>704</v>
      </c>
      <c r="J97" t="s">
        <v>823</v>
      </c>
      <c r="K97" t="s">
        <v>945</v>
      </c>
      <c r="L97">
        <v>166</v>
      </c>
      <c r="M97">
        <v>129</v>
      </c>
      <c r="N97" t="s">
        <v>945</v>
      </c>
      <c r="O97" s="2">
        <f t="shared" si="2"/>
        <v>4.4290288153681967E-2</v>
      </c>
      <c r="P97" s="2">
        <f t="shared" si="3"/>
        <v>3.634826711749789E-2</v>
      </c>
    </row>
    <row r="98" spans="2:16" x14ac:dyDescent="0.3">
      <c r="B98" t="s">
        <v>40</v>
      </c>
      <c r="C98" t="s">
        <v>734</v>
      </c>
      <c r="D98" t="s">
        <v>39</v>
      </c>
      <c r="E98" t="s">
        <v>39</v>
      </c>
      <c r="F98" t="s">
        <v>39</v>
      </c>
      <c r="H98" t="s">
        <v>848</v>
      </c>
      <c r="I98" t="s">
        <v>826</v>
      </c>
      <c r="J98" t="s">
        <v>828</v>
      </c>
      <c r="K98" t="s">
        <v>944</v>
      </c>
      <c r="L98">
        <v>148</v>
      </c>
      <c r="M98">
        <v>144</v>
      </c>
      <c r="N98" t="s">
        <v>944</v>
      </c>
      <c r="O98" s="2">
        <f t="shared" si="2"/>
        <v>3.9487726787620067E-2</v>
      </c>
      <c r="P98" s="2">
        <f t="shared" si="3"/>
        <v>4.0574809805579037E-2</v>
      </c>
    </row>
    <row r="99" spans="2:16" x14ac:dyDescent="0.3">
      <c r="B99" t="s">
        <v>847</v>
      </c>
    </row>
    <row r="100" spans="2:16" x14ac:dyDescent="0.3">
      <c r="B100" t="s">
        <v>22</v>
      </c>
      <c r="C100" t="s">
        <v>767</v>
      </c>
      <c r="D100" t="s">
        <v>768</v>
      </c>
      <c r="E100" t="s">
        <v>769</v>
      </c>
      <c r="F100" t="s">
        <v>770</v>
      </c>
    </row>
    <row r="101" spans="2:16" x14ac:dyDescent="0.3">
      <c r="B101" t="s">
        <v>638</v>
      </c>
      <c r="C101" t="s">
        <v>771</v>
      </c>
      <c r="D101" t="s">
        <v>772</v>
      </c>
      <c r="E101" t="s">
        <v>772</v>
      </c>
      <c r="F101" t="s">
        <v>772</v>
      </c>
    </row>
    <row r="102" spans="2:16" x14ac:dyDescent="0.3">
      <c r="B102" t="s">
        <v>848</v>
      </c>
    </row>
    <row r="103" spans="2:16" x14ac:dyDescent="0.3">
      <c r="B103" t="s">
        <v>22</v>
      </c>
      <c r="C103" t="s">
        <v>773</v>
      </c>
      <c r="D103" t="s">
        <v>774</v>
      </c>
      <c r="E103" t="s">
        <v>775</v>
      </c>
      <c r="F103" t="s">
        <v>776</v>
      </c>
    </row>
    <row r="104" spans="2:16" x14ac:dyDescent="0.3">
      <c r="B104" t="s">
        <v>638</v>
      </c>
      <c r="C104" t="s">
        <v>777</v>
      </c>
      <c r="D104" t="s">
        <v>772</v>
      </c>
      <c r="E104" t="s">
        <v>778</v>
      </c>
      <c r="F104" t="s">
        <v>779</v>
      </c>
    </row>
    <row r="105" spans="2:16" x14ac:dyDescent="0.3">
      <c r="B105" t="s">
        <v>849</v>
      </c>
    </row>
    <row r="106" spans="2:16" x14ac:dyDescent="0.3">
      <c r="B106" t="s">
        <v>850</v>
      </c>
    </row>
    <row r="107" spans="2:16" x14ac:dyDescent="0.3">
      <c r="B107" t="s">
        <v>851</v>
      </c>
    </row>
    <row r="108" spans="2:16" x14ac:dyDescent="0.3">
      <c r="B108" t="s">
        <v>852</v>
      </c>
    </row>
    <row r="109" spans="2:16" x14ac:dyDescent="0.3">
      <c r="B109" t="s">
        <v>853</v>
      </c>
    </row>
    <row r="111" spans="2:16" x14ac:dyDescent="0.3">
      <c r="B111" t="s">
        <v>780</v>
      </c>
    </row>
    <row r="113" spans="2:6" x14ac:dyDescent="0.3">
      <c r="B113" t="s">
        <v>780</v>
      </c>
    </row>
    <row r="114" spans="2:6" x14ac:dyDescent="0.3">
      <c r="C114" t="s">
        <v>13</v>
      </c>
      <c r="E114" t="s">
        <v>14</v>
      </c>
    </row>
    <row r="115" spans="2:6" x14ac:dyDescent="0.3">
      <c r="C115" t="s">
        <v>578</v>
      </c>
      <c r="D115" t="s">
        <v>17</v>
      </c>
      <c r="E115" t="s">
        <v>578</v>
      </c>
      <c r="F115" t="s">
        <v>17</v>
      </c>
    </row>
    <row r="116" spans="2:6" x14ac:dyDescent="0.3">
      <c r="C116" t="s">
        <v>781</v>
      </c>
      <c r="D116" t="s">
        <v>782</v>
      </c>
      <c r="E116" t="s">
        <v>783</v>
      </c>
      <c r="F116" t="s">
        <v>680</v>
      </c>
    </row>
    <row r="117" spans="2:6" x14ac:dyDescent="0.3">
      <c r="B117" t="s">
        <v>721</v>
      </c>
    </row>
    <row r="118" spans="2:6" x14ac:dyDescent="0.3">
      <c r="B118" t="s">
        <v>22</v>
      </c>
      <c r="C118" t="s">
        <v>784</v>
      </c>
      <c r="D118" t="s">
        <v>785</v>
      </c>
      <c r="E118" t="s">
        <v>786</v>
      </c>
      <c r="F118" t="s">
        <v>787</v>
      </c>
    </row>
    <row r="119" spans="2:6" x14ac:dyDescent="0.3">
      <c r="B119" t="s">
        <v>638</v>
      </c>
      <c r="C119" t="s">
        <v>788</v>
      </c>
      <c r="D119" t="s">
        <v>789</v>
      </c>
      <c r="E119" t="s">
        <v>790</v>
      </c>
      <c r="F119" t="s">
        <v>791</v>
      </c>
    </row>
    <row r="120" spans="2:6" x14ac:dyDescent="0.3">
      <c r="B120" t="s">
        <v>40</v>
      </c>
      <c r="C120" t="s">
        <v>39</v>
      </c>
      <c r="D120" t="s">
        <v>39</v>
      </c>
      <c r="E120" t="s">
        <v>702</v>
      </c>
      <c r="F120" t="s">
        <v>734</v>
      </c>
    </row>
    <row r="121" spans="2:6" x14ac:dyDescent="0.3">
      <c r="B121" t="s">
        <v>842</v>
      </c>
    </row>
    <row r="122" spans="2:6" x14ac:dyDescent="0.3">
      <c r="B122" t="s">
        <v>22</v>
      </c>
      <c r="C122" t="s">
        <v>792</v>
      </c>
      <c r="D122" t="s">
        <v>708</v>
      </c>
      <c r="E122" t="s">
        <v>793</v>
      </c>
      <c r="F122" t="s">
        <v>794</v>
      </c>
    </row>
    <row r="123" spans="2:6" x14ac:dyDescent="0.3">
      <c r="B123" t="s">
        <v>638</v>
      </c>
      <c r="C123" t="s">
        <v>734</v>
      </c>
      <c r="D123" t="s">
        <v>734</v>
      </c>
      <c r="E123" t="s">
        <v>795</v>
      </c>
      <c r="F123" t="s">
        <v>39</v>
      </c>
    </row>
    <row r="124" spans="2:6" x14ac:dyDescent="0.3">
      <c r="B124" t="s">
        <v>40</v>
      </c>
      <c r="C124" t="s">
        <v>39</v>
      </c>
      <c r="D124" t="s">
        <v>702</v>
      </c>
      <c r="E124" t="s">
        <v>734</v>
      </c>
      <c r="F124" t="s">
        <v>734</v>
      </c>
    </row>
    <row r="125" spans="2:6" x14ac:dyDescent="0.3">
      <c r="B125" t="s">
        <v>843</v>
      </c>
    </row>
    <row r="126" spans="2:6" x14ac:dyDescent="0.3">
      <c r="B126" t="s">
        <v>22</v>
      </c>
      <c r="C126" t="s">
        <v>796</v>
      </c>
      <c r="D126" t="s">
        <v>797</v>
      </c>
      <c r="E126" t="s">
        <v>798</v>
      </c>
      <c r="F126" t="s">
        <v>799</v>
      </c>
    </row>
    <row r="127" spans="2:6" x14ac:dyDescent="0.3">
      <c r="B127" t="s">
        <v>638</v>
      </c>
      <c r="C127" t="s">
        <v>800</v>
      </c>
      <c r="D127" t="s">
        <v>801</v>
      </c>
      <c r="E127" t="s">
        <v>802</v>
      </c>
      <c r="F127" t="s">
        <v>694</v>
      </c>
    </row>
    <row r="128" spans="2:6" x14ac:dyDescent="0.3">
      <c r="B128" t="s">
        <v>844</v>
      </c>
    </row>
    <row r="129" spans="2:6" x14ac:dyDescent="0.3">
      <c r="B129" t="s">
        <v>22</v>
      </c>
      <c r="C129" t="s">
        <v>803</v>
      </c>
      <c r="D129" t="s">
        <v>804</v>
      </c>
      <c r="E129" t="s">
        <v>805</v>
      </c>
      <c r="F129" t="s">
        <v>806</v>
      </c>
    </row>
    <row r="130" spans="2:6" x14ac:dyDescent="0.3">
      <c r="B130" t="s">
        <v>638</v>
      </c>
      <c r="C130" t="s">
        <v>748</v>
      </c>
      <c r="D130" t="s">
        <v>807</v>
      </c>
      <c r="E130" t="s">
        <v>808</v>
      </c>
      <c r="F130" t="s">
        <v>809</v>
      </c>
    </row>
    <row r="131" spans="2:6" x14ac:dyDescent="0.3">
      <c r="B131" t="s">
        <v>845</v>
      </c>
    </row>
    <row r="132" spans="2:6" x14ac:dyDescent="0.3">
      <c r="B132" t="s">
        <v>22</v>
      </c>
      <c r="C132" t="s">
        <v>810</v>
      </c>
      <c r="D132" t="s">
        <v>797</v>
      </c>
      <c r="E132" t="s">
        <v>811</v>
      </c>
      <c r="F132" t="s">
        <v>812</v>
      </c>
    </row>
    <row r="133" spans="2:6" x14ac:dyDescent="0.3">
      <c r="B133" t="s">
        <v>638</v>
      </c>
      <c r="C133" t="s">
        <v>696</v>
      </c>
      <c r="D133" t="s">
        <v>813</v>
      </c>
      <c r="E133" t="s">
        <v>814</v>
      </c>
      <c r="F133" t="s">
        <v>792</v>
      </c>
    </row>
    <row r="134" spans="2:6" x14ac:dyDescent="0.3">
      <c r="B134" t="s">
        <v>846</v>
      </c>
    </row>
    <row r="135" spans="2:6" x14ac:dyDescent="0.3">
      <c r="B135" t="s">
        <v>22</v>
      </c>
      <c r="C135" t="s">
        <v>815</v>
      </c>
      <c r="D135" t="s">
        <v>816</v>
      </c>
      <c r="E135" t="s">
        <v>817</v>
      </c>
      <c r="F135" t="s">
        <v>818</v>
      </c>
    </row>
    <row r="136" spans="2:6" x14ac:dyDescent="0.3">
      <c r="B136" t="s">
        <v>638</v>
      </c>
      <c r="C136" t="s">
        <v>819</v>
      </c>
      <c r="D136" t="s">
        <v>701</v>
      </c>
      <c r="E136" t="s">
        <v>820</v>
      </c>
      <c r="F136" t="s">
        <v>708</v>
      </c>
    </row>
    <row r="137" spans="2:6" x14ac:dyDescent="0.3">
      <c r="B137" t="s">
        <v>847</v>
      </c>
    </row>
    <row r="138" spans="2:6" x14ac:dyDescent="0.3">
      <c r="B138" t="s">
        <v>22</v>
      </c>
      <c r="C138" t="s">
        <v>821</v>
      </c>
      <c r="D138" t="s">
        <v>704</v>
      </c>
      <c r="E138" t="s">
        <v>822</v>
      </c>
      <c r="F138" t="s">
        <v>823</v>
      </c>
    </row>
    <row r="139" spans="2:6" x14ac:dyDescent="0.3">
      <c r="B139" t="s">
        <v>638</v>
      </c>
      <c r="C139" t="s">
        <v>824</v>
      </c>
      <c r="D139" t="s">
        <v>824</v>
      </c>
      <c r="E139" t="s">
        <v>792</v>
      </c>
      <c r="F139" t="s">
        <v>664</v>
      </c>
    </row>
    <row r="140" spans="2:6" x14ac:dyDescent="0.3">
      <c r="B140" t="s">
        <v>40</v>
      </c>
      <c r="C140" t="s">
        <v>39</v>
      </c>
      <c r="D140" t="s">
        <v>39</v>
      </c>
      <c r="E140" t="s">
        <v>734</v>
      </c>
      <c r="F140" t="s">
        <v>39</v>
      </c>
    </row>
    <row r="141" spans="2:6" x14ac:dyDescent="0.3">
      <c r="B141" t="s">
        <v>848</v>
      </c>
    </row>
    <row r="142" spans="2:6" x14ac:dyDescent="0.3">
      <c r="B142" t="s">
        <v>22</v>
      </c>
      <c r="C142" t="s">
        <v>825</v>
      </c>
      <c r="D142" t="s">
        <v>826</v>
      </c>
      <c r="E142" t="s">
        <v>827</v>
      </c>
      <c r="F142" t="s">
        <v>828</v>
      </c>
    </row>
    <row r="143" spans="2:6" x14ac:dyDescent="0.3">
      <c r="B143" t="s">
        <v>638</v>
      </c>
      <c r="C143" t="s">
        <v>708</v>
      </c>
      <c r="D143" t="s">
        <v>829</v>
      </c>
      <c r="E143" t="s">
        <v>830</v>
      </c>
      <c r="F143" t="s">
        <v>702</v>
      </c>
    </row>
    <row r="144" spans="2:6" x14ac:dyDescent="0.3">
      <c r="B144" t="s">
        <v>849</v>
      </c>
    </row>
    <row r="145" spans="2:2" x14ac:dyDescent="0.3">
      <c r="B145" t="s">
        <v>854</v>
      </c>
    </row>
    <row r="146" spans="2:2" x14ac:dyDescent="0.3">
      <c r="B146" t="s">
        <v>851</v>
      </c>
    </row>
    <row r="147" spans="2:2" x14ac:dyDescent="0.3">
      <c r="B147" t="s">
        <v>855</v>
      </c>
    </row>
    <row r="148" spans="2:2" x14ac:dyDescent="0.3">
      <c r="B148" t="s">
        <v>853</v>
      </c>
    </row>
    <row r="150" spans="2:2" x14ac:dyDescent="0.3">
      <c r="B150" t="s">
        <v>6</v>
      </c>
    </row>
    <row r="152" spans="2:2" x14ac:dyDescent="0.3">
      <c r="B152" t="s">
        <v>831</v>
      </c>
    </row>
    <row r="154" spans="2:2" x14ac:dyDescent="0.3">
      <c r="B154" t="s">
        <v>7</v>
      </c>
    </row>
    <row r="156" spans="2:2" x14ac:dyDescent="0.3">
      <c r="B156" t="s">
        <v>832</v>
      </c>
    </row>
    <row r="158" spans="2:2" x14ac:dyDescent="0.3">
      <c r="B158" t="s">
        <v>306</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85"/>
  <sheetViews>
    <sheetView workbookViewId="0">
      <selection activeCell="J11" sqref="J11:L11"/>
    </sheetView>
  </sheetViews>
  <sheetFormatPr defaultRowHeight="14.4" x14ac:dyDescent="0.3"/>
  <cols>
    <col min="8" max="8" width="18.88671875" customWidth="1"/>
  </cols>
  <sheetData>
    <row r="1" spans="2:16" x14ac:dyDescent="0.3">
      <c r="B1" t="s">
        <v>936</v>
      </c>
    </row>
    <row r="3" spans="2:16" x14ac:dyDescent="0.3">
      <c r="B3" t="s">
        <v>857</v>
      </c>
    </row>
    <row r="5" spans="2:16" x14ac:dyDescent="0.3">
      <c r="B5" t="s">
        <v>4</v>
      </c>
    </row>
    <row r="7" spans="2:16" x14ac:dyDescent="0.3">
      <c r="B7" t="s">
        <v>858</v>
      </c>
    </row>
    <row r="9" spans="2:16" x14ac:dyDescent="0.3">
      <c r="B9" t="s">
        <v>859</v>
      </c>
    </row>
    <row r="11" spans="2:16" x14ac:dyDescent="0.3">
      <c r="B11" t="s">
        <v>860</v>
      </c>
      <c r="H11" t="s">
        <v>860</v>
      </c>
      <c r="J11" t="s">
        <v>861</v>
      </c>
      <c r="L11" t="s">
        <v>862</v>
      </c>
    </row>
    <row r="12" spans="2:16" x14ac:dyDescent="0.3">
      <c r="C12" t="s">
        <v>861</v>
      </c>
      <c r="E12" t="s">
        <v>862</v>
      </c>
      <c r="I12" t="s">
        <v>863</v>
      </c>
      <c r="J12" t="s">
        <v>863</v>
      </c>
    </row>
    <row r="13" spans="2:16" x14ac:dyDescent="0.3">
      <c r="C13" t="s">
        <v>863</v>
      </c>
      <c r="D13" t="s">
        <v>17</v>
      </c>
      <c r="E13" t="s">
        <v>866</v>
      </c>
      <c r="F13" t="s">
        <v>17</v>
      </c>
      <c r="I13" t="s">
        <v>17</v>
      </c>
      <c r="J13" t="s">
        <v>17</v>
      </c>
    </row>
    <row r="14" spans="2:16" x14ac:dyDescent="0.3">
      <c r="C14" t="s">
        <v>864</v>
      </c>
      <c r="D14" t="s">
        <v>865</v>
      </c>
      <c r="E14" t="s">
        <v>867</v>
      </c>
      <c r="F14" t="s">
        <v>868</v>
      </c>
      <c r="I14" t="s">
        <v>865</v>
      </c>
      <c r="J14" t="s">
        <v>868</v>
      </c>
    </row>
    <row r="15" spans="2:16" x14ac:dyDescent="0.3">
      <c r="B15" t="s">
        <v>633</v>
      </c>
      <c r="H15" t="s">
        <v>633</v>
      </c>
      <c r="I15" t="s">
        <v>870</v>
      </c>
      <c r="J15" t="s">
        <v>872</v>
      </c>
      <c r="K15" t="s">
        <v>951</v>
      </c>
      <c r="L15">
        <v>413</v>
      </c>
      <c r="M15">
        <v>244</v>
      </c>
      <c r="N15" t="s">
        <v>951</v>
      </c>
      <c r="O15" s="2">
        <f>L15/2049</f>
        <v>0.2015617374328941</v>
      </c>
      <c r="P15" s="2">
        <f>M15/1331</f>
        <v>0.18332081141998496</v>
      </c>
    </row>
    <row r="16" spans="2:16" x14ac:dyDescent="0.3">
      <c r="B16" t="s">
        <v>22</v>
      </c>
      <c r="C16" t="s">
        <v>869</v>
      </c>
      <c r="D16" t="s">
        <v>870</v>
      </c>
      <c r="E16" t="s">
        <v>871</v>
      </c>
      <c r="F16" t="s">
        <v>872</v>
      </c>
      <c r="H16" t="s">
        <v>874</v>
      </c>
      <c r="I16" t="s">
        <v>876</v>
      </c>
      <c r="J16" t="s">
        <v>878</v>
      </c>
      <c r="K16" t="s">
        <v>952</v>
      </c>
      <c r="L16">
        <v>357</v>
      </c>
      <c r="M16">
        <v>207</v>
      </c>
      <c r="N16" t="s">
        <v>952</v>
      </c>
      <c r="O16" s="2">
        <f t="shared" ref="O16:O18" si="0">L16/2049</f>
        <v>0.17423133235724744</v>
      </c>
      <c r="P16" s="2">
        <f t="shared" ref="P16:P18" si="1">M16/1331</f>
        <v>0.15552216378662659</v>
      </c>
    </row>
    <row r="17" spans="2:16" x14ac:dyDescent="0.3">
      <c r="B17" t="s">
        <v>638</v>
      </c>
      <c r="C17" t="s">
        <v>873</v>
      </c>
      <c r="D17" t="s">
        <v>107</v>
      </c>
      <c r="E17" t="s">
        <v>394</v>
      </c>
      <c r="F17" t="s">
        <v>324</v>
      </c>
      <c r="H17" t="s">
        <v>879</v>
      </c>
      <c r="I17" t="s">
        <v>881</v>
      </c>
      <c r="J17" t="s">
        <v>883</v>
      </c>
      <c r="K17" t="s">
        <v>953</v>
      </c>
      <c r="L17">
        <v>89</v>
      </c>
      <c r="M17">
        <v>42</v>
      </c>
      <c r="N17" t="s">
        <v>953</v>
      </c>
      <c r="O17" s="2">
        <f t="shared" si="0"/>
        <v>4.343582235236701E-2</v>
      </c>
      <c r="P17" s="2">
        <f t="shared" si="1"/>
        <v>3.1555221637866268E-2</v>
      </c>
    </row>
    <row r="18" spans="2:16" x14ac:dyDescent="0.3">
      <c r="B18" t="s">
        <v>874</v>
      </c>
      <c r="H18" t="s">
        <v>884</v>
      </c>
      <c r="I18" t="s">
        <v>886</v>
      </c>
      <c r="J18" t="s">
        <v>888</v>
      </c>
      <c r="K18" t="s">
        <v>954</v>
      </c>
      <c r="L18">
        <v>32</v>
      </c>
      <c r="M18">
        <v>21</v>
      </c>
      <c r="N18" t="s">
        <v>954</v>
      </c>
      <c r="O18" s="2">
        <f t="shared" si="0"/>
        <v>1.5617374328940947E-2</v>
      </c>
      <c r="P18" s="2">
        <f t="shared" si="1"/>
        <v>1.5777610818933134E-2</v>
      </c>
    </row>
    <row r="19" spans="2:16" x14ac:dyDescent="0.3">
      <c r="B19" t="s">
        <v>22</v>
      </c>
      <c r="C19" t="s">
        <v>875</v>
      </c>
      <c r="D19" t="s">
        <v>876</v>
      </c>
      <c r="E19" t="s">
        <v>877</v>
      </c>
      <c r="F19" t="s">
        <v>878</v>
      </c>
    </row>
    <row r="20" spans="2:16" x14ac:dyDescent="0.3">
      <c r="B20" t="s">
        <v>638</v>
      </c>
      <c r="C20" t="s">
        <v>31</v>
      </c>
      <c r="D20" t="s">
        <v>88</v>
      </c>
      <c r="E20" t="s">
        <v>86</v>
      </c>
      <c r="F20" t="s">
        <v>324</v>
      </c>
    </row>
    <row r="21" spans="2:16" x14ac:dyDescent="0.3">
      <c r="B21" t="s">
        <v>879</v>
      </c>
      <c r="H21" t="s">
        <v>894</v>
      </c>
    </row>
    <row r="22" spans="2:16" x14ac:dyDescent="0.3">
      <c r="B22" t="s">
        <v>22</v>
      </c>
      <c r="C22" t="s">
        <v>880</v>
      </c>
      <c r="D22" t="s">
        <v>881</v>
      </c>
      <c r="E22" t="s">
        <v>882</v>
      </c>
      <c r="F22" t="s">
        <v>883</v>
      </c>
    </row>
    <row r="23" spans="2:16" x14ac:dyDescent="0.3">
      <c r="B23" t="s">
        <v>638</v>
      </c>
      <c r="C23" t="s">
        <v>34</v>
      </c>
      <c r="D23" t="s">
        <v>51</v>
      </c>
      <c r="E23" t="s">
        <v>87</v>
      </c>
      <c r="F23" t="s">
        <v>88</v>
      </c>
      <c r="I23" t="s">
        <v>17</v>
      </c>
      <c r="J23" t="s">
        <v>17</v>
      </c>
    </row>
    <row r="24" spans="2:16" x14ac:dyDescent="0.3">
      <c r="B24" t="s">
        <v>884</v>
      </c>
      <c r="I24" t="s">
        <v>865</v>
      </c>
      <c r="J24" t="s">
        <v>868</v>
      </c>
    </row>
    <row r="25" spans="2:16" x14ac:dyDescent="0.3">
      <c r="B25" t="s">
        <v>22</v>
      </c>
      <c r="C25" t="s">
        <v>885</v>
      </c>
      <c r="D25" t="s">
        <v>886</v>
      </c>
      <c r="E25" t="s">
        <v>887</v>
      </c>
      <c r="F25" t="s">
        <v>888</v>
      </c>
      <c r="H25" t="s">
        <v>721</v>
      </c>
      <c r="I25" t="s">
        <v>896</v>
      </c>
      <c r="J25" t="s">
        <v>898</v>
      </c>
      <c r="K25" t="s">
        <v>938</v>
      </c>
      <c r="L25">
        <v>745</v>
      </c>
      <c r="M25">
        <v>440</v>
      </c>
      <c r="N25" t="s">
        <v>938</v>
      </c>
      <c r="O25" s="2">
        <f>L25/2049</f>
        <v>0.3635919960956564</v>
      </c>
      <c r="P25" s="2">
        <f>M25/1331</f>
        <v>0.33057851239669422</v>
      </c>
    </row>
    <row r="26" spans="2:16" x14ac:dyDescent="0.3">
      <c r="B26" t="s">
        <v>638</v>
      </c>
      <c r="C26" t="s">
        <v>45</v>
      </c>
      <c r="D26" t="s">
        <v>51</v>
      </c>
      <c r="E26" t="s">
        <v>324</v>
      </c>
      <c r="F26" t="s">
        <v>88</v>
      </c>
      <c r="H26" t="s">
        <v>903</v>
      </c>
      <c r="I26" t="s">
        <v>905</v>
      </c>
      <c r="J26" t="s">
        <v>907</v>
      </c>
      <c r="K26" t="s">
        <v>946</v>
      </c>
      <c r="L26">
        <v>451</v>
      </c>
      <c r="M26">
        <v>277</v>
      </c>
      <c r="N26" t="s">
        <v>946</v>
      </c>
      <c r="O26" s="2">
        <f t="shared" ref="O26:O30" si="2">L26/2049</f>
        <v>0.22010736944851148</v>
      </c>
      <c r="P26" s="2">
        <f t="shared" ref="P26:P30" si="3">M26/1331</f>
        <v>0.20811419984973703</v>
      </c>
    </row>
    <row r="27" spans="2:16" x14ac:dyDescent="0.3">
      <c r="B27" t="s">
        <v>889</v>
      </c>
      <c r="H27" t="s">
        <v>843</v>
      </c>
      <c r="I27" t="s">
        <v>910</v>
      </c>
      <c r="J27" t="s">
        <v>912</v>
      </c>
      <c r="K27" t="s">
        <v>940</v>
      </c>
      <c r="L27">
        <v>508</v>
      </c>
      <c r="M27">
        <v>294</v>
      </c>
      <c r="N27" t="s">
        <v>940</v>
      </c>
      <c r="O27" s="2">
        <f t="shared" si="2"/>
        <v>0.24792581747193754</v>
      </c>
      <c r="P27" s="2">
        <f t="shared" si="3"/>
        <v>0.22088655146506386</v>
      </c>
    </row>
    <row r="28" spans="2:16" x14ac:dyDescent="0.3">
      <c r="H28" t="s">
        <v>913</v>
      </c>
      <c r="I28" t="s">
        <v>915</v>
      </c>
      <c r="J28" t="s">
        <v>917</v>
      </c>
      <c r="K28" t="s">
        <v>942</v>
      </c>
      <c r="L28">
        <v>248</v>
      </c>
      <c r="M28">
        <v>182</v>
      </c>
      <c r="N28" t="s">
        <v>942</v>
      </c>
      <c r="O28" s="2">
        <f t="shared" si="2"/>
        <v>0.12103465104929234</v>
      </c>
      <c r="P28" s="2">
        <f t="shared" si="3"/>
        <v>0.13673929376408714</v>
      </c>
    </row>
    <row r="29" spans="2:16" x14ac:dyDescent="0.3">
      <c r="B29" t="s">
        <v>890</v>
      </c>
      <c r="H29" t="s">
        <v>919</v>
      </c>
      <c r="I29" t="s">
        <v>921</v>
      </c>
      <c r="J29" t="s">
        <v>923</v>
      </c>
      <c r="K29" t="s">
        <v>955</v>
      </c>
      <c r="L29">
        <v>183</v>
      </c>
      <c r="M29">
        <v>144</v>
      </c>
      <c r="N29" t="s">
        <v>955</v>
      </c>
      <c r="O29" s="2">
        <f t="shared" si="2"/>
        <v>8.9311859443631042E-2</v>
      </c>
      <c r="P29" s="2">
        <f t="shared" si="3"/>
        <v>0.10818933132982719</v>
      </c>
    </row>
    <row r="30" spans="2:16" x14ac:dyDescent="0.3">
      <c r="H30" t="s">
        <v>924</v>
      </c>
      <c r="I30" t="s">
        <v>26</v>
      </c>
      <c r="J30" t="s">
        <v>927</v>
      </c>
      <c r="K30" t="s">
        <v>226</v>
      </c>
      <c r="L30">
        <v>14</v>
      </c>
      <c r="M30">
        <v>6</v>
      </c>
      <c r="N30" t="s">
        <v>226</v>
      </c>
      <c r="O30" s="2">
        <f t="shared" si="2"/>
        <v>6.8326012689116644E-3</v>
      </c>
      <c r="P30" s="2">
        <f t="shared" si="3"/>
        <v>4.5078888054094664E-3</v>
      </c>
    </row>
    <row r="31" spans="2:16" x14ac:dyDescent="0.3">
      <c r="B31" t="s">
        <v>891</v>
      </c>
    </row>
    <row r="33" spans="2:6" x14ac:dyDescent="0.3">
      <c r="B33" t="s">
        <v>675</v>
      </c>
    </row>
    <row r="35" spans="2:6" x14ac:dyDescent="0.3">
      <c r="B35" t="s">
        <v>5</v>
      </c>
    </row>
    <row r="37" spans="2:6" x14ac:dyDescent="0.3">
      <c r="B37" t="s">
        <v>892</v>
      </c>
    </row>
    <row r="39" spans="2:6" x14ac:dyDescent="0.3">
      <c r="B39" t="s">
        <v>893</v>
      </c>
    </row>
    <row r="41" spans="2:6" x14ac:dyDescent="0.3">
      <c r="B41" t="s">
        <v>894</v>
      </c>
    </row>
    <row r="42" spans="2:6" x14ac:dyDescent="0.3">
      <c r="C42" t="s">
        <v>861</v>
      </c>
      <c r="E42" t="s">
        <v>862</v>
      </c>
    </row>
    <row r="43" spans="2:6" x14ac:dyDescent="0.3">
      <c r="C43" t="s">
        <v>863</v>
      </c>
      <c r="D43" t="s">
        <v>17</v>
      </c>
      <c r="E43" t="s">
        <v>863</v>
      </c>
      <c r="F43" t="s">
        <v>17</v>
      </c>
    </row>
    <row r="44" spans="2:6" x14ac:dyDescent="0.3">
      <c r="C44" t="s">
        <v>864</v>
      </c>
      <c r="D44" t="s">
        <v>865</v>
      </c>
      <c r="E44" t="s">
        <v>867</v>
      </c>
      <c r="F44" t="s">
        <v>868</v>
      </c>
    </row>
    <row r="45" spans="2:6" x14ac:dyDescent="0.3">
      <c r="B45" t="s">
        <v>721</v>
      </c>
    </row>
    <row r="46" spans="2:6" x14ac:dyDescent="0.3">
      <c r="B46" t="s">
        <v>22</v>
      </c>
      <c r="C46" t="s">
        <v>895</v>
      </c>
      <c r="D46" t="s">
        <v>896</v>
      </c>
      <c r="E46" t="s">
        <v>897</v>
      </c>
      <c r="F46" t="s">
        <v>898</v>
      </c>
    </row>
    <row r="47" spans="2:6" x14ac:dyDescent="0.3">
      <c r="B47" t="s">
        <v>638</v>
      </c>
      <c r="C47" t="s">
        <v>899</v>
      </c>
      <c r="D47" t="s">
        <v>900</v>
      </c>
      <c r="E47" t="s">
        <v>901</v>
      </c>
      <c r="F47" t="s">
        <v>902</v>
      </c>
    </row>
    <row r="48" spans="2:6" x14ac:dyDescent="0.3">
      <c r="B48" t="s">
        <v>903</v>
      </c>
    </row>
    <row r="49" spans="2:6" x14ac:dyDescent="0.3">
      <c r="B49" t="s">
        <v>22</v>
      </c>
      <c r="C49" t="s">
        <v>904</v>
      </c>
      <c r="D49" t="s">
        <v>905</v>
      </c>
      <c r="E49" t="s">
        <v>906</v>
      </c>
      <c r="F49" t="s">
        <v>907</v>
      </c>
    </row>
    <row r="50" spans="2:6" x14ac:dyDescent="0.3">
      <c r="B50" t="s">
        <v>638</v>
      </c>
      <c r="C50" t="s">
        <v>67</v>
      </c>
      <c r="D50" t="s">
        <v>107</v>
      </c>
      <c r="E50" t="s">
        <v>908</v>
      </c>
      <c r="F50" t="s">
        <v>394</v>
      </c>
    </row>
    <row r="51" spans="2:6" x14ac:dyDescent="0.3">
      <c r="B51" t="s">
        <v>843</v>
      </c>
    </row>
    <row r="52" spans="2:6" x14ac:dyDescent="0.3">
      <c r="B52" t="s">
        <v>22</v>
      </c>
      <c r="C52" t="s">
        <v>909</v>
      </c>
      <c r="D52" t="s">
        <v>910</v>
      </c>
      <c r="E52" t="s">
        <v>911</v>
      </c>
      <c r="F52" t="s">
        <v>912</v>
      </c>
    </row>
    <row r="53" spans="2:6" x14ac:dyDescent="0.3">
      <c r="B53" t="s">
        <v>638</v>
      </c>
      <c r="C53" t="s">
        <v>873</v>
      </c>
      <c r="D53" t="s">
        <v>45</v>
      </c>
      <c r="E53" t="s">
        <v>394</v>
      </c>
      <c r="F53" t="s">
        <v>479</v>
      </c>
    </row>
    <row r="54" spans="2:6" x14ac:dyDescent="0.3">
      <c r="B54" t="s">
        <v>913</v>
      </c>
    </row>
    <row r="55" spans="2:6" x14ac:dyDescent="0.3">
      <c r="B55" t="s">
        <v>22</v>
      </c>
      <c r="C55" t="s">
        <v>914</v>
      </c>
      <c r="D55" t="s">
        <v>915</v>
      </c>
      <c r="E55" t="s">
        <v>916</v>
      </c>
      <c r="F55" t="s">
        <v>917</v>
      </c>
    </row>
    <row r="56" spans="2:6" x14ac:dyDescent="0.3">
      <c r="B56" t="s">
        <v>638</v>
      </c>
      <c r="C56" t="s">
        <v>918</v>
      </c>
      <c r="D56" t="s">
        <v>734</v>
      </c>
      <c r="E56" t="s">
        <v>86</v>
      </c>
      <c r="F56" t="s">
        <v>394</v>
      </c>
    </row>
    <row r="57" spans="2:6" x14ac:dyDescent="0.3">
      <c r="B57" t="s">
        <v>919</v>
      </c>
    </row>
    <row r="58" spans="2:6" x14ac:dyDescent="0.3">
      <c r="B58" t="s">
        <v>22</v>
      </c>
      <c r="C58" t="s">
        <v>920</v>
      </c>
      <c r="D58" t="s">
        <v>921</v>
      </c>
      <c r="E58" t="s">
        <v>922</v>
      </c>
      <c r="F58" t="s">
        <v>923</v>
      </c>
    </row>
    <row r="59" spans="2:6" x14ac:dyDescent="0.3">
      <c r="B59" t="s">
        <v>638</v>
      </c>
      <c r="C59" t="s">
        <v>47</v>
      </c>
      <c r="D59" t="s">
        <v>47</v>
      </c>
      <c r="E59" t="s">
        <v>86</v>
      </c>
      <c r="F59" t="s">
        <v>86</v>
      </c>
    </row>
    <row r="60" spans="2:6" x14ac:dyDescent="0.3">
      <c r="B60" t="s">
        <v>924</v>
      </c>
    </row>
    <row r="61" spans="2:6" x14ac:dyDescent="0.3">
      <c r="B61" t="s">
        <v>22</v>
      </c>
      <c r="C61" t="s">
        <v>925</v>
      </c>
      <c r="D61" t="s">
        <v>26</v>
      </c>
      <c r="E61" t="s">
        <v>926</v>
      </c>
      <c r="F61" t="s">
        <v>927</v>
      </c>
    </row>
    <row r="62" spans="2:6" x14ac:dyDescent="0.3">
      <c r="B62" t="s">
        <v>638</v>
      </c>
      <c r="C62" t="s">
        <v>52</v>
      </c>
      <c r="D62" t="s">
        <v>88</v>
      </c>
      <c r="E62" t="s">
        <v>87</v>
      </c>
      <c r="F62" t="s">
        <v>88</v>
      </c>
    </row>
    <row r="63" spans="2:6" x14ac:dyDescent="0.3">
      <c r="B63" t="s">
        <v>889</v>
      </c>
    </row>
    <row r="65" spans="2:2" x14ac:dyDescent="0.3">
      <c r="B65" t="s">
        <v>928</v>
      </c>
    </row>
    <row r="67" spans="2:2" x14ac:dyDescent="0.3">
      <c r="B67" t="s">
        <v>929</v>
      </c>
    </row>
    <row r="69" spans="2:2" x14ac:dyDescent="0.3">
      <c r="B69" t="s">
        <v>930</v>
      </c>
    </row>
    <row r="71" spans="2:2" x14ac:dyDescent="0.3">
      <c r="B71" t="s">
        <v>931</v>
      </c>
    </row>
    <row r="73" spans="2:2" x14ac:dyDescent="0.3">
      <c r="B73" t="s">
        <v>932</v>
      </c>
    </row>
    <row r="75" spans="2:2" x14ac:dyDescent="0.3">
      <c r="B75" t="s">
        <v>933</v>
      </c>
    </row>
    <row r="77" spans="2:2" x14ac:dyDescent="0.3">
      <c r="B77" t="s">
        <v>6</v>
      </c>
    </row>
    <row r="79" spans="2:2" x14ac:dyDescent="0.3">
      <c r="B79" t="s">
        <v>934</v>
      </c>
    </row>
    <row r="81" spans="2:2" x14ac:dyDescent="0.3">
      <c r="B81" t="s">
        <v>7</v>
      </c>
    </row>
    <row r="83" spans="2:2" x14ac:dyDescent="0.3">
      <c r="B83" t="s">
        <v>935</v>
      </c>
    </row>
    <row r="85" spans="2:2" x14ac:dyDescent="0.3">
      <c r="B85" t="s">
        <v>306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M31"/>
  <sheetViews>
    <sheetView topLeftCell="E1" workbookViewId="0">
      <selection activeCell="M3" sqref="M3"/>
    </sheetView>
  </sheetViews>
  <sheetFormatPr defaultRowHeight="14.4" x14ac:dyDescent="0.3"/>
  <sheetData>
    <row r="1" spans="2:39" x14ac:dyDescent="0.3">
      <c r="P1" t="s">
        <v>960</v>
      </c>
    </row>
    <row r="2" spans="2:39" x14ac:dyDescent="0.3">
      <c r="B2" t="s">
        <v>959</v>
      </c>
      <c r="D2" t="s">
        <v>958</v>
      </c>
      <c r="E2" t="s">
        <v>958</v>
      </c>
      <c r="J2" t="s">
        <v>957</v>
      </c>
      <c r="K2" t="s">
        <v>957</v>
      </c>
      <c r="P2" t="s">
        <v>861</v>
      </c>
      <c r="T2" t="s">
        <v>961</v>
      </c>
      <c r="U2" t="s">
        <v>962</v>
      </c>
      <c r="V2" t="s">
        <v>963</v>
      </c>
      <c r="W2" t="s">
        <v>964</v>
      </c>
      <c r="X2" t="s">
        <v>965</v>
      </c>
      <c r="AI2" t="s">
        <v>961</v>
      </c>
      <c r="AJ2" t="s">
        <v>962</v>
      </c>
      <c r="AK2" t="s">
        <v>963</v>
      </c>
      <c r="AL2" t="s">
        <v>964</v>
      </c>
      <c r="AM2" t="s">
        <v>965</v>
      </c>
    </row>
    <row r="3" spans="2:39" x14ac:dyDescent="0.3">
      <c r="I3" t="s">
        <v>938</v>
      </c>
      <c r="J3">
        <v>5063</v>
      </c>
      <c r="K3">
        <v>3967</v>
      </c>
      <c r="M3" s="2">
        <f t="shared" ref="M3:M10" si="0">J3/11406</f>
        <v>0.44388918113273718</v>
      </c>
      <c r="N3" s="2">
        <f t="shared" ref="N3:N10" si="1">K3/10320</f>
        <v>0.38439922480620153</v>
      </c>
      <c r="O3" t="s">
        <v>938</v>
      </c>
      <c r="P3">
        <v>745</v>
      </c>
      <c r="Q3" s="2">
        <v>0.3635919960956564</v>
      </c>
      <c r="S3" t="s">
        <v>938</v>
      </c>
      <c r="T3" s="3"/>
      <c r="U3" s="3"/>
      <c r="V3" s="3">
        <v>0.44388918113273718</v>
      </c>
      <c r="W3" s="3">
        <v>0.38439922480620153</v>
      </c>
      <c r="X3" s="3">
        <v>0.3635919960956564</v>
      </c>
      <c r="AH3" t="s">
        <v>938</v>
      </c>
      <c r="AI3" s="2"/>
      <c r="AJ3" s="2"/>
      <c r="AK3" s="2">
        <v>0.44388918113273718</v>
      </c>
      <c r="AL3" s="2">
        <v>0.38439922480620153</v>
      </c>
      <c r="AM3" s="2">
        <v>0.3635919960956564</v>
      </c>
    </row>
    <row r="4" spans="2:39" x14ac:dyDescent="0.3">
      <c r="C4" t="s">
        <v>226</v>
      </c>
      <c r="D4">
        <v>20</v>
      </c>
      <c r="E4">
        <v>10</v>
      </c>
      <c r="G4" s="2">
        <v>8.7032201914708437E-3</v>
      </c>
      <c r="H4" s="2">
        <v>4.7551117451260106E-3</v>
      </c>
      <c r="I4" t="s">
        <v>939</v>
      </c>
      <c r="J4">
        <v>39</v>
      </c>
      <c r="K4">
        <v>38</v>
      </c>
      <c r="M4" s="2">
        <f t="shared" si="0"/>
        <v>3.4192530247238295E-3</v>
      </c>
      <c r="N4" s="2">
        <f t="shared" si="1"/>
        <v>3.6821705426356589E-3</v>
      </c>
      <c r="O4" t="s">
        <v>226</v>
      </c>
      <c r="P4">
        <v>14</v>
      </c>
      <c r="Q4" s="2">
        <v>6.8326012689116644E-3</v>
      </c>
      <c r="S4" t="s">
        <v>940</v>
      </c>
      <c r="T4" s="3">
        <v>0.33724978241949521</v>
      </c>
      <c r="U4" s="3">
        <v>0.24060865430337613</v>
      </c>
      <c r="V4" s="3">
        <v>0.28958442924776434</v>
      </c>
      <c r="W4" s="3">
        <v>0.25358527131782943</v>
      </c>
      <c r="X4" s="3">
        <v>0.24792581747193754</v>
      </c>
      <c r="AH4" t="s">
        <v>941</v>
      </c>
      <c r="AI4" s="2">
        <v>0.3337684943429069</v>
      </c>
      <c r="AJ4" s="2">
        <v>0.2277698525915359</v>
      </c>
      <c r="AK4" s="2">
        <v>0.28774329300368229</v>
      </c>
      <c r="AL4" s="2">
        <v>0.24515503875968991</v>
      </c>
      <c r="AM4" s="2">
        <v>0.22010736944851148</v>
      </c>
    </row>
    <row r="5" spans="2:39" x14ac:dyDescent="0.3">
      <c r="C5" t="s">
        <v>940</v>
      </c>
      <c r="D5">
        <v>775</v>
      </c>
      <c r="E5">
        <v>506</v>
      </c>
      <c r="G5" s="2">
        <v>0.33724978241949521</v>
      </c>
      <c r="H5" s="2">
        <v>0.24060865430337613</v>
      </c>
      <c r="I5" t="s">
        <v>940</v>
      </c>
      <c r="J5">
        <v>3303</v>
      </c>
      <c r="K5">
        <v>2617</v>
      </c>
      <c r="M5" s="2">
        <f t="shared" si="0"/>
        <v>0.28958442924776434</v>
      </c>
      <c r="N5" s="2">
        <f t="shared" si="1"/>
        <v>0.25358527131782943</v>
      </c>
      <c r="O5" t="s">
        <v>940</v>
      </c>
      <c r="P5">
        <v>508</v>
      </c>
      <c r="Q5" s="2">
        <v>0.24792581747193754</v>
      </c>
      <c r="S5" t="s">
        <v>941</v>
      </c>
      <c r="T5" s="3">
        <v>0.3337684943429069</v>
      </c>
      <c r="U5" s="3">
        <v>0.2277698525915359</v>
      </c>
      <c r="V5" s="3">
        <v>0.28774329300368229</v>
      </c>
      <c r="W5" s="3">
        <v>0.24515503875968991</v>
      </c>
      <c r="X5" s="3">
        <v>0.22010736944851148</v>
      </c>
      <c r="AH5" t="s">
        <v>940</v>
      </c>
      <c r="AI5" s="2">
        <v>0.33724978241949521</v>
      </c>
      <c r="AJ5" s="2">
        <v>0.24060865430337613</v>
      </c>
      <c r="AK5" s="2">
        <v>0.28958442924776434</v>
      </c>
      <c r="AL5" s="2">
        <v>0.25358527131782943</v>
      </c>
      <c r="AM5" s="2">
        <v>0.24792581747193754</v>
      </c>
    </row>
    <row r="6" spans="2:39" x14ac:dyDescent="0.3">
      <c r="C6" t="s">
        <v>946</v>
      </c>
      <c r="D6">
        <v>767</v>
      </c>
      <c r="E6">
        <v>479</v>
      </c>
      <c r="G6" s="2">
        <v>0.3337684943429069</v>
      </c>
      <c r="H6" s="2">
        <v>0.2277698525915359</v>
      </c>
      <c r="I6" t="s">
        <v>941</v>
      </c>
      <c r="J6">
        <v>3282</v>
      </c>
      <c r="K6">
        <v>2530</v>
      </c>
      <c r="M6" s="2">
        <f t="shared" si="0"/>
        <v>0.28774329300368229</v>
      </c>
      <c r="N6" s="2">
        <f t="shared" si="1"/>
        <v>0.24515503875968991</v>
      </c>
      <c r="O6" t="s">
        <v>946</v>
      </c>
      <c r="P6">
        <v>451</v>
      </c>
      <c r="Q6" s="2">
        <v>0.22010736944851148</v>
      </c>
      <c r="S6" t="s">
        <v>942</v>
      </c>
      <c r="T6" s="3">
        <v>0.10835509138381201</v>
      </c>
      <c r="U6" s="3">
        <v>8.2263433190679983E-2</v>
      </c>
      <c r="V6" s="3">
        <v>0.14255654918463967</v>
      </c>
      <c r="W6" s="3">
        <v>0.12713178294573643</v>
      </c>
      <c r="X6" s="3">
        <v>0.12103465104929234</v>
      </c>
      <c r="AH6" t="s">
        <v>942</v>
      </c>
      <c r="AI6" s="2">
        <v>0.10835509138381201</v>
      </c>
      <c r="AJ6" s="2">
        <v>8.2263433190679983E-2</v>
      </c>
      <c r="AK6" s="2">
        <v>0.14255654918463967</v>
      </c>
      <c r="AL6" s="2">
        <v>0.12713178294573643</v>
      </c>
      <c r="AM6" s="2">
        <v>0.12103465104929234</v>
      </c>
    </row>
    <row r="7" spans="2:39" x14ac:dyDescent="0.3">
      <c r="C7" t="s">
        <v>949</v>
      </c>
      <c r="D7">
        <v>249</v>
      </c>
      <c r="E7">
        <v>173</v>
      </c>
      <c r="G7" s="2">
        <v>0.10835509138381201</v>
      </c>
      <c r="H7" s="2">
        <v>8.2263433190679983E-2</v>
      </c>
      <c r="I7" t="s">
        <v>942</v>
      </c>
      <c r="J7">
        <v>1626</v>
      </c>
      <c r="K7">
        <v>1312</v>
      </c>
      <c r="M7" s="2">
        <f t="shared" si="0"/>
        <v>0.14255654918463967</v>
      </c>
      <c r="N7" s="2">
        <f t="shared" si="1"/>
        <v>0.12713178294573643</v>
      </c>
      <c r="O7" t="s">
        <v>942</v>
      </c>
      <c r="P7">
        <v>248</v>
      </c>
      <c r="Q7" s="2">
        <v>0.12103465104929234</v>
      </c>
      <c r="S7" t="s">
        <v>943</v>
      </c>
      <c r="T7" s="3">
        <v>6.0052219321148827E-2</v>
      </c>
      <c r="U7" s="3">
        <v>5.1830718021873515E-2</v>
      </c>
      <c r="V7" s="3">
        <v>0.1163422759950903</v>
      </c>
      <c r="W7" s="3">
        <v>0.10532945736434109</v>
      </c>
      <c r="X7" s="3"/>
      <c r="AH7" t="s">
        <v>943</v>
      </c>
      <c r="AI7" s="2">
        <v>6.0052219321148827E-2</v>
      </c>
      <c r="AJ7" s="2">
        <v>5.1830718021873515E-2</v>
      </c>
      <c r="AK7" s="2">
        <v>0.1163422759950903</v>
      </c>
      <c r="AL7" s="2">
        <v>0.10532945736434109</v>
      </c>
      <c r="AM7" s="2"/>
    </row>
    <row r="8" spans="2:39" x14ac:dyDescent="0.3">
      <c r="C8" t="s">
        <v>950</v>
      </c>
      <c r="D8">
        <v>138</v>
      </c>
      <c r="E8">
        <v>109</v>
      </c>
      <c r="G8" s="2">
        <v>6.0052219321148827E-2</v>
      </c>
      <c r="H8" s="2">
        <v>5.1830718021873515E-2</v>
      </c>
      <c r="I8" t="s">
        <v>943</v>
      </c>
      <c r="J8">
        <v>1327</v>
      </c>
      <c r="K8">
        <v>1087</v>
      </c>
      <c r="M8" s="2">
        <f t="shared" si="0"/>
        <v>0.1163422759950903</v>
      </c>
      <c r="N8" s="2">
        <f t="shared" si="1"/>
        <v>0.10532945736434109</v>
      </c>
      <c r="Q8" s="2"/>
      <c r="S8" t="s">
        <v>945</v>
      </c>
      <c r="T8" s="3">
        <v>1.2184508268059183E-2</v>
      </c>
      <c r="U8" s="3">
        <v>1.1887779362815026E-2</v>
      </c>
      <c r="V8" s="3">
        <v>7.9607224267929155E-2</v>
      </c>
      <c r="W8" s="3">
        <v>7.3062015503875963E-2</v>
      </c>
      <c r="X8" s="3">
        <v>8.9311859443631042E-2</v>
      </c>
      <c r="AH8" t="s">
        <v>944</v>
      </c>
      <c r="AI8" s="2">
        <v>6.3533507397737166E-2</v>
      </c>
      <c r="AJ8" s="2">
        <v>3.7565382786495481E-2</v>
      </c>
      <c r="AK8" s="2">
        <v>6.4001402770471685E-2</v>
      </c>
      <c r="AL8" s="2">
        <v>5.9205426356589146E-2</v>
      </c>
      <c r="AM8" s="2"/>
    </row>
    <row r="9" spans="2:39" x14ac:dyDescent="0.3">
      <c r="C9" t="s">
        <v>947</v>
      </c>
      <c r="D9">
        <v>28</v>
      </c>
      <c r="E9">
        <v>25</v>
      </c>
      <c r="G9" s="2">
        <v>1.2184508268059183E-2</v>
      </c>
      <c r="H9" s="2">
        <v>1.1887779362815026E-2</v>
      </c>
      <c r="I9" t="s">
        <v>945</v>
      </c>
      <c r="J9">
        <v>908</v>
      </c>
      <c r="K9">
        <v>754</v>
      </c>
      <c r="M9" s="2">
        <f t="shared" si="0"/>
        <v>7.9607224267929155E-2</v>
      </c>
      <c r="N9" s="2">
        <f t="shared" si="1"/>
        <v>7.3062015503875963E-2</v>
      </c>
      <c r="O9" t="s">
        <v>955</v>
      </c>
      <c r="P9">
        <v>183</v>
      </c>
      <c r="Q9" s="2">
        <v>8.9311859443631042E-2</v>
      </c>
      <c r="S9" t="s">
        <v>944</v>
      </c>
      <c r="T9" s="3">
        <v>6.3533507397737166E-2</v>
      </c>
      <c r="U9" s="3">
        <v>3.7565382786495481E-2</v>
      </c>
      <c r="V9" s="3">
        <v>6.4001402770471685E-2</v>
      </c>
      <c r="W9" s="3">
        <v>5.9205426356589146E-2</v>
      </c>
      <c r="X9" s="3"/>
      <c r="AI9" s="2"/>
      <c r="AJ9" s="2"/>
      <c r="AK9" s="2"/>
      <c r="AL9" s="2"/>
      <c r="AM9" s="2"/>
    </row>
    <row r="10" spans="2:39" x14ac:dyDescent="0.3">
      <c r="C10" t="s">
        <v>944</v>
      </c>
      <c r="D10">
        <v>146</v>
      </c>
      <c r="E10">
        <v>79</v>
      </c>
      <c r="G10" s="2">
        <v>6.3533507397737166E-2</v>
      </c>
      <c r="H10" s="2">
        <v>3.7565382786495481E-2</v>
      </c>
      <c r="I10" t="s">
        <v>944</v>
      </c>
      <c r="J10">
        <v>730</v>
      </c>
      <c r="K10">
        <v>611</v>
      </c>
      <c r="M10" s="2">
        <f t="shared" si="0"/>
        <v>6.4001402770471685E-2</v>
      </c>
      <c r="N10" s="2">
        <f t="shared" si="1"/>
        <v>5.9205426356589146E-2</v>
      </c>
      <c r="Q10" s="2"/>
      <c r="S10" t="s">
        <v>939</v>
      </c>
      <c r="T10" s="3">
        <v>8.7032201914708437E-3</v>
      </c>
      <c r="U10" s="3">
        <v>4.7551117451260106E-3</v>
      </c>
      <c r="V10" s="3">
        <v>3.4192530247238295E-3</v>
      </c>
      <c r="W10" s="3">
        <v>3.6821705426356589E-3</v>
      </c>
      <c r="X10" s="3">
        <v>6.8326012689116644E-3</v>
      </c>
      <c r="AI10" s="2"/>
      <c r="AJ10" s="2"/>
      <c r="AK10" s="2"/>
      <c r="AL10" s="2"/>
      <c r="AM10" s="2"/>
    </row>
    <row r="11" spans="2:39" x14ac:dyDescent="0.3">
      <c r="C11" t="s">
        <v>948</v>
      </c>
      <c r="D11">
        <v>270</v>
      </c>
      <c r="E11">
        <v>177</v>
      </c>
      <c r="G11" s="2">
        <v>0.1174934725848564</v>
      </c>
      <c r="H11" s="2">
        <v>8.4165477888730383E-2</v>
      </c>
      <c r="Q11" s="2"/>
      <c r="AI11" s="2"/>
      <c r="AJ11" s="2"/>
      <c r="AK11" s="2"/>
      <c r="AL11" s="2"/>
      <c r="AM11" s="2"/>
    </row>
    <row r="12" spans="2:39" x14ac:dyDescent="0.3">
      <c r="O12" t="s">
        <v>951</v>
      </c>
      <c r="P12">
        <v>413</v>
      </c>
      <c r="Q12" s="2">
        <v>0.2015617374328941</v>
      </c>
      <c r="AI12" s="2"/>
      <c r="AJ12" s="2"/>
      <c r="AK12" s="2"/>
      <c r="AL12" s="2"/>
      <c r="AM12" s="2"/>
    </row>
    <row r="13" spans="2:39" x14ac:dyDescent="0.3">
      <c r="O13" t="s">
        <v>952</v>
      </c>
      <c r="P13">
        <v>357</v>
      </c>
      <c r="Q13" s="2">
        <v>0.17423133235724744</v>
      </c>
      <c r="AI13" s="2"/>
      <c r="AJ13" s="2"/>
      <c r="AK13" s="2"/>
      <c r="AL13" s="2"/>
      <c r="AM13" s="2"/>
    </row>
    <row r="14" spans="2:39" x14ac:dyDescent="0.3">
      <c r="O14" t="s">
        <v>953</v>
      </c>
      <c r="P14">
        <v>89</v>
      </c>
      <c r="Q14" s="2">
        <v>4.343582235236701E-2</v>
      </c>
      <c r="AI14" s="2"/>
      <c r="AJ14" s="2"/>
      <c r="AK14" s="2"/>
      <c r="AL14" s="2"/>
      <c r="AM14" s="2"/>
    </row>
    <row r="15" spans="2:39" x14ac:dyDescent="0.3">
      <c r="O15" t="s">
        <v>954</v>
      </c>
      <c r="P15">
        <v>32</v>
      </c>
      <c r="Q15" s="2">
        <v>1.5617374328940947E-2</v>
      </c>
      <c r="AI15" s="2"/>
      <c r="AJ15" s="2"/>
      <c r="AK15" s="2"/>
      <c r="AL15" s="2"/>
      <c r="AM15" s="2"/>
    </row>
    <row r="16" spans="2:39" x14ac:dyDescent="0.3">
      <c r="B16" t="s">
        <v>956</v>
      </c>
      <c r="P16" t="s">
        <v>960</v>
      </c>
      <c r="Q16" s="2"/>
      <c r="AI16" s="2"/>
      <c r="AJ16" s="2"/>
      <c r="AK16" s="2"/>
      <c r="AL16" s="2"/>
      <c r="AM16" s="2"/>
    </row>
    <row r="17" spans="3:39" x14ac:dyDescent="0.3">
      <c r="J17" t="s">
        <v>17</v>
      </c>
      <c r="K17" t="s">
        <v>17</v>
      </c>
      <c r="P17" t="s">
        <v>862</v>
      </c>
      <c r="Q17" s="2"/>
      <c r="AI17" s="2" t="s">
        <v>961</v>
      </c>
      <c r="AJ17" s="2" t="s">
        <v>962</v>
      </c>
      <c r="AK17" s="2" t="s">
        <v>963</v>
      </c>
      <c r="AL17" s="2" t="s">
        <v>964</v>
      </c>
      <c r="AM17" s="2" t="s">
        <v>965</v>
      </c>
    </row>
    <row r="18" spans="3:39" x14ac:dyDescent="0.3">
      <c r="J18">
        <v>3748</v>
      </c>
      <c r="K18">
        <v>3549</v>
      </c>
      <c r="Q18" s="2"/>
      <c r="T18" t="s">
        <v>961</v>
      </c>
      <c r="U18" t="s">
        <v>962</v>
      </c>
      <c r="V18" t="s">
        <v>963</v>
      </c>
      <c r="W18" t="s">
        <v>964</v>
      </c>
      <c r="X18" t="s">
        <v>965</v>
      </c>
      <c r="AH18" t="s">
        <v>938</v>
      </c>
      <c r="AI18" s="2"/>
      <c r="AJ18" s="2"/>
      <c r="AK18" s="2">
        <v>0.35618996798292424</v>
      </c>
      <c r="AL18" s="2">
        <v>0.31051000281769514</v>
      </c>
      <c r="AM18" s="2">
        <v>0.33057851239669422</v>
      </c>
    </row>
    <row r="19" spans="3:39" x14ac:dyDescent="0.3">
      <c r="I19" t="s">
        <v>938</v>
      </c>
      <c r="J19">
        <v>1335</v>
      </c>
      <c r="K19">
        <v>1102</v>
      </c>
      <c r="L19" t="s">
        <v>938</v>
      </c>
      <c r="M19" s="2">
        <f t="shared" ref="M19:M26" si="2">J19/3748</f>
        <v>0.35618996798292424</v>
      </c>
      <c r="N19" s="2">
        <f t="shared" ref="N19:N26" si="3">K19/3549</f>
        <v>0.31051000281769514</v>
      </c>
      <c r="O19" t="s">
        <v>938</v>
      </c>
      <c r="P19">
        <v>440</v>
      </c>
      <c r="Q19" s="2">
        <v>0.33057851239669422</v>
      </c>
      <c r="S19" t="s">
        <v>938</v>
      </c>
      <c r="V19" s="2">
        <v>0.35618996798292424</v>
      </c>
      <c r="W19" s="2">
        <v>0.31051000281769514</v>
      </c>
      <c r="X19" s="2">
        <v>0.33057851239669422</v>
      </c>
      <c r="AH19" t="s">
        <v>941</v>
      </c>
      <c r="AI19" s="2">
        <v>0.22600446428571427</v>
      </c>
      <c r="AJ19" s="2">
        <v>0.16828675577156743</v>
      </c>
      <c r="AK19" s="2">
        <v>0.22705442902881537</v>
      </c>
      <c r="AL19" s="2">
        <v>0.19582981121442661</v>
      </c>
      <c r="AM19" s="2">
        <v>0.20811419984973703</v>
      </c>
    </row>
    <row r="20" spans="3:39" x14ac:dyDescent="0.3">
      <c r="C20" t="s">
        <v>226</v>
      </c>
      <c r="D20">
        <v>7</v>
      </c>
      <c r="E20">
        <v>4</v>
      </c>
      <c r="G20" s="2">
        <f t="shared" ref="G20:G27" si="4">D20/1792</f>
        <v>3.90625E-3</v>
      </c>
      <c r="H20" s="2">
        <f t="shared" ref="H20:H27" si="5">E20/1646</f>
        <v>2.4301336573511541E-3</v>
      </c>
      <c r="I20" t="s">
        <v>939</v>
      </c>
      <c r="J20">
        <v>7</v>
      </c>
      <c r="K20">
        <v>5</v>
      </c>
      <c r="L20" t="s">
        <v>939</v>
      </c>
      <c r="M20" s="2">
        <f t="shared" si="2"/>
        <v>1.8676627534685165E-3</v>
      </c>
      <c r="N20" s="2">
        <f t="shared" si="3"/>
        <v>1.4088475626937165E-3</v>
      </c>
      <c r="O20" t="s">
        <v>226</v>
      </c>
      <c r="P20">
        <v>6</v>
      </c>
      <c r="Q20" s="2">
        <v>4.5078888054094664E-3</v>
      </c>
      <c r="S20" t="s">
        <v>940</v>
      </c>
      <c r="T20" s="2">
        <v>0.18136160714285715</v>
      </c>
      <c r="U20" s="2">
        <v>0.13912515188335359</v>
      </c>
      <c r="V20" s="2">
        <v>0.11819637139807898</v>
      </c>
      <c r="W20" s="2">
        <v>0.17892364046210199</v>
      </c>
      <c r="X20" s="2">
        <v>0.22088655146506386</v>
      </c>
      <c r="AH20" t="s">
        <v>940</v>
      </c>
      <c r="AI20" s="2">
        <v>0.18136160714285715</v>
      </c>
      <c r="AJ20" s="2">
        <v>0.13912515188335359</v>
      </c>
      <c r="AK20" s="2">
        <v>0.11819637139807898</v>
      </c>
      <c r="AL20" s="2">
        <v>0.17892364046210199</v>
      </c>
      <c r="AM20" s="2">
        <v>0.22088655146506386</v>
      </c>
    </row>
    <row r="21" spans="3:39" x14ac:dyDescent="0.3">
      <c r="C21" t="s">
        <v>940</v>
      </c>
      <c r="D21">
        <v>325</v>
      </c>
      <c r="E21">
        <v>229</v>
      </c>
      <c r="G21" s="2">
        <f t="shared" si="4"/>
        <v>0.18136160714285715</v>
      </c>
      <c r="H21" s="2">
        <f t="shared" si="5"/>
        <v>0.13912515188335359</v>
      </c>
      <c r="I21" t="s">
        <v>940</v>
      </c>
      <c r="J21">
        <v>443</v>
      </c>
      <c r="K21">
        <v>635</v>
      </c>
      <c r="L21" t="s">
        <v>940</v>
      </c>
      <c r="M21" s="2">
        <f t="shared" si="2"/>
        <v>0.11819637139807898</v>
      </c>
      <c r="N21" s="2">
        <f t="shared" si="3"/>
        <v>0.17892364046210199</v>
      </c>
      <c r="O21" t="s">
        <v>940</v>
      </c>
      <c r="P21">
        <v>294</v>
      </c>
      <c r="Q21" s="2">
        <v>0.22088655146506386</v>
      </c>
      <c r="S21" t="s">
        <v>941</v>
      </c>
      <c r="T21" s="2">
        <v>0.22600446428571427</v>
      </c>
      <c r="U21" s="2">
        <v>0.16828675577156743</v>
      </c>
      <c r="V21" s="2">
        <v>0.22705442902881537</v>
      </c>
      <c r="W21" s="2">
        <v>0.19582981121442661</v>
      </c>
      <c r="X21" s="2">
        <v>0.20811419984973703</v>
      </c>
      <c r="AH21" t="s">
        <v>942</v>
      </c>
      <c r="AI21" s="2">
        <v>8.3147321428571425E-2</v>
      </c>
      <c r="AJ21" s="2">
        <v>5.2855407047387608E-2</v>
      </c>
      <c r="AK21" s="2">
        <v>0.11819637139807898</v>
      </c>
      <c r="AL21" s="2">
        <v>0.10848126232741617</v>
      </c>
      <c r="AM21" s="2">
        <v>0.13673929376408714</v>
      </c>
    </row>
    <row r="22" spans="3:39" x14ac:dyDescent="0.3">
      <c r="C22" t="s">
        <v>946</v>
      </c>
      <c r="D22">
        <v>405</v>
      </c>
      <c r="E22">
        <v>277</v>
      </c>
      <c r="G22" s="2">
        <f t="shared" si="4"/>
        <v>0.22600446428571427</v>
      </c>
      <c r="H22" s="2">
        <f t="shared" si="5"/>
        <v>0.16828675577156743</v>
      </c>
      <c r="I22" t="s">
        <v>941</v>
      </c>
      <c r="J22">
        <v>851</v>
      </c>
      <c r="K22">
        <v>695</v>
      </c>
      <c r="L22" t="s">
        <v>941</v>
      </c>
      <c r="M22" s="2">
        <f t="shared" si="2"/>
        <v>0.22705442902881537</v>
      </c>
      <c r="N22" s="2">
        <f t="shared" si="3"/>
        <v>0.19582981121442661</v>
      </c>
      <c r="O22" t="s">
        <v>946</v>
      </c>
      <c r="P22">
        <v>277</v>
      </c>
      <c r="Q22" s="2">
        <v>0.20811419984973703</v>
      </c>
      <c r="S22" t="s">
        <v>942</v>
      </c>
      <c r="T22" s="2">
        <v>8.3147321428571425E-2</v>
      </c>
      <c r="U22" s="2">
        <v>5.2855407047387608E-2</v>
      </c>
      <c r="V22" s="2">
        <v>0.11819637139807898</v>
      </c>
      <c r="W22" s="2">
        <v>0.10848126232741617</v>
      </c>
      <c r="X22" s="2">
        <v>0.13673929376408714</v>
      </c>
      <c r="AH22" t="s">
        <v>943</v>
      </c>
      <c r="AI22" s="2">
        <v>6.0825892857142856E-2</v>
      </c>
      <c r="AJ22" s="2">
        <v>3.7059538274605106E-2</v>
      </c>
      <c r="AK22" s="2">
        <v>0.12166488794023479</v>
      </c>
      <c r="AL22" s="2">
        <v>0.10735418427726121</v>
      </c>
      <c r="AM22" s="2"/>
    </row>
    <row r="23" spans="3:39" x14ac:dyDescent="0.3">
      <c r="C23" t="s">
        <v>949</v>
      </c>
      <c r="D23">
        <v>149</v>
      </c>
      <c r="E23">
        <v>87</v>
      </c>
      <c r="G23" s="2">
        <f t="shared" si="4"/>
        <v>8.3147321428571425E-2</v>
      </c>
      <c r="H23" s="2">
        <f t="shared" si="5"/>
        <v>5.2855407047387608E-2</v>
      </c>
      <c r="I23" t="s">
        <v>942</v>
      </c>
      <c r="J23">
        <v>443</v>
      </c>
      <c r="K23">
        <v>385</v>
      </c>
      <c r="L23" t="s">
        <v>942</v>
      </c>
      <c r="M23" s="2">
        <f t="shared" si="2"/>
        <v>0.11819637139807898</v>
      </c>
      <c r="N23" s="2">
        <f t="shared" si="3"/>
        <v>0.10848126232741617</v>
      </c>
      <c r="O23" t="s">
        <v>942</v>
      </c>
      <c r="P23">
        <v>182</v>
      </c>
      <c r="Q23" s="2">
        <v>0.13673929376408714</v>
      </c>
      <c r="S23" t="s">
        <v>943</v>
      </c>
      <c r="T23" s="2">
        <v>6.0825892857142856E-2</v>
      </c>
      <c r="U23" s="2">
        <v>3.7059538274605106E-2</v>
      </c>
      <c r="V23" s="2">
        <v>0.12166488794023479</v>
      </c>
      <c r="W23" s="2">
        <v>0.10735418427726121</v>
      </c>
      <c r="X23" s="2"/>
      <c r="AH23" t="s">
        <v>944</v>
      </c>
      <c r="AI23" s="2">
        <v>3.1808035714285712E-2</v>
      </c>
      <c r="AJ23" s="2">
        <v>2.7946537059538274E-2</v>
      </c>
      <c r="AK23" s="2">
        <v>3.9487726787620067E-2</v>
      </c>
      <c r="AL23" s="2">
        <v>4.0574809805579037E-2</v>
      </c>
      <c r="AM23" s="2"/>
    </row>
    <row r="24" spans="3:39" x14ac:dyDescent="0.3">
      <c r="C24" t="s">
        <v>950</v>
      </c>
      <c r="D24">
        <v>109</v>
      </c>
      <c r="E24">
        <v>61</v>
      </c>
      <c r="G24" s="2">
        <f t="shared" si="4"/>
        <v>6.0825892857142856E-2</v>
      </c>
      <c r="H24" s="2">
        <f t="shared" si="5"/>
        <v>3.7059538274605106E-2</v>
      </c>
      <c r="I24" t="s">
        <v>943</v>
      </c>
      <c r="J24">
        <v>456</v>
      </c>
      <c r="K24">
        <v>381</v>
      </c>
      <c r="L24" t="s">
        <v>943</v>
      </c>
      <c r="M24" s="2">
        <f t="shared" si="2"/>
        <v>0.12166488794023479</v>
      </c>
      <c r="N24" s="2">
        <f t="shared" si="3"/>
        <v>0.10735418427726121</v>
      </c>
      <c r="Q24" s="2"/>
      <c r="S24" t="s">
        <v>945</v>
      </c>
      <c r="T24" s="2">
        <v>5.0223214285714289E-3</v>
      </c>
      <c r="U24" s="2">
        <v>3.0376670716889429E-3</v>
      </c>
      <c r="V24" s="2">
        <v>4.4290288153681967E-2</v>
      </c>
      <c r="W24" s="2">
        <v>3.634826711749789E-2</v>
      </c>
      <c r="X24" s="2">
        <v>0.10818933132982719</v>
      </c>
      <c r="AI24" s="2"/>
      <c r="AJ24" s="2"/>
      <c r="AK24" s="2"/>
      <c r="AL24" s="2"/>
      <c r="AM24" s="2"/>
    </row>
    <row r="25" spans="3:39" x14ac:dyDescent="0.3">
      <c r="C25" t="s">
        <v>947</v>
      </c>
      <c r="D25">
        <v>9</v>
      </c>
      <c r="E25">
        <v>5</v>
      </c>
      <c r="G25" s="2">
        <f t="shared" si="4"/>
        <v>5.0223214285714289E-3</v>
      </c>
      <c r="H25" s="2">
        <f t="shared" si="5"/>
        <v>3.0376670716889429E-3</v>
      </c>
      <c r="I25" t="s">
        <v>945</v>
      </c>
      <c r="J25">
        <v>166</v>
      </c>
      <c r="K25">
        <v>129</v>
      </c>
      <c r="L25" t="s">
        <v>945</v>
      </c>
      <c r="M25" s="2">
        <f t="shared" si="2"/>
        <v>4.4290288153681967E-2</v>
      </c>
      <c r="N25" s="2">
        <f t="shared" si="3"/>
        <v>3.634826711749789E-2</v>
      </c>
      <c r="O25" t="s">
        <v>955</v>
      </c>
      <c r="P25">
        <v>144</v>
      </c>
      <c r="Q25" s="2">
        <v>0.10818933132982719</v>
      </c>
      <c r="S25" t="s">
        <v>944</v>
      </c>
      <c r="T25" s="2">
        <v>3.1808035714285712E-2</v>
      </c>
      <c r="U25" s="2">
        <v>2.7946537059538274E-2</v>
      </c>
      <c r="V25" s="2">
        <v>3.9487726787620067E-2</v>
      </c>
      <c r="W25" s="2">
        <v>4.0574809805579037E-2</v>
      </c>
      <c r="X25" s="2"/>
    </row>
    <row r="26" spans="3:39" x14ac:dyDescent="0.3">
      <c r="C26" t="s">
        <v>944</v>
      </c>
      <c r="D26">
        <v>57</v>
      </c>
      <c r="E26">
        <v>46</v>
      </c>
      <c r="G26" s="2">
        <f t="shared" si="4"/>
        <v>3.1808035714285712E-2</v>
      </c>
      <c r="H26" s="2">
        <f t="shared" si="5"/>
        <v>2.7946537059538274E-2</v>
      </c>
      <c r="I26" t="s">
        <v>944</v>
      </c>
      <c r="J26">
        <v>148</v>
      </c>
      <c r="K26">
        <v>144</v>
      </c>
      <c r="L26" t="s">
        <v>944</v>
      </c>
      <c r="M26" s="2">
        <f t="shared" si="2"/>
        <v>3.9487726787620067E-2</v>
      </c>
      <c r="N26" s="2">
        <f t="shared" si="3"/>
        <v>4.0574809805579037E-2</v>
      </c>
      <c r="Q26" s="2"/>
      <c r="S26" t="s">
        <v>939</v>
      </c>
      <c r="T26" s="2">
        <v>3.90625E-3</v>
      </c>
      <c r="U26" s="2">
        <v>2.4301336573511541E-3</v>
      </c>
      <c r="V26" s="2">
        <v>1.8676627534685165E-3</v>
      </c>
      <c r="W26" s="2">
        <v>1.4088475626937165E-3</v>
      </c>
      <c r="X26" s="2">
        <v>4.5078888054094664E-3</v>
      </c>
    </row>
    <row r="27" spans="3:39" x14ac:dyDescent="0.3">
      <c r="C27" t="s">
        <v>948</v>
      </c>
      <c r="D27">
        <v>118</v>
      </c>
      <c r="E27">
        <v>99</v>
      </c>
      <c r="G27" s="2">
        <f t="shared" si="4"/>
        <v>6.5848214285714288E-2</v>
      </c>
      <c r="H27" s="2">
        <f t="shared" si="5"/>
        <v>6.0145808019441069E-2</v>
      </c>
      <c r="Q27" s="2"/>
    </row>
    <row r="28" spans="3:39" x14ac:dyDescent="0.3">
      <c r="O28" t="s">
        <v>951</v>
      </c>
      <c r="P28">
        <v>244</v>
      </c>
      <c r="Q28" s="2">
        <v>0.18332081141998496</v>
      </c>
    </row>
    <row r="29" spans="3:39" x14ac:dyDescent="0.3">
      <c r="O29" t="s">
        <v>952</v>
      </c>
      <c r="P29">
        <v>207</v>
      </c>
      <c r="Q29" s="2">
        <v>0.15552216378662659</v>
      </c>
    </row>
    <row r="30" spans="3:39" x14ac:dyDescent="0.3">
      <c r="O30" t="s">
        <v>953</v>
      </c>
      <c r="P30">
        <v>42</v>
      </c>
      <c r="Q30" s="2">
        <v>3.1555221637866268E-2</v>
      </c>
    </row>
    <row r="31" spans="3:39" x14ac:dyDescent="0.3">
      <c r="O31" t="s">
        <v>954</v>
      </c>
      <c r="P31">
        <v>21</v>
      </c>
      <c r="Q31" s="2">
        <v>1.5777610818933134E-2</v>
      </c>
    </row>
  </sheetData>
  <sortState ref="S19:X26">
    <sortCondition descending="1" ref="V19:V26"/>
  </sortState>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11"/>
  <sheetViews>
    <sheetView tabSelected="1" workbookViewId="0">
      <selection activeCell="J11" sqref="J11:N11"/>
    </sheetView>
  </sheetViews>
  <sheetFormatPr defaultRowHeight="14.4" x14ac:dyDescent="0.3"/>
  <cols>
    <col min="9" max="9" width="12" customWidth="1"/>
  </cols>
  <sheetData>
    <row r="1" spans="2:16" ht="15" thickBot="1" x14ac:dyDescent="0.35">
      <c r="B1" t="s">
        <v>966</v>
      </c>
      <c r="C1">
        <f>2298+1792</f>
        <v>4090</v>
      </c>
      <c r="D1">
        <f>2103+1646</f>
        <v>3749</v>
      </c>
      <c r="E1">
        <f>11406+3748</f>
        <v>15154</v>
      </c>
      <c r="F1">
        <f>10320+3549</f>
        <v>13869</v>
      </c>
      <c r="G1">
        <f>2049+1331</f>
        <v>3380</v>
      </c>
    </row>
    <row r="2" spans="2:16" ht="43.8" thickTop="1" x14ac:dyDescent="0.3">
      <c r="C2" t="s">
        <v>961</v>
      </c>
      <c r="D2" t="s">
        <v>962</v>
      </c>
      <c r="E2" t="s">
        <v>963</v>
      </c>
      <c r="F2" t="s">
        <v>964</v>
      </c>
      <c r="G2" t="s">
        <v>965</v>
      </c>
      <c r="I2" s="4"/>
      <c r="J2" s="5" t="s">
        <v>961</v>
      </c>
      <c r="K2" s="5" t="s">
        <v>962</v>
      </c>
      <c r="L2" s="5" t="s">
        <v>963</v>
      </c>
      <c r="M2" s="5" t="s">
        <v>964</v>
      </c>
      <c r="N2" s="5" t="s">
        <v>965</v>
      </c>
      <c r="O2" s="5" t="s">
        <v>967</v>
      </c>
      <c r="P2" s="6" t="s">
        <v>968</v>
      </c>
    </row>
    <row r="3" spans="2:16" x14ac:dyDescent="0.3">
      <c r="B3" t="s">
        <v>938</v>
      </c>
      <c r="E3">
        <f>5063+1335</f>
        <v>6398</v>
      </c>
      <c r="F3">
        <f>3967+1102</f>
        <v>5069</v>
      </c>
      <c r="G3">
        <f>745+440</f>
        <v>1185</v>
      </c>
      <c r="I3" s="7" t="s">
        <v>938</v>
      </c>
      <c r="J3" s="8"/>
      <c r="K3" s="8"/>
      <c r="L3" s="8">
        <f t="shared" ref="L3:L8" si="0">E3/15154</f>
        <v>0.42219875940345786</v>
      </c>
      <c r="M3" s="8">
        <f t="shared" ref="M3:M8" si="1">F3/13869</f>
        <v>0.3654913836614031</v>
      </c>
      <c r="N3" s="8">
        <f>G3/3380</f>
        <v>0.35059171597633138</v>
      </c>
      <c r="O3" s="8">
        <f>AVERAGE(L3:N3)</f>
        <v>0.37942728634706407</v>
      </c>
      <c r="P3" s="9">
        <f>STDEV(J3:N3)</f>
        <v>3.7782922132118826E-2</v>
      </c>
    </row>
    <row r="4" spans="2:16" x14ac:dyDescent="0.3">
      <c r="B4" t="s">
        <v>941</v>
      </c>
      <c r="C4">
        <f>767+405</f>
        <v>1172</v>
      </c>
      <c r="D4">
        <f>479+277</f>
        <v>756</v>
      </c>
      <c r="E4">
        <f>3282+851</f>
        <v>4133</v>
      </c>
      <c r="F4">
        <f>2530+695</f>
        <v>3225</v>
      </c>
      <c r="G4">
        <f>451+277</f>
        <v>728</v>
      </c>
      <c r="I4" s="7" t="s">
        <v>941</v>
      </c>
      <c r="J4" s="8">
        <f>C4/4090</f>
        <v>0.28655256723716382</v>
      </c>
      <c r="K4" s="8">
        <f>D4/3749</f>
        <v>0.20165377433982395</v>
      </c>
      <c r="L4" s="8">
        <f t="shared" si="0"/>
        <v>0.27273327174343409</v>
      </c>
      <c r="M4" s="8">
        <f t="shared" si="1"/>
        <v>0.23253298723772442</v>
      </c>
      <c r="N4" s="8">
        <f>G4/3380</f>
        <v>0.2153846153846154</v>
      </c>
      <c r="O4" s="8">
        <f t="shared" ref="O4:O8" si="2">AVERAGE(L4:N4)</f>
        <v>0.24021695812192465</v>
      </c>
      <c r="P4" s="9">
        <f t="shared" ref="P4:P8" si="3">STDEV(J4:N4)</f>
        <v>3.6589018168998795E-2</v>
      </c>
    </row>
    <row r="5" spans="2:16" x14ac:dyDescent="0.3">
      <c r="B5" t="s">
        <v>940</v>
      </c>
      <c r="C5">
        <f>775+325</f>
        <v>1100</v>
      </c>
      <c r="D5">
        <f>506+229</f>
        <v>735</v>
      </c>
      <c r="E5">
        <f>3303+443</f>
        <v>3746</v>
      </c>
      <c r="F5">
        <f>2617+635</f>
        <v>3252</v>
      </c>
      <c r="G5">
        <f>508+294</f>
        <v>802</v>
      </c>
      <c r="I5" s="7" t="s">
        <v>940</v>
      </c>
      <c r="J5" s="8">
        <f>C5/4090</f>
        <v>0.26894865525672373</v>
      </c>
      <c r="K5" s="8">
        <f>D5/3749</f>
        <v>0.19605228060816218</v>
      </c>
      <c r="L5" s="8">
        <f t="shared" si="0"/>
        <v>0.2471954599445691</v>
      </c>
      <c r="M5" s="8">
        <f t="shared" si="1"/>
        <v>0.23447977503785419</v>
      </c>
      <c r="N5" s="8">
        <f>G5/3380</f>
        <v>0.23727810650887574</v>
      </c>
      <c r="O5" s="8">
        <f t="shared" si="2"/>
        <v>0.239651113830433</v>
      </c>
      <c r="P5" s="9">
        <f t="shared" si="3"/>
        <v>2.6493347606085613E-2</v>
      </c>
    </row>
    <row r="6" spans="2:16" x14ac:dyDescent="0.3">
      <c r="B6" t="s">
        <v>942</v>
      </c>
      <c r="C6">
        <f>249+149</f>
        <v>398</v>
      </c>
      <c r="D6">
        <f>173+87</f>
        <v>260</v>
      </c>
      <c r="E6">
        <f>1626+443</f>
        <v>2069</v>
      </c>
      <c r="F6">
        <f>1312+385</f>
        <v>1697</v>
      </c>
      <c r="G6">
        <f>248+182</f>
        <v>430</v>
      </c>
      <c r="I6" s="7" t="s">
        <v>942</v>
      </c>
      <c r="J6" s="8">
        <f>C6/4090</f>
        <v>9.7310513447432759E-2</v>
      </c>
      <c r="K6" s="8">
        <f>D6/3749</f>
        <v>6.9351827153907711E-2</v>
      </c>
      <c r="L6" s="8">
        <f t="shared" si="0"/>
        <v>0.13653160881615414</v>
      </c>
      <c r="M6" s="8">
        <f t="shared" si="1"/>
        <v>0.12235921840074987</v>
      </c>
      <c r="N6" s="8">
        <f>G6/3380</f>
        <v>0.12721893491124261</v>
      </c>
      <c r="O6" s="8">
        <f t="shared" si="2"/>
        <v>0.12870325404271554</v>
      </c>
      <c r="P6" s="9">
        <f t="shared" si="3"/>
        <v>2.7225577952145887E-2</v>
      </c>
    </row>
    <row r="7" spans="2:16" x14ac:dyDescent="0.3">
      <c r="B7" t="s">
        <v>943</v>
      </c>
      <c r="C7">
        <f>138+109</f>
        <v>247</v>
      </c>
      <c r="D7">
        <f>109+61</f>
        <v>170</v>
      </c>
      <c r="E7">
        <f>1327+456</f>
        <v>1783</v>
      </c>
      <c r="F7">
        <f>1087+381</f>
        <v>1468</v>
      </c>
      <c r="I7" s="7" t="s">
        <v>943</v>
      </c>
      <c r="J7" s="8">
        <f>C7/4090</f>
        <v>6.0391198044009782E-2</v>
      </c>
      <c r="K7" s="8">
        <f>D7/3749</f>
        <v>4.5345425446785811E-2</v>
      </c>
      <c r="L7" s="8">
        <f t="shared" si="0"/>
        <v>0.1176587039725485</v>
      </c>
      <c r="M7" s="8">
        <f t="shared" si="1"/>
        <v>0.10584757372557502</v>
      </c>
      <c r="N7" s="8"/>
      <c r="O7" s="8">
        <f t="shared" si="2"/>
        <v>0.11175313884906177</v>
      </c>
      <c r="P7" s="9">
        <f t="shared" si="3"/>
        <v>3.4882478402045766E-2</v>
      </c>
    </row>
    <row r="8" spans="2:16" ht="15" thickBot="1" x14ac:dyDescent="0.35">
      <c r="B8" t="s">
        <v>944</v>
      </c>
      <c r="C8">
        <f>146+57</f>
        <v>203</v>
      </c>
      <c r="D8">
        <f>79+46</f>
        <v>125</v>
      </c>
      <c r="E8">
        <f>730+148</f>
        <v>878</v>
      </c>
      <c r="F8">
        <f>611+144</f>
        <v>755</v>
      </c>
      <c r="I8" s="10" t="s">
        <v>944</v>
      </c>
      <c r="J8" s="11">
        <f>C8/4090</f>
        <v>4.963325183374083E-2</v>
      </c>
      <c r="K8" s="11">
        <f>D8/3749</f>
        <v>3.3342224593224862E-2</v>
      </c>
      <c r="L8" s="11">
        <f t="shared" si="0"/>
        <v>5.7938498086313843E-2</v>
      </c>
      <c r="M8" s="11">
        <f t="shared" si="1"/>
        <v>5.4437955151777344E-2</v>
      </c>
      <c r="N8" s="11"/>
      <c r="O8" s="11">
        <f t="shared" si="2"/>
        <v>5.6188226619045593E-2</v>
      </c>
      <c r="P8" s="12">
        <f t="shared" si="3"/>
        <v>1.0877040713600475E-2</v>
      </c>
    </row>
    <row r="9" spans="2:16" ht="15.6" thickTop="1" thickBot="1" x14ac:dyDescent="0.35"/>
    <row r="10" spans="2:16" ht="29.4" thickTop="1" x14ac:dyDescent="0.3">
      <c r="J10" s="5" t="s">
        <v>961</v>
      </c>
      <c r="K10" s="5" t="s">
        <v>962</v>
      </c>
      <c r="L10" s="5" t="s">
        <v>963</v>
      </c>
      <c r="M10" s="5" t="s">
        <v>964</v>
      </c>
      <c r="N10" s="5" t="s">
        <v>965</v>
      </c>
    </row>
    <row r="11" spans="2:16" x14ac:dyDescent="0.3">
      <c r="J11" s="13">
        <f>PEARSON(J4:J8,O4:O8)</f>
        <v>0.97354371941950435</v>
      </c>
      <c r="K11" s="13">
        <f>PEARSON(K4:K8,O4:O8)</f>
        <v>0.9781322692152199</v>
      </c>
      <c r="L11" s="13">
        <f>PEARSON(L3:L8,O3:O8)</f>
        <v>0.99807728517393746</v>
      </c>
      <c r="M11" s="13">
        <f>PEARSON(M3:M8,O3:O8)</f>
        <v>0.99986618935508953</v>
      </c>
      <c r="N11" s="13">
        <f>PEARSON(N3:N6,O3:O6)</f>
        <v>0.99503956744774724</v>
      </c>
    </row>
  </sheetData>
  <pageMargins left="0.7" right="0.7" top="0.75" bottom="0.75" header="0.3" footer="0.3"/>
  <pageSetup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Combined</vt:lpstr>
      <vt:lpstr>Table_S1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2022-03-24T12:06:56Z</dcterms:created>
  <dcterms:modified xsi:type="dcterms:W3CDTF">2022-05-27T12:35:22Z</dcterms:modified>
</cp:coreProperties>
</file>