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44491A65-E744-EB41-94C1-8248FAC91313}" xr6:coauthVersionLast="47" xr6:coauthVersionMax="47" xr10:uidLastSave="{00000000-0000-0000-0000-000000000000}"/>
  <bookViews>
    <workbookView xWindow="0" yWindow="500" windowWidth="35840" windowHeight="20720" xr2:uid="{00000000-000D-0000-FFFF-FFFF00000000}"/>
  </bookViews>
  <sheets>
    <sheet name="Sheet 1" sheetId="1" r:id="rId1"/>
    <sheet name="Solar park" sheetId="2" r:id="rId2"/>
    <sheet name="Solar offshore" sheetId="3" r:id="rId3"/>
    <sheet name="100% solar" sheetId="4" r:id="rId4"/>
    <sheet name="Solar thermal" sheetId="5" r:id="rId5"/>
    <sheet name="100 % offshor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5" l="1"/>
  <c r="C7" i="3"/>
  <c r="E23" i="2"/>
  <c r="I7" i="3"/>
  <c r="I3" i="3"/>
  <c r="I4" i="3"/>
  <c r="I5" i="3"/>
  <c r="I6" i="3"/>
  <c r="I2" i="3"/>
  <c r="G2" i="3"/>
  <c r="D26" i="2"/>
  <c r="D25" i="2"/>
  <c r="D23" i="2"/>
  <c r="E28" i="2"/>
  <c r="E27" i="2"/>
  <c r="I2" i="2"/>
  <c r="I23" i="2"/>
  <c r="S7" i="1"/>
  <c r="R17" i="1"/>
  <c r="S41" i="1"/>
  <c r="Q41" i="1"/>
  <c r="S39" i="1"/>
  <c r="S2" i="1"/>
  <c r="S3" i="1"/>
  <c r="S4" i="1"/>
  <c r="S5" i="1"/>
  <c r="S6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AC2" i="1"/>
  <c r="AA2" i="1"/>
  <c r="G2" i="1"/>
  <c r="G3" i="3"/>
  <c r="G4" i="3"/>
  <c r="G5" i="3"/>
  <c r="G6" i="3"/>
  <c r="F2" i="3"/>
  <c r="E2" i="3"/>
  <c r="AE2" i="1"/>
  <c r="AL2" i="1"/>
  <c r="AG2" i="1" s="1"/>
  <c r="AH2" i="1" s="1"/>
  <c r="AI2" i="1" s="1"/>
  <c r="AF7" i="1"/>
  <c r="AE18" i="1"/>
  <c r="AE3" i="1"/>
  <c r="AF2" i="1"/>
  <c r="U26" i="1"/>
  <c r="U37" i="1"/>
  <c r="E21" i="2"/>
  <c r="E13" i="2"/>
  <c r="E32" i="2"/>
  <c r="O2" i="2"/>
  <c r="N2" i="2"/>
  <c r="H4" i="2"/>
  <c r="H5" i="2"/>
  <c r="H7" i="2"/>
  <c r="H9" i="2"/>
  <c r="H11" i="2"/>
  <c r="H13" i="2"/>
  <c r="H15" i="2"/>
  <c r="H17" i="2"/>
  <c r="H19" i="2"/>
  <c r="H21" i="2"/>
  <c r="H2" i="2"/>
  <c r="G2" i="2"/>
  <c r="F2" i="2"/>
  <c r="E2" i="2"/>
  <c r="B25" i="2"/>
  <c r="U2" i="1"/>
  <c r="N2" i="1"/>
  <c r="M2" i="1"/>
  <c r="H3" i="5"/>
  <c r="H4" i="5"/>
  <c r="H5" i="5"/>
  <c r="H6" i="5"/>
  <c r="H29" i="5" s="1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" i="5"/>
  <c r="I2" i="5"/>
  <c r="G2" i="5"/>
  <c r="H9" i="6" l="1"/>
  <c r="E29" i="5"/>
  <c r="M19" i="5"/>
  <c r="B29" i="5"/>
  <c r="N9" i="6"/>
  <c r="F9" i="6"/>
  <c r="B9" i="6"/>
  <c r="R9" i="6" s="1"/>
  <c r="R8" i="6"/>
  <c r="O8" i="6"/>
  <c r="F8" i="6"/>
  <c r="G8" i="6" s="1"/>
  <c r="R7" i="6"/>
  <c r="O7" i="6"/>
  <c r="F7" i="6"/>
  <c r="G7" i="6" s="1"/>
  <c r="J7" i="6" s="1"/>
  <c r="K7" i="6" s="1"/>
  <c r="R6" i="6"/>
  <c r="O6" i="6"/>
  <c r="F6" i="6"/>
  <c r="G6" i="6" s="1"/>
  <c r="R5" i="6"/>
  <c r="O5" i="6"/>
  <c r="J5" i="6"/>
  <c r="K5" i="6" s="1"/>
  <c r="G5" i="6"/>
  <c r="H5" i="6" s="1"/>
  <c r="I5" i="6" s="1"/>
  <c r="F5" i="6"/>
  <c r="R4" i="6"/>
  <c r="O4" i="6"/>
  <c r="G4" i="6"/>
  <c r="F4" i="6"/>
  <c r="R3" i="6"/>
  <c r="O3" i="6"/>
  <c r="F3" i="6"/>
  <c r="G3" i="6" s="1"/>
  <c r="R2" i="6"/>
  <c r="O2" i="6"/>
  <c r="F2" i="6"/>
  <c r="G2" i="6" s="1"/>
  <c r="G40" i="5"/>
  <c r="H40" i="5" s="1"/>
  <c r="I40" i="5" s="1"/>
  <c r="H39" i="5"/>
  <c r="I39" i="5" s="1"/>
  <c r="G39" i="5"/>
  <c r="H38" i="5"/>
  <c r="I38" i="5" s="1"/>
  <c r="G38" i="5"/>
  <c r="G37" i="5"/>
  <c r="H37" i="5" s="1"/>
  <c r="I37" i="5" s="1"/>
  <c r="G36" i="5"/>
  <c r="H36" i="5" s="1"/>
  <c r="I36" i="5" s="1"/>
  <c r="G35" i="5"/>
  <c r="H35" i="5" s="1"/>
  <c r="I35" i="5" s="1"/>
  <c r="I34" i="5"/>
  <c r="G34" i="5"/>
  <c r="H34" i="5" s="1"/>
  <c r="D31" i="5"/>
  <c r="D29" i="5"/>
  <c r="G28" i="5"/>
  <c r="F28" i="5"/>
  <c r="E28" i="5"/>
  <c r="F27" i="5"/>
  <c r="G27" i="5" s="1"/>
  <c r="I27" i="5" s="1"/>
  <c r="E27" i="5"/>
  <c r="F26" i="5"/>
  <c r="G26" i="5" s="1"/>
  <c r="I26" i="5" s="1"/>
  <c r="E26" i="5"/>
  <c r="I25" i="5"/>
  <c r="F25" i="5"/>
  <c r="G25" i="5" s="1"/>
  <c r="E25" i="5"/>
  <c r="G24" i="5"/>
  <c r="I24" i="5" s="1"/>
  <c r="F24" i="5"/>
  <c r="E24" i="5"/>
  <c r="F23" i="5"/>
  <c r="G23" i="5" s="1"/>
  <c r="I23" i="5" s="1"/>
  <c r="E23" i="5"/>
  <c r="G22" i="5"/>
  <c r="F22" i="5"/>
  <c r="E22" i="5"/>
  <c r="F21" i="5"/>
  <c r="G21" i="5" s="1"/>
  <c r="I21" i="5" s="1"/>
  <c r="E21" i="5"/>
  <c r="G20" i="5"/>
  <c r="I20" i="5" s="1"/>
  <c r="F20" i="5"/>
  <c r="E20" i="5"/>
  <c r="F19" i="5"/>
  <c r="E19" i="5"/>
  <c r="C19" i="5"/>
  <c r="F18" i="5"/>
  <c r="G18" i="5" s="1"/>
  <c r="I18" i="5" s="1"/>
  <c r="E18" i="5"/>
  <c r="G17" i="5"/>
  <c r="I17" i="5" s="1"/>
  <c r="F17" i="5"/>
  <c r="E17" i="5"/>
  <c r="F16" i="5"/>
  <c r="G16" i="5" s="1"/>
  <c r="I16" i="5" s="1"/>
  <c r="E16" i="5"/>
  <c r="F15" i="5"/>
  <c r="G15" i="5" s="1"/>
  <c r="E15" i="5"/>
  <c r="G14" i="5"/>
  <c r="I14" i="5" s="1"/>
  <c r="F14" i="5"/>
  <c r="E14" i="5"/>
  <c r="G13" i="5"/>
  <c r="F13" i="5"/>
  <c r="E13" i="5"/>
  <c r="I13" i="5" s="1"/>
  <c r="I12" i="5"/>
  <c r="G12" i="5"/>
  <c r="F12" i="5"/>
  <c r="E12" i="5"/>
  <c r="F11" i="5"/>
  <c r="G11" i="5" s="1"/>
  <c r="E11" i="5"/>
  <c r="G10" i="5"/>
  <c r="I10" i="5" s="1"/>
  <c r="F10" i="5"/>
  <c r="E10" i="5"/>
  <c r="G9" i="5"/>
  <c r="I9" i="5" s="1"/>
  <c r="F9" i="5"/>
  <c r="E9" i="5"/>
  <c r="F8" i="5"/>
  <c r="G8" i="5" s="1"/>
  <c r="I8" i="5" s="1"/>
  <c r="E8" i="5"/>
  <c r="F7" i="5"/>
  <c r="G7" i="5" s="1"/>
  <c r="I7" i="5" s="1"/>
  <c r="E7" i="5"/>
  <c r="I6" i="5"/>
  <c r="F6" i="5"/>
  <c r="G6" i="5" s="1"/>
  <c r="E6" i="5"/>
  <c r="G5" i="5"/>
  <c r="I5" i="5" s="1"/>
  <c r="F5" i="5"/>
  <c r="E5" i="5"/>
  <c r="F4" i="5"/>
  <c r="G4" i="5" s="1"/>
  <c r="I4" i="5" s="1"/>
  <c r="E4" i="5"/>
  <c r="G3" i="5"/>
  <c r="F3" i="5"/>
  <c r="E3" i="5"/>
  <c r="F2" i="5"/>
  <c r="E2" i="5"/>
  <c r="K186" i="4"/>
  <c r="M186" i="4" s="1"/>
  <c r="M185" i="4"/>
  <c r="K185" i="4"/>
  <c r="K184" i="4"/>
  <c r="M184" i="4" s="1"/>
  <c r="M183" i="4"/>
  <c r="K183" i="4"/>
  <c r="M182" i="4"/>
  <c r="K182" i="4"/>
  <c r="M181" i="4"/>
  <c r="K181" i="4"/>
  <c r="M180" i="4"/>
  <c r="K180" i="4"/>
  <c r="M179" i="4"/>
  <c r="K179" i="4"/>
  <c r="C175" i="4"/>
  <c r="O172" i="4"/>
  <c r="L172" i="4"/>
  <c r="M172" i="4" s="1"/>
  <c r="P172" i="4" s="1"/>
  <c r="I172" i="4"/>
  <c r="J172" i="4" s="1"/>
  <c r="K172" i="4" s="1"/>
  <c r="H172" i="4"/>
  <c r="C172" i="4"/>
  <c r="N172" i="4" s="1"/>
  <c r="J171" i="4"/>
  <c r="K171" i="4" s="1"/>
  <c r="I171" i="4"/>
  <c r="L171" i="4" s="1"/>
  <c r="M171" i="4" s="1"/>
  <c r="H171" i="4"/>
  <c r="C171" i="4"/>
  <c r="N171" i="4" s="1"/>
  <c r="O171" i="4" s="1"/>
  <c r="M170" i="4"/>
  <c r="L170" i="4"/>
  <c r="K170" i="4"/>
  <c r="J170" i="4"/>
  <c r="I170" i="4"/>
  <c r="H170" i="4"/>
  <c r="C170" i="4"/>
  <c r="N170" i="4" s="1"/>
  <c r="O170" i="4" s="1"/>
  <c r="P170" i="4" s="1"/>
  <c r="N169" i="4"/>
  <c r="O169" i="4" s="1"/>
  <c r="M169" i="4"/>
  <c r="J169" i="4"/>
  <c r="K169" i="4" s="1"/>
  <c r="I169" i="4"/>
  <c r="L169" i="4" s="1"/>
  <c r="H169" i="4"/>
  <c r="C169" i="4"/>
  <c r="H168" i="4"/>
  <c r="I168" i="4" s="1"/>
  <c r="C168" i="4"/>
  <c r="N168" i="4" s="1"/>
  <c r="O168" i="4" s="1"/>
  <c r="N167" i="4"/>
  <c r="O167" i="4" s="1"/>
  <c r="I167" i="4"/>
  <c r="H167" i="4"/>
  <c r="C167" i="4"/>
  <c r="O166" i="4"/>
  <c r="P166" i="4" s="1"/>
  <c r="L166" i="4"/>
  <c r="M166" i="4" s="1"/>
  <c r="K166" i="4"/>
  <c r="H166" i="4"/>
  <c r="I166" i="4" s="1"/>
  <c r="J166" i="4" s="1"/>
  <c r="C166" i="4"/>
  <c r="N166" i="4" s="1"/>
  <c r="O165" i="4"/>
  <c r="N165" i="4"/>
  <c r="I165" i="4"/>
  <c r="H165" i="4"/>
  <c r="C165" i="4"/>
  <c r="I164" i="4"/>
  <c r="J164" i="4" s="1"/>
  <c r="K164" i="4" s="1"/>
  <c r="H164" i="4"/>
  <c r="C164" i="4"/>
  <c r="N164" i="4" s="1"/>
  <c r="O164" i="4" s="1"/>
  <c r="M163" i="4"/>
  <c r="J163" i="4"/>
  <c r="K163" i="4" s="1"/>
  <c r="I163" i="4"/>
  <c r="L163" i="4" s="1"/>
  <c r="H163" i="4"/>
  <c r="C163" i="4"/>
  <c r="N163" i="4" s="1"/>
  <c r="O163" i="4" s="1"/>
  <c r="M162" i="4"/>
  <c r="L162" i="4"/>
  <c r="K162" i="4"/>
  <c r="J162" i="4"/>
  <c r="I162" i="4"/>
  <c r="H162" i="4"/>
  <c r="C162" i="4"/>
  <c r="N162" i="4" s="1"/>
  <c r="O162" i="4" s="1"/>
  <c r="P162" i="4" s="1"/>
  <c r="N161" i="4"/>
  <c r="O161" i="4" s="1"/>
  <c r="J161" i="4"/>
  <c r="K161" i="4" s="1"/>
  <c r="I161" i="4"/>
  <c r="L161" i="4" s="1"/>
  <c r="M161" i="4" s="1"/>
  <c r="H161" i="4"/>
  <c r="C161" i="4"/>
  <c r="H160" i="4"/>
  <c r="I160" i="4" s="1"/>
  <c r="C160" i="4"/>
  <c r="N160" i="4" s="1"/>
  <c r="O160" i="4" s="1"/>
  <c r="N159" i="4"/>
  <c r="O159" i="4" s="1"/>
  <c r="I159" i="4"/>
  <c r="H159" i="4"/>
  <c r="C159" i="4"/>
  <c r="H158" i="4"/>
  <c r="I158" i="4" s="1"/>
  <c r="J158" i="4" s="1"/>
  <c r="K158" i="4" s="1"/>
  <c r="C158" i="4"/>
  <c r="N158" i="4" s="1"/>
  <c r="O158" i="4" s="1"/>
  <c r="O157" i="4"/>
  <c r="N157" i="4"/>
  <c r="I157" i="4"/>
  <c r="H157" i="4"/>
  <c r="C157" i="4"/>
  <c r="G156" i="4"/>
  <c r="H156" i="4" s="1"/>
  <c r="H155" i="4"/>
  <c r="H154" i="4"/>
  <c r="H153" i="4"/>
  <c r="H152" i="4"/>
  <c r="H151" i="4"/>
  <c r="H150" i="4"/>
  <c r="H149" i="4"/>
  <c r="H148" i="4"/>
  <c r="G148" i="4"/>
  <c r="H147" i="4"/>
  <c r="H146" i="4"/>
  <c r="H145" i="4"/>
  <c r="H144" i="4"/>
  <c r="H143" i="4"/>
  <c r="H142" i="4"/>
  <c r="H141" i="4"/>
  <c r="G140" i="4"/>
  <c r="H140" i="4" s="1"/>
  <c r="H139" i="4"/>
  <c r="H138" i="4"/>
  <c r="H137" i="4"/>
  <c r="H136" i="4"/>
  <c r="H135" i="4"/>
  <c r="H134" i="4"/>
  <c r="H133" i="4"/>
  <c r="G132" i="4"/>
  <c r="H132" i="4" s="1"/>
  <c r="H131" i="4"/>
  <c r="H130" i="4"/>
  <c r="H129" i="4"/>
  <c r="C129" i="4"/>
  <c r="H128" i="4"/>
  <c r="H127" i="4"/>
  <c r="H126" i="4"/>
  <c r="H125" i="4"/>
  <c r="G124" i="4"/>
  <c r="H124" i="4" s="1"/>
  <c r="H123" i="4"/>
  <c r="H122" i="4"/>
  <c r="H121" i="4"/>
  <c r="H120" i="4"/>
  <c r="H119" i="4"/>
  <c r="H118" i="4"/>
  <c r="H117" i="4"/>
  <c r="G116" i="4"/>
  <c r="H116" i="4" s="1"/>
  <c r="H115" i="4"/>
  <c r="H114" i="4"/>
  <c r="H113" i="4"/>
  <c r="H112" i="4"/>
  <c r="H111" i="4"/>
  <c r="H110" i="4"/>
  <c r="C110" i="4"/>
  <c r="H109" i="4"/>
  <c r="G108" i="4"/>
  <c r="H108" i="4" s="1"/>
  <c r="C108" i="4"/>
  <c r="B108" i="4"/>
  <c r="N107" i="4"/>
  <c r="H107" i="4"/>
  <c r="I107" i="4" s="1"/>
  <c r="N106" i="4"/>
  <c r="O106" i="4" s="1"/>
  <c r="J106" i="4"/>
  <c r="K106" i="4" s="1"/>
  <c r="H106" i="4"/>
  <c r="I106" i="4" s="1"/>
  <c r="L106" i="4" s="1"/>
  <c r="M106" i="4" s="1"/>
  <c r="N105" i="4"/>
  <c r="M105" i="4"/>
  <c r="I105" i="4"/>
  <c r="L105" i="4" s="1"/>
  <c r="H105" i="4"/>
  <c r="N104" i="4"/>
  <c r="I104" i="4"/>
  <c r="J104" i="4" s="1"/>
  <c r="K104" i="4" s="1"/>
  <c r="H104" i="4"/>
  <c r="N103" i="4"/>
  <c r="H103" i="4"/>
  <c r="I103" i="4" s="1"/>
  <c r="N102" i="4"/>
  <c r="H102" i="4"/>
  <c r="I102" i="4" s="1"/>
  <c r="N101" i="4"/>
  <c r="H101" i="4"/>
  <c r="I101" i="4" s="1"/>
  <c r="D99" i="4"/>
  <c r="I97" i="4"/>
  <c r="K96" i="4"/>
  <c r="E96" i="4"/>
  <c r="D96" i="4"/>
  <c r="B89" i="4"/>
  <c r="C89" i="4" s="1"/>
  <c r="Y88" i="4"/>
  <c r="Y87" i="4"/>
  <c r="P87" i="4"/>
  <c r="G87" i="4"/>
  <c r="J87" i="4" s="1"/>
  <c r="K87" i="4" s="1"/>
  <c r="Y86" i="4"/>
  <c r="Y85" i="4"/>
  <c r="Y84" i="4"/>
  <c r="V84" i="4"/>
  <c r="Q84" i="4"/>
  <c r="U84" i="4" s="1"/>
  <c r="P84" i="4"/>
  <c r="L84" i="4"/>
  <c r="G84" i="4"/>
  <c r="J84" i="4" s="1"/>
  <c r="K84" i="4" s="1"/>
  <c r="M84" i="4" s="1"/>
  <c r="Y83" i="4"/>
  <c r="V83" i="4"/>
  <c r="S83" i="4"/>
  <c r="Q83" i="4"/>
  <c r="U83" i="4" s="1"/>
  <c r="P83" i="4"/>
  <c r="G83" i="4"/>
  <c r="J83" i="4" s="1"/>
  <c r="K83" i="4" s="1"/>
  <c r="Y82" i="4"/>
  <c r="V82" i="4"/>
  <c r="T82" i="4"/>
  <c r="S82" i="4"/>
  <c r="R82" i="4"/>
  <c r="AA82" i="4" s="1"/>
  <c r="Q82" i="4"/>
  <c r="U82" i="4" s="1"/>
  <c r="P82" i="4"/>
  <c r="J82" i="4"/>
  <c r="K82" i="4" s="1"/>
  <c r="G82" i="4"/>
  <c r="Y81" i="4"/>
  <c r="V81" i="4"/>
  <c r="R81" i="4"/>
  <c r="Q81" i="4"/>
  <c r="T81" i="4" s="1"/>
  <c r="P81" i="4"/>
  <c r="G81" i="4"/>
  <c r="J81" i="4" s="1"/>
  <c r="K81" i="4" s="1"/>
  <c r="M81" i="4" s="1"/>
  <c r="Y80" i="4"/>
  <c r="V80" i="4"/>
  <c r="R80" i="4"/>
  <c r="Q80" i="4"/>
  <c r="P80" i="4"/>
  <c r="G80" i="4"/>
  <c r="J80" i="4" s="1"/>
  <c r="K80" i="4" s="1"/>
  <c r="Y79" i="4"/>
  <c r="V79" i="4"/>
  <c r="S79" i="4"/>
  <c r="Q79" i="4"/>
  <c r="P79" i="4"/>
  <c r="G79" i="4"/>
  <c r="J79" i="4" s="1"/>
  <c r="K79" i="4" s="1"/>
  <c r="Y78" i="4"/>
  <c r="V78" i="4"/>
  <c r="U78" i="4"/>
  <c r="R78" i="4"/>
  <c r="Q78" i="4"/>
  <c r="T78" i="4" s="1"/>
  <c r="P78" i="4"/>
  <c r="G78" i="4"/>
  <c r="J78" i="4" s="1"/>
  <c r="K78" i="4" s="1"/>
  <c r="Y77" i="4"/>
  <c r="V77" i="4"/>
  <c r="Q77" i="4"/>
  <c r="P77" i="4"/>
  <c r="G77" i="4"/>
  <c r="J77" i="4" s="1"/>
  <c r="K77" i="4" s="1"/>
  <c r="Y76" i="4"/>
  <c r="V76" i="4"/>
  <c r="S76" i="4"/>
  <c r="Q76" i="4"/>
  <c r="U76" i="4" s="1"/>
  <c r="P76" i="4"/>
  <c r="J76" i="4"/>
  <c r="K76" i="4" s="1"/>
  <c r="G76" i="4"/>
  <c r="Y75" i="4"/>
  <c r="V75" i="4"/>
  <c r="U75" i="4"/>
  <c r="R75" i="4"/>
  <c r="Q75" i="4"/>
  <c r="T75" i="4" s="1"/>
  <c r="P75" i="4"/>
  <c r="J75" i="4"/>
  <c r="K75" i="4" s="1"/>
  <c r="G75" i="4"/>
  <c r="Y74" i="4"/>
  <c r="V74" i="4"/>
  <c r="Q74" i="4"/>
  <c r="U74" i="4" s="1"/>
  <c r="P74" i="4"/>
  <c r="G74" i="4"/>
  <c r="J74" i="4" s="1"/>
  <c r="K74" i="4" s="1"/>
  <c r="Y73" i="4"/>
  <c r="V73" i="4"/>
  <c r="U73" i="4"/>
  <c r="T73" i="4"/>
  <c r="S73" i="4"/>
  <c r="Q73" i="4"/>
  <c r="R73" i="4" s="1"/>
  <c r="AA73" i="4" s="1"/>
  <c r="P73" i="4"/>
  <c r="G73" i="4"/>
  <c r="J73" i="4" s="1"/>
  <c r="K73" i="4" s="1"/>
  <c r="Y72" i="4"/>
  <c r="V72" i="4"/>
  <c r="U72" i="4"/>
  <c r="T72" i="4"/>
  <c r="S72" i="4"/>
  <c r="R72" i="4"/>
  <c r="AA72" i="4" s="1"/>
  <c r="Q72" i="4"/>
  <c r="P72" i="4"/>
  <c r="G72" i="4"/>
  <c r="J72" i="4" s="1"/>
  <c r="K72" i="4" s="1"/>
  <c r="Y71" i="4"/>
  <c r="V71" i="4"/>
  <c r="R71" i="4"/>
  <c r="Q71" i="4"/>
  <c r="U71" i="4" s="1"/>
  <c r="P71" i="4"/>
  <c r="J71" i="4"/>
  <c r="K71" i="4" s="1"/>
  <c r="G71" i="4"/>
  <c r="Y70" i="4"/>
  <c r="V70" i="4"/>
  <c r="Q70" i="4"/>
  <c r="U70" i="4" s="1"/>
  <c r="P70" i="4"/>
  <c r="K70" i="4"/>
  <c r="G70" i="4"/>
  <c r="J70" i="4" s="1"/>
  <c r="Y69" i="4"/>
  <c r="V69" i="4"/>
  <c r="U69" i="4"/>
  <c r="T69" i="4"/>
  <c r="S69" i="4"/>
  <c r="Q69" i="4"/>
  <c r="R69" i="4" s="1"/>
  <c r="P69" i="4"/>
  <c r="J69" i="4"/>
  <c r="K69" i="4" s="1"/>
  <c r="L69" i="4" s="1"/>
  <c r="G69" i="4"/>
  <c r="Y68" i="4"/>
  <c r="V68" i="4"/>
  <c r="U68" i="4"/>
  <c r="T68" i="4"/>
  <c r="Q68" i="4"/>
  <c r="S68" i="4" s="1"/>
  <c r="P68" i="4"/>
  <c r="J68" i="4"/>
  <c r="K68" i="4" s="1"/>
  <c r="L68" i="4" s="1"/>
  <c r="G68" i="4"/>
  <c r="L64" i="4"/>
  <c r="L65" i="4" s="1"/>
  <c r="E64" i="4"/>
  <c r="G64" i="4" s="1"/>
  <c r="O62" i="4"/>
  <c r="R62" i="4" s="1"/>
  <c r="N62" i="4"/>
  <c r="Q62" i="4" s="1"/>
  <c r="T62" i="4" s="1"/>
  <c r="M62" i="4"/>
  <c r="P62" i="4" s="1"/>
  <c r="S62" i="4" s="1"/>
  <c r="J62" i="4"/>
  <c r="I62" i="4"/>
  <c r="H62" i="4"/>
  <c r="L62" i="4" s="1"/>
  <c r="G62" i="4"/>
  <c r="G59" i="4"/>
  <c r="J59" i="4" s="1"/>
  <c r="K59" i="4" s="1"/>
  <c r="M55" i="4"/>
  <c r="M54" i="4"/>
  <c r="M53" i="4"/>
  <c r="M52" i="4"/>
  <c r="M51" i="4"/>
  <c r="M50" i="4"/>
  <c r="M49" i="4"/>
  <c r="M48" i="4"/>
  <c r="M47" i="4"/>
  <c r="M46" i="4"/>
  <c r="G45" i="4"/>
  <c r="J45" i="4" s="1"/>
  <c r="K45" i="4" s="1"/>
  <c r="G44" i="4"/>
  <c r="J44" i="4" s="1"/>
  <c r="K44" i="4" s="1"/>
  <c r="M43" i="4"/>
  <c r="J43" i="4"/>
  <c r="K43" i="4" s="1"/>
  <c r="L43" i="4" s="1"/>
  <c r="G43" i="4"/>
  <c r="G42" i="4"/>
  <c r="J42" i="4" s="1"/>
  <c r="K42" i="4" s="1"/>
  <c r="J41" i="4"/>
  <c r="K41" i="4" s="1"/>
  <c r="G41" i="4"/>
  <c r="G40" i="4"/>
  <c r="J40" i="4" s="1"/>
  <c r="K40" i="4" s="1"/>
  <c r="M40" i="4" s="1"/>
  <c r="G39" i="4"/>
  <c r="J39" i="4" s="1"/>
  <c r="K39" i="4" s="1"/>
  <c r="J38" i="4"/>
  <c r="K38" i="4" s="1"/>
  <c r="G38" i="4"/>
  <c r="G37" i="4"/>
  <c r="J37" i="4" s="1"/>
  <c r="K37" i="4" s="1"/>
  <c r="G36" i="4"/>
  <c r="J36" i="4" s="1"/>
  <c r="K36" i="4" s="1"/>
  <c r="M35" i="4"/>
  <c r="J35" i="4"/>
  <c r="K35" i="4" s="1"/>
  <c r="L35" i="4" s="1"/>
  <c r="G35" i="4"/>
  <c r="J34" i="4"/>
  <c r="K34" i="4" s="1"/>
  <c r="G34" i="4"/>
  <c r="G33" i="4"/>
  <c r="J33" i="4" s="1"/>
  <c r="K33" i="4" s="1"/>
  <c r="J32" i="4"/>
  <c r="K32" i="4" s="1"/>
  <c r="G32" i="4"/>
  <c r="G31" i="4"/>
  <c r="J31" i="4" s="1"/>
  <c r="K31" i="4" s="1"/>
  <c r="G30" i="4"/>
  <c r="J30" i="4" s="1"/>
  <c r="K30" i="4" s="1"/>
  <c r="G27" i="4"/>
  <c r="J27" i="4" s="1"/>
  <c r="K27" i="4" s="1"/>
  <c r="G26" i="4"/>
  <c r="J26" i="4" s="1"/>
  <c r="K26" i="4" s="1"/>
  <c r="M25" i="4"/>
  <c r="J25" i="4"/>
  <c r="K25" i="4" s="1"/>
  <c r="L25" i="4" s="1"/>
  <c r="G25" i="4"/>
  <c r="G24" i="4"/>
  <c r="J24" i="4" s="1"/>
  <c r="K24" i="4" s="1"/>
  <c r="G23" i="4"/>
  <c r="J23" i="4" s="1"/>
  <c r="K23" i="4" s="1"/>
  <c r="M22" i="4"/>
  <c r="G22" i="4"/>
  <c r="J22" i="4" s="1"/>
  <c r="K22" i="4" s="1"/>
  <c r="L22" i="4" s="1"/>
  <c r="G21" i="4"/>
  <c r="J21" i="4" s="1"/>
  <c r="K21" i="4" s="1"/>
  <c r="G20" i="4"/>
  <c r="J20" i="4" s="1"/>
  <c r="K20" i="4" s="1"/>
  <c r="K19" i="4"/>
  <c r="M19" i="4" s="1"/>
  <c r="G19" i="4"/>
  <c r="J19" i="4" s="1"/>
  <c r="G18" i="4"/>
  <c r="J18" i="4" s="1"/>
  <c r="K18" i="4" s="1"/>
  <c r="L18" i="4" s="1"/>
  <c r="G17" i="4"/>
  <c r="J17" i="4" s="1"/>
  <c r="K17" i="4" s="1"/>
  <c r="J16" i="4"/>
  <c r="K16" i="4" s="1"/>
  <c r="G16" i="4"/>
  <c r="G15" i="4"/>
  <c r="J15" i="4" s="1"/>
  <c r="K15" i="4" s="1"/>
  <c r="G14" i="4"/>
  <c r="J14" i="4" s="1"/>
  <c r="K14" i="4" s="1"/>
  <c r="G13" i="4"/>
  <c r="J13" i="4" s="1"/>
  <c r="K13" i="4" s="1"/>
  <c r="G12" i="4"/>
  <c r="J12" i="4" s="1"/>
  <c r="K12" i="4" s="1"/>
  <c r="G9" i="4"/>
  <c r="G8" i="4"/>
  <c r="F8" i="4"/>
  <c r="E8" i="4"/>
  <c r="C8" i="4"/>
  <c r="B8" i="4"/>
  <c r="G7" i="4"/>
  <c r="F7" i="4"/>
  <c r="E7" i="4"/>
  <c r="C7" i="4"/>
  <c r="B7" i="4"/>
  <c r="G6" i="4"/>
  <c r="F6" i="4"/>
  <c r="E6" i="4"/>
  <c r="C6" i="4"/>
  <c r="B6" i="4"/>
  <c r="G5" i="4"/>
  <c r="F5" i="4"/>
  <c r="E5" i="4"/>
  <c r="C5" i="4"/>
  <c r="B5" i="4"/>
  <c r="G4" i="4"/>
  <c r="F4" i="4"/>
  <c r="E4" i="4"/>
  <c r="C4" i="4"/>
  <c r="B4" i="4"/>
  <c r="G3" i="4"/>
  <c r="F3" i="4"/>
  <c r="F9" i="4" s="1"/>
  <c r="E3" i="4"/>
  <c r="E9" i="4" s="1"/>
  <c r="C3" i="4"/>
  <c r="C9" i="4" s="1"/>
  <c r="B3" i="4"/>
  <c r="D1" i="4"/>
  <c r="N6" i="3"/>
  <c r="N7" i="3" s="1"/>
  <c r="H6" i="3"/>
  <c r="G13" i="3"/>
  <c r="E6" i="3"/>
  <c r="F6" i="3" s="1"/>
  <c r="N5" i="3"/>
  <c r="F5" i="3"/>
  <c r="H5" i="3" s="1"/>
  <c r="E5" i="3"/>
  <c r="N4" i="3"/>
  <c r="E4" i="3"/>
  <c r="F4" i="3" s="1"/>
  <c r="N3" i="3"/>
  <c r="C3" i="3"/>
  <c r="E3" i="3" s="1"/>
  <c r="F3" i="3" s="1"/>
  <c r="N2" i="3"/>
  <c r="G9" i="3"/>
  <c r="O27" i="2"/>
  <c r="N23" i="2"/>
  <c r="O23" i="2" s="1"/>
  <c r="Q21" i="2"/>
  <c r="N21" i="2"/>
  <c r="O21" i="2" s="1"/>
  <c r="I21" i="2"/>
  <c r="F21" i="2"/>
  <c r="G21" i="2" s="1"/>
  <c r="F20" i="2"/>
  <c r="E20" i="2"/>
  <c r="Q19" i="2"/>
  <c r="O19" i="2"/>
  <c r="N19" i="2"/>
  <c r="E19" i="2"/>
  <c r="I19" i="2" s="1"/>
  <c r="F18" i="2"/>
  <c r="G18" i="2" s="1"/>
  <c r="Q17" i="2"/>
  <c r="O17" i="2"/>
  <c r="N17" i="2"/>
  <c r="E17" i="2"/>
  <c r="I17" i="2" s="1"/>
  <c r="F16" i="2"/>
  <c r="Q15" i="2"/>
  <c r="O15" i="2"/>
  <c r="N15" i="2"/>
  <c r="E15" i="2"/>
  <c r="F15" i="2" s="1"/>
  <c r="G15" i="2" s="1"/>
  <c r="F14" i="2"/>
  <c r="Q13" i="2"/>
  <c r="N13" i="2"/>
  <c r="O13" i="2" s="1"/>
  <c r="I13" i="2"/>
  <c r="F12" i="2"/>
  <c r="Q11" i="2"/>
  <c r="N11" i="2"/>
  <c r="O11" i="2" s="1"/>
  <c r="I11" i="2"/>
  <c r="F11" i="2"/>
  <c r="G11" i="2" s="1"/>
  <c r="E11" i="2"/>
  <c r="F10" i="2"/>
  <c r="Q9" i="2"/>
  <c r="N9" i="2"/>
  <c r="O9" i="2" s="1"/>
  <c r="E9" i="2"/>
  <c r="I9" i="2" s="1"/>
  <c r="F8" i="2"/>
  <c r="Q7" i="2"/>
  <c r="O7" i="2"/>
  <c r="N7" i="2"/>
  <c r="E7" i="2"/>
  <c r="I7" i="2" s="1"/>
  <c r="F6" i="2"/>
  <c r="Q5" i="2"/>
  <c r="O5" i="2"/>
  <c r="N5" i="2"/>
  <c r="F5" i="2"/>
  <c r="G5" i="2" s="1"/>
  <c r="E5" i="2"/>
  <c r="I5" i="2" s="1"/>
  <c r="I4" i="2"/>
  <c r="F4" i="2"/>
  <c r="G4" i="2" s="1"/>
  <c r="E4" i="2"/>
  <c r="F3" i="2"/>
  <c r="Q2" i="2"/>
  <c r="W84" i="1"/>
  <c r="AK68" i="1"/>
  <c r="AB63" i="1"/>
  <c r="AY56" i="1"/>
  <c r="X45" i="1"/>
  <c r="Z44" i="1"/>
  <c r="AP41" i="1"/>
  <c r="AN41" i="1"/>
  <c r="AN40" i="1"/>
  <c r="G40" i="1"/>
  <c r="AZ39" i="1"/>
  <c r="AU39" i="1"/>
  <c r="AV39" i="1" s="1"/>
  <c r="AF39" i="1"/>
  <c r="AE39" i="1"/>
  <c r="AL39" i="1" s="1"/>
  <c r="AN39" i="1" s="1"/>
  <c r="AP39" i="1" s="1"/>
  <c r="AC39" i="1"/>
  <c r="AB39" i="1"/>
  <c r="AA39" i="1"/>
  <c r="R39" i="1" s="1"/>
  <c r="U39" i="1"/>
  <c r="T39" i="1"/>
  <c r="W39" i="1" s="1"/>
  <c r="X39" i="1" s="1"/>
  <c r="Y39" i="1" s="1"/>
  <c r="K39" i="1"/>
  <c r="O39" i="1" s="1"/>
  <c r="G39" i="1"/>
  <c r="N39" i="1" s="1"/>
  <c r="AZ38" i="1"/>
  <c r="AU38" i="1"/>
  <c r="AT38" i="1"/>
  <c r="AF38" i="1"/>
  <c r="AE38" i="1"/>
  <c r="AR38" i="1" s="1"/>
  <c r="AC38" i="1"/>
  <c r="AB38" i="1"/>
  <c r="AA38" i="1"/>
  <c r="U38" i="1"/>
  <c r="T38" i="1"/>
  <c r="W38" i="1" s="1"/>
  <c r="X38" i="1" s="1"/>
  <c r="Y38" i="1" s="1"/>
  <c r="R38" i="1"/>
  <c r="O38" i="1"/>
  <c r="N38" i="1"/>
  <c r="K38" i="1"/>
  <c r="G38" i="1"/>
  <c r="AZ37" i="1"/>
  <c r="AU37" i="1"/>
  <c r="AF37" i="1"/>
  <c r="AE37" i="1"/>
  <c r="AV37" i="1" s="1"/>
  <c r="AC37" i="1"/>
  <c r="AB37" i="1"/>
  <c r="AA37" i="1"/>
  <c r="T37" i="1"/>
  <c r="W37" i="1" s="1"/>
  <c r="X37" i="1" s="1"/>
  <c r="Y37" i="1" s="1"/>
  <c r="R37" i="1"/>
  <c r="K37" i="1"/>
  <c r="O37" i="1" s="1"/>
  <c r="G37" i="1"/>
  <c r="N37" i="1" s="1"/>
  <c r="AZ36" i="1"/>
  <c r="AU36" i="1"/>
  <c r="AF36" i="1"/>
  <c r="AE36" i="1"/>
  <c r="AC36" i="1"/>
  <c r="AB36" i="1"/>
  <c r="AA36" i="1"/>
  <c r="U36" i="1"/>
  <c r="T36" i="1"/>
  <c r="W36" i="1" s="1"/>
  <c r="X36" i="1" s="1"/>
  <c r="Y36" i="1" s="1"/>
  <c r="R36" i="1"/>
  <c r="K36" i="1"/>
  <c r="O36" i="1" s="1"/>
  <c r="G36" i="1"/>
  <c r="N36" i="1" s="1"/>
  <c r="AZ35" i="1"/>
  <c r="BA35" i="1" s="1"/>
  <c r="AU35" i="1"/>
  <c r="AV35" i="1" s="1"/>
  <c r="AF35" i="1"/>
  <c r="AE35" i="1"/>
  <c r="AC35" i="1"/>
  <c r="AB35" i="1"/>
  <c r="AA35" i="1"/>
  <c r="R35" i="1" s="1"/>
  <c r="U35" i="1"/>
  <c r="T35" i="1"/>
  <c r="W35" i="1" s="1"/>
  <c r="X35" i="1" s="1"/>
  <c r="Y35" i="1" s="1"/>
  <c r="K35" i="1"/>
  <c r="O35" i="1" s="1"/>
  <c r="G35" i="1"/>
  <c r="N35" i="1" s="1"/>
  <c r="AZ34" i="1"/>
  <c r="BA34" i="1" s="1"/>
  <c r="AU34" i="1"/>
  <c r="AR34" i="1"/>
  <c r="AT34" i="1" s="1"/>
  <c r="AF34" i="1"/>
  <c r="AE34" i="1"/>
  <c r="AL34" i="1" s="1"/>
  <c r="AC34" i="1"/>
  <c r="AB34" i="1"/>
  <c r="AA34" i="1"/>
  <c r="R34" i="1" s="1"/>
  <c r="U34" i="1"/>
  <c r="W34" i="1" s="1"/>
  <c r="T34" i="1"/>
  <c r="K34" i="1"/>
  <c r="O34" i="1" s="1"/>
  <c r="G34" i="1"/>
  <c r="N34" i="1" s="1"/>
  <c r="M34" i="1" s="1"/>
  <c r="AZ33" i="1"/>
  <c r="BA33" i="1" s="1"/>
  <c r="AU33" i="1"/>
  <c r="AF33" i="1"/>
  <c r="AE33" i="1"/>
  <c r="AR33" i="1" s="1"/>
  <c r="AT33" i="1" s="1"/>
  <c r="AC33" i="1"/>
  <c r="AB33" i="1"/>
  <c r="AA33" i="1"/>
  <c r="R33" i="1" s="1"/>
  <c r="U33" i="1"/>
  <c r="T33" i="1"/>
  <c r="K33" i="1"/>
  <c r="O33" i="1" s="1"/>
  <c r="G33" i="1"/>
  <c r="N33" i="1" s="1"/>
  <c r="AZ32" i="1"/>
  <c r="BA32" i="1" s="1"/>
  <c r="AU32" i="1"/>
  <c r="AV32" i="1" s="1"/>
  <c r="AF32" i="1"/>
  <c r="AE32" i="1"/>
  <c r="AL32" i="1" s="1"/>
  <c r="AG32" i="1" s="1"/>
  <c r="AH32" i="1" s="1"/>
  <c r="AI32" i="1" s="1"/>
  <c r="AJ32" i="1" s="1"/>
  <c r="AC32" i="1"/>
  <c r="AB32" i="1"/>
  <c r="AA32" i="1"/>
  <c r="U32" i="1"/>
  <c r="T32" i="1"/>
  <c r="R32" i="1"/>
  <c r="K32" i="1"/>
  <c r="O32" i="1" s="1"/>
  <c r="G32" i="1"/>
  <c r="AZ31" i="1"/>
  <c r="AU31" i="1"/>
  <c r="AV31" i="1" s="1"/>
  <c r="AT31" i="1"/>
  <c r="AR31" i="1"/>
  <c r="AF31" i="1"/>
  <c r="AE31" i="1"/>
  <c r="AL31" i="1" s="1"/>
  <c r="AG31" i="1" s="1"/>
  <c r="AH31" i="1" s="1"/>
  <c r="AC31" i="1"/>
  <c r="AB31" i="1"/>
  <c r="AA31" i="1"/>
  <c r="U31" i="1"/>
  <c r="T31" i="1"/>
  <c r="W31" i="1" s="1"/>
  <c r="X31" i="1" s="1"/>
  <c r="Y31" i="1" s="1"/>
  <c r="R31" i="1"/>
  <c r="K31" i="1"/>
  <c r="O31" i="1" s="1"/>
  <c r="G31" i="1"/>
  <c r="AZ30" i="1"/>
  <c r="AU30" i="1"/>
  <c r="AF30" i="1"/>
  <c r="AE30" i="1"/>
  <c r="AR30" i="1" s="1"/>
  <c r="AT30" i="1" s="1"/>
  <c r="AC30" i="1"/>
  <c r="AB30" i="1"/>
  <c r="AA30" i="1"/>
  <c r="U30" i="1"/>
  <c r="T30" i="1"/>
  <c r="W30" i="1" s="1"/>
  <c r="X30" i="1" s="1"/>
  <c r="Y30" i="1" s="1"/>
  <c r="R30" i="1"/>
  <c r="K30" i="1"/>
  <c r="O30" i="1" s="1"/>
  <c r="G30" i="1"/>
  <c r="N30" i="1" s="1"/>
  <c r="AZ29" i="1"/>
  <c r="AU29" i="1"/>
  <c r="AF29" i="1"/>
  <c r="AE29" i="1"/>
  <c r="AR29" i="1" s="1"/>
  <c r="AT29" i="1" s="1"/>
  <c r="AC29" i="1"/>
  <c r="AB29" i="1"/>
  <c r="AA29" i="1"/>
  <c r="R29" i="1" s="1"/>
  <c r="U29" i="1"/>
  <c r="T29" i="1"/>
  <c r="K29" i="1"/>
  <c r="O29" i="1" s="1"/>
  <c r="G29" i="1"/>
  <c r="AZ28" i="1"/>
  <c r="AU28" i="1"/>
  <c r="AV28" i="1" s="1"/>
  <c r="AF28" i="1"/>
  <c r="AE28" i="1"/>
  <c r="AC28" i="1"/>
  <c r="AB28" i="1"/>
  <c r="AA28" i="1"/>
  <c r="R28" i="1" s="1"/>
  <c r="U28" i="1"/>
  <c r="T28" i="1"/>
  <c r="W28" i="1" s="1"/>
  <c r="X28" i="1" s="1"/>
  <c r="Y28" i="1" s="1"/>
  <c r="K28" i="1"/>
  <c r="O28" i="1" s="1"/>
  <c r="G28" i="1"/>
  <c r="N28" i="1" s="1"/>
  <c r="AZ27" i="1"/>
  <c r="AU27" i="1"/>
  <c r="AV27" i="1" s="1"/>
  <c r="AF27" i="1"/>
  <c r="AE27" i="1"/>
  <c r="AC27" i="1"/>
  <c r="AB27" i="1"/>
  <c r="AA27" i="1"/>
  <c r="R27" i="1" s="1"/>
  <c r="U27" i="1"/>
  <c r="T27" i="1"/>
  <c r="W27" i="1" s="1"/>
  <c r="X27" i="1" s="1"/>
  <c r="Y27" i="1" s="1"/>
  <c r="K27" i="1"/>
  <c r="O27" i="1" s="1"/>
  <c r="G27" i="1"/>
  <c r="AZ26" i="1"/>
  <c r="BA26" i="1" s="1"/>
  <c r="AU26" i="1"/>
  <c r="AV26" i="1" s="1"/>
  <c r="AF26" i="1"/>
  <c r="AE26" i="1"/>
  <c r="AL26" i="1" s="1"/>
  <c r="AC26" i="1"/>
  <c r="AB26" i="1"/>
  <c r="AA26" i="1"/>
  <c r="R26" i="1" s="1"/>
  <c r="T26" i="1"/>
  <c r="W26" i="1" s="1"/>
  <c r="K26" i="1"/>
  <c r="O26" i="1" s="1"/>
  <c r="G26" i="1"/>
  <c r="N26" i="1" s="1"/>
  <c r="M26" i="1" s="1"/>
  <c r="AZ25" i="1"/>
  <c r="BA25" i="1" s="1"/>
  <c r="AU25" i="1"/>
  <c r="AF25" i="1"/>
  <c r="AE25" i="1"/>
  <c r="AL25" i="1" s="1"/>
  <c r="AG25" i="1" s="1"/>
  <c r="AH25" i="1" s="1"/>
  <c r="AC25" i="1"/>
  <c r="AB25" i="1"/>
  <c r="AA25" i="1"/>
  <c r="R25" i="1" s="1"/>
  <c r="U25" i="1"/>
  <c r="W25" i="1" s="1"/>
  <c r="T25" i="1"/>
  <c r="K25" i="1"/>
  <c r="O25" i="1" s="1"/>
  <c r="G25" i="1"/>
  <c r="N25" i="1" s="1"/>
  <c r="AZ24" i="1"/>
  <c r="BA24" i="1" s="1"/>
  <c r="AU24" i="1"/>
  <c r="AF24" i="1"/>
  <c r="AE24" i="1"/>
  <c r="AL24" i="1" s="1"/>
  <c r="AG24" i="1" s="1"/>
  <c r="AH24" i="1" s="1"/>
  <c r="AC24" i="1"/>
  <c r="AB24" i="1"/>
  <c r="AA24" i="1"/>
  <c r="R24" i="1" s="1"/>
  <c r="U24" i="1"/>
  <c r="T24" i="1"/>
  <c r="O24" i="1"/>
  <c r="K24" i="1"/>
  <c r="G24" i="1"/>
  <c r="N24" i="1" s="1"/>
  <c r="AZ23" i="1"/>
  <c r="AU23" i="1"/>
  <c r="AV23" i="1" s="1"/>
  <c r="AF23" i="1"/>
  <c r="AE23" i="1"/>
  <c r="AR23" i="1" s="1"/>
  <c r="AT23" i="1" s="1"/>
  <c r="AC23" i="1"/>
  <c r="AB23" i="1"/>
  <c r="AA23" i="1"/>
  <c r="U23" i="1"/>
  <c r="T23" i="1"/>
  <c r="R23" i="1"/>
  <c r="K23" i="1"/>
  <c r="O23" i="1" s="1"/>
  <c r="G23" i="1"/>
  <c r="N23" i="1" s="1"/>
  <c r="AZ22" i="1"/>
  <c r="AU22" i="1"/>
  <c r="AF22" i="1"/>
  <c r="AE22" i="1"/>
  <c r="AR22" i="1" s="1"/>
  <c r="AT22" i="1" s="1"/>
  <c r="AC22" i="1"/>
  <c r="AB22" i="1"/>
  <c r="AA22" i="1"/>
  <c r="U22" i="1"/>
  <c r="T22" i="1"/>
  <c r="W22" i="1" s="1"/>
  <c r="X22" i="1" s="1"/>
  <c r="Y22" i="1" s="1"/>
  <c r="R22" i="1"/>
  <c r="K22" i="1"/>
  <c r="O22" i="1" s="1"/>
  <c r="G22" i="1"/>
  <c r="N22" i="1" s="1"/>
  <c r="AZ21" i="1"/>
  <c r="AU21" i="1"/>
  <c r="AF21" i="1"/>
  <c r="AE21" i="1"/>
  <c r="AR21" i="1" s="1"/>
  <c r="AT21" i="1" s="1"/>
  <c r="AC21" i="1"/>
  <c r="AB21" i="1"/>
  <c r="AA21" i="1"/>
  <c r="R21" i="1" s="1"/>
  <c r="U21" i="1"/>
  <c r="T21" i="1"/>
  <c r="N21" i="1"/>
  <c r="K21" i="1"/>
  <c r="G21" i="1"/>
  <c r="M21" i="1" s="1"/>
  <c r="AZ20" i="1"/>
  <c r="AU20" i="1"/>
  <c r="AF20" i="1"/>
  <c r="AE20" i="1"/>
  <c r="AC20" i="1"/>
  <c r="AB20" i="1"/>
  <c r="AA20" i="1"/>
  <c r="R20" i="1" s="1"/>
  <c r="U20" i="1"/>
  <c r="T20" i="1"/>
  <c r="W20" i="1" s="1"/>
  <c r="X20" i="1" s="1"/>
  <c r="Y20" i="1" s="1"/>
  <c r="K20" i="1"/>
  <c r="O20" i="1" s="1"/>
  <c r="G20" i="1"/>
  <c r="N20" i="1" s="1"/>
  <c r="AZ19" i="1"/>
  <c r="AU19" i="1"/>
  <c r="AV19" i="1" s="1"/>
  <c r="AF19" i="1"/>
  <c r="AE19" i="1"/>
  <c r="AC19" i="1"/>
  <c r="AB19" i="1"/>
  <c r="AA19" i="1"/>
  <c r="R19" i="1" s="1"/>
  <c r="U19" i="1"/>
  <c r="T19" i="1"/>
  <c r="W19" i="1" s="1"/>
  <c r="X19" i="1" s="1"/>
  <c r="Y19" i="1" s="1"/>
  <c r="K19" i="1"/>
  <c r="O19" i="1" s="1"/>
  <c r="G19" i="1"/>
  <c r="AZ18" i="1"/>
  <c r="BA18" i="1" s="1"/>
  <c r="AU18" i="1"/>
  <c r="AV18" i="1" s="1"/>
  <c r="AR18" i="1"/>
  <c r="AT18" i="1" s="1"/>
  <c r="AF18" i="1"/>
  <c r="AL18" i="1"/>
  <c r="AC18" i="1"/>
  <c r="AB18" i="1"/>
  <c r="AA18" i="1"/>
  <c r="R18" i="1" s="1"/>
  <c r="U18" i="1"/>
  <c r="T18" i="1"/>
  <c r="W18" i="1" s="1"/>
  <c r="X18" i="1" s="1"/>
  <c r="Y18" i="1" s="1"/>
  <c r="K18" i="1"/>
  <c r="O18" i="1" s="1"/>
  <c r="G18" i="1"/>
  <c r="N18" i="1" s="1"/>
  <c r="M18" i="1" s="1"/>
  <c r="AZ17" i="1"/>
  <c r="BA17" i="1" s="1"/>
  <c r="AU17" i="1"/>
  <c r="AF17" i="1"/>
  <c r="AE17" i="1"/>
  <c r="AL17" i="1" s="1"/>
  <c r="AG17" i="1" s="1"/>
  <c r="AH17" i="1" s="1"/>
  <c r="AI17" i="1" s="1"/>
  <c r="AC17" i="1"/>
  <c r="AB17" i="1"/>
  <c r="AA17" i="1"/>
  <c r="U17" i="1"/>
  <c r="T17" i="1"/>
  <c r="K17" i="1"/>
  <c r="O17" i="1" s="1"/>
  <c r="G17" i="1"/>
  <c r="AZ16" i="1"/>
  <c r="BA16" i="1" s="1"/>
  <c r="AU16" i="1"/>
  <c r="AF16" i="1"/>
  <c r="AE16" i="1"/>
  <c r="AL16" i="1" s="1"/>
  <c r="AG16" i="1" s="1"/>
  <c r="AH16" i="1" s="1"/>
  <c r="AI16" i="1" s="1"/>
  <c r="AJ16" i="1" s="1"/>
  <c r="AC16" i="1"/>
  <c r="AB16" i="1"/>
  <c r="AA16" i="1"/>
  <c r="R16" i="1" s="1"/>
  <c r="U16" i="1"/>
  <c r="T16" i="1"/>
  <c r="W16" i="1" s="1"/>
  <c r="X16" i="1" s="1"/>
  <c r="Y16" i="1" s="1"/>
  <c r="K16" i="1"/>
  <c r="O16" i="1" s="1"/>
  <c r="G16" i="1"/>
  <c r="N16" i="1" s="1"/>
  <c r="BH15" i="1"/>
  <c r="BF15" i="1"/>
  <c r="BI15" i="1" s="1"/>
  <c r="AZ15" i="1"/>
  <c r="BA15" i="1" s="1"/>
  <c r="AU15" i="1"/>
  <c r="AF15" i="1"/>
  <c r="AE15" i="1"/>
  <c r="AR15" i="1" s="1"/>
  <c r="AT15" i="1" s="1"/>
  <c r="AC15" i="1"/>
  <c r="AB15" i="1"/>
  <c r="AA15" i="1"/>
  <c r="R15" i="1" s="1"/>
  <c r="U15" i="1"/>
  <c r="T15" i="1"/>
  <c r="W15" i="1" s="1"/>
  <c r="X15" i="1" s="1"/>
  <c r="Y15" i="1" s="1"/>
  <c r="K15" i="1"/>
  <c r="O15" i="1" s="1"/>
  <c r="G15" i="1"/>
  <c r="N15" i="1" s="1"/>
  <c r="AZ14" i="1"/>
  <c r="BA14" i="1" s="1"/>
  <c r="AU14" i="1"/>
  <c r="AF14" i="1"/>
  <c r="AE14" i="1"/>
  <c r="AL14" i="1" s="1"/>
  <c r="AG14" i="1" s="1"/>
  <c r="AH14" i="1" s="1"/>
  <c r="AC14" i="1"/>
  <c r="AB14" i="1"/>
  <c r="AA14" i="1"/>
  <c r="R14" i="1" s="1"/>
  <c r="U14" i="1"/>
  <c r="T14" i="1"/>
  <c r="K14" i="1"/>
  <c r="O14" i="1" s="1"/>
  <c r="G14" i="1"/>
  <c r="N14" i="1" s="1"/>
  <c r="M14" i="1" s="1"/>
  <c r="BH13" i="1"/>
  <c r="BF13" i="1"/>
  <c r="BI13" i="1" s="1"/>
  <c r="AZ13" i="1"/>
  <c r="BA13" i="1" s="1"/>
  <c r="AU13" i="1"/>
  <c r="AV13" i="1" s="1"/>
  <c r="AR13" i="1"/>
  <c r="AT13" i="1" s="1"/>
  <c r="AL13" i="1"/>
  <c r="AG13" i="1" s="1"/>
  <c r="AH13" i="1" s="1"/>
  <c r="AI13" i="1" s="1"/>
  <c r="AJ13" i="1"/>
  <c r="AF13" i="1"/>
  <c r="AE13" i="1"/>
  <c r="AC13" i="1"/>
  <c r="AB13" i="1"/>
  <c r="AA13" i="1"/>
  <c r="U13" i="1"/>
  <c r="T13" i="1"/>
  <c r="W13" i="1" s="1"/>
  <c r="X13" i="1" s="1"/>
  <c r="Y13" i="1" s="1"/>
  <c r="R13" i="1"/>
  <c r="K13" i="1"/>
  <c r="O13" i="1" s="1"/>
  <c r="G13" i="1"/>
  <c r="AZ12" i="1"/>
  <c r="AU12" i="1"/>
  <c r="AV12" i="1" s="1"/>
  <c r="AR12" i="1"/>
  <c r="AT12" i="1" s="1"/>
  <c r="AF12" i="1"/>
  <c r="AE12" i="1"/>
  <c r="AL12" i="1" s="1"/>
  <c r="AC12" i="1"/>
  <c r="AB12" i="1"/>
  <c r="AA12" i="1"/>
  <c r="U12" i="1"/>
  <c r="T12" i="1"/>
  <c r="W12" i="1" s="1"/>
  <c r="X12" i="1" s="1"/>
  <c r="Y12" i="1" s="1"/>
  <c r="R12" i="1"/>
  <c r="K12" i="1"/>
  <c r="O12" i="1" s="1"/>
  <c r="G12" i="1"/>
  <c r="N12" i="1" s="1"/>
  <c r="M12" i="1" s="1"/>
  <c r="BH11" i="1"/>
  <c r="BF11" i="1"/>
  <c r="BI11" i="1" s="1"/>
  <c r="AZ11" i="1"/>
  <c r="BA11" i="1" s="1"/>
  <c r="AU11" i="1"/>
  <c r="AF11" i="1"/>
  <c r="AE11" i="1"/>
  <c r="AR11" i="1" s="1"/>
  <c r="AT11" i="1" s="1"/>
  <c r="AC11" i="1"/>
  <c r="AB11" i="1"/>
  <c r="AA11" i="1"/>
  <c r="R11" i="1" s="1"/>
  <c r="U11" i="1"/>
  <c r="T11" i="1"/>
  <c r="W11" i="1" s="1"/>
  <c r="X11" i="1" s="1"/>
  <c r="Y11" i="1" s="1"/>
  <c r="O11" i="1"/>
  <c r="N11" i="1"/>
  <c r="M11" i="1"/>
  <c r="K11" i="1"/>
  <c r="G11" i="1"/>
  <c r="AZ10" i="1"/>
  <c r="AU10" i="1"/>
  <c r="AF10" i="1"/>
  <c r="AE10" i="1"/>
  <c r="AL10" i="1" s="1"/>
  <c r="AG10" i="1" s="1"/>
  <c r="AH10" i="1" s="1"/>
  <c r="AC10" i="1"/>
  <c r="AB10" i="1"/>
  <c r="AA10" i="1"/>
  <c r="U10" i="1"/>
  <c r="T10" i="1"/>
  <c r="W10" i="1" s="1"/>
  <c r="R10" i="1"/>
  <c r="K10" i="1"/>
  <c r="O10" i="1" s="1"/>
  <c r="G10" i="1"/>
  <c r="BH9" i="1"/>
  <c r="BF9" i="1"/>
  <c r="BI9" i="1" s="1"/>
  <c r="AZ9" i="1"/>
  <c r="AU9" i="1"/>
  <c r="AV9" i="1" s="1"/>
  <c r="AF9" i="1"/>
  <c r="AE9" i="1"/>
  <c r="AL9" i="1" s="1"/>
  <c r="AG9" i="1" s="1"/>
  <c r="AH9" i="1" s="1"/>
  <c r="AC9" i="1"/>
  <c r="AB9" i="1"/>
  <c r="AA9" i="1"/>
  <c r="R9" i="1" s="1"/>
  <c r="U9" i="1"/>
  <c r="T9" i="1"/>
  <c r="W9" i="1" s="1"/>
  <c r="X10" i="1" s="1"/>
  <c r="Y10" i="1" s="1"/>
  <c r="O9" i="1"/>
  <c r="K9" i="1"/>
  <c r="G9" i="1"/>
  <c r="N9" i="1" s="1"/>
  <c r="AZ8" i="1"/>
  <c r="AU8" i="1"/>
  <c r="AF8" i="1"/>
  <c r="AE8" i="1"/>
  <c r="AR8" i="1" s="1"/>
  <c r="AT8" i="1" s="1"/>
  <c r="AC8" i="1"/>
  <c r="AB8" i="1"/>
  <c r="AA8" i="1"/>
  <c r="U8" i="1"/>
  <c r="T8" i="1"/>
  <c r="W8" i="1" s="1"/>
  <c r="X9" i="1" s="1"/>
  <c r="Y9" i="1" s="1"/>
  <c r="R8" i="1"/>
  <c r="K8" i="1"/>
  <c r="O8" i="1" s="1"/>
  <c r="G8" i="1"/>
  <c r="N8" i="1" s="1"/>
  <c r="BH7" i="1"/>
  <c r="BF7" i="1"/>
  <c r="BI7" i="1" s="1"/>
  <c r="AZ7" i="1"/>
  <c r="BA7" i="1" s="1"/>
  <c r="AU7" i="1"/>
  <c r="AE7" i="1"/>
  <c r="AL7" i="1" s="1"/>
  <c r="AC7" i="1"/>
  <c r="AB7" i="1"/>
  <c r="AA7" i="1"/>
  <c r="U7" i="1"/>
  <c r="T7" i="1"/>
  <c r="W7" i="1" s="1"/>
  <c r="X8" i="1" s="1"/>
  <c r="Y8" i="1" s="1"/>
  <c r="R7" i="1"/>
  <c r="K7" i="1"/>
  <c r="O7" i="1" s="1"/>
  <c r="G7" i="1"/>
  <c r="N7" i="1" s="1"/>
  <c r="BH6" i="1"/>
  <c r="BF6" i="1"/>
  <c r="AZ6" i="1"/>
  <c r="AU6" i="1"/>
  <c r="AV6" i="1" s="1"/>
  <c r="AF6" i="1"/>
  <c r="AE6" i="1"/>
  <c r="AR6" i="1" s="1"/>
  <c r="AT6" i="1" s="1"/>
  <c r="AC6" i="1"/>
  <c r="AB6" i="1"/>
  <c r="AA6" i="1"/>
  <c r="R6" i="1" s="1"/>
  <c r="W6" i="1"/>
  <c r="X6" i="1" s="1"/>
  <c r="Y6" i="1" s="1"/>
  <c r="U6" i="1"/>
  <c r="T6" i="1"/>
  <c r="N6" i="1"/>
  <c r="K6" i="1"/>
  <c r="O6" i="1" s="1"/>
  <c r="G6" i="1"/>
  <c r="M6" i="1" s="1"/>
  <c r="BH5" i="1"/>
  <c r="BF5" i="1"/>
  <c r="BI5" i="1" s="1"/>
  <c r="AZ5" i="1"/>
  <c r="BA5" i="1" s="1"/>
  <c r="AU5" i="1"/>
  <c r="AF5" i="1"/>
  <c r="AE5" i="1"/>
  <c r="AL5" i="1" s="1"/>
  <c r="AC5" i="1"/>
  <c r="AB5" i="1"/>
  <c r="AA5" i="1"/>
  <c r="R5" i="1" s="1"/>
  <c r="U5" i="1"/>
  <c r="T5" i="1"/>
  <c r="O5" i="1"/>
  <c r="K5" i="1"/>
  <c r="G5" i="1"/>
  <c r="N5" i="1" s="1"/>
  <c r="BH4" i="1"/>
  <c r="BF4" i="1"/>
  <c r="BI4" i="1" s="1"/>
  <c r="AZ4" i="1"/>
  <c r="BA4" i="1" s="1"/>
  <c r="AU4" i="1"/>
  <c r="AF4" i="1"/>
  <c r="AE4" i="1"/>
  <c r="AR4" i="1" s="1"/>
  <c r="AT4" i="1" s="1"/>
  <c r="AC4" i="1"/>
  <c r="AB4" i="1"/>
  <c r="AA4" i="1"/>
  <c r="R4" i="1" s="1"/>
  <c r="U4" i="1"/>
  <c r="T4" i="1"/>
  <c r="K4" i="1"/>
  <c r="O4" i="1" s="1"/>
  <c r="G4" i="1"/>
  <c r="BH3" i="1"/>
  <c r="BF3" i="1"/>
  <c r="BI3" i="1" s="1"/>
  <c r="AZ3" i="1"/>
  <c r="AU3" i="1"/>
  <c r="AV3" i="1" s="1"/>
  <c r="AR3" i="1"/>
  <c r="AT3" i="1" s="1"/>
  <c r="AL3" i="1"/>
  <c r="AN3" i="1" s="1"/>
  <c r="AP3" i="1" s="1"/>
  <c r="AF3" i="1"/>
  <c r="AC3" i="1"/>
  <c r="AB3" i="1"/>
  <c r="AA3" i="1"/>
  <c r="U3" i="1"/>
  <c r="T3" i="1"/>
  <c r="W3" i="1" s="1"/>
  <c r="X3" i="1" s="1"/>
  <c r="Y3" i="1" s="1"/>
  <c r="R3" i="1"/>
  <c r="K3" i="1"/>
  <c r="O3" i="1" s="1"/>
  <c r="G3" i="1"/>
  <c r="N3" i="1" s="1"/>
  <c r="BH2" i="1"/>
  <c r="BF2" i="1"/>
  <c r="BI2" i="1" s="1"/>
  <c r="AZ2" i="1"/>
  <c r="BA2" i="1" s="1"/>
  <c r="AU2" i="1"/>
  <c r="AV2" i="1" s="1"/>
  <c r="AB2" i="1"/>
  <c r="T2" i="1"/>
  <c r="R2" i="1"/>
  <c r="K2" i="1"/>
  <c r="O2" i="1" s="1"/>
  <c r="AN7" i="1" l="1"/>
  <c r="AP7" i="1" s="1"/>
  <c r="AG7" i="1"/>
  <c r="AH7" i="1" s="1"/>
  <c r="AG12" i="1"/>
  <c r="AH12" i="1" s="1"/>
  <c r="AN12" i="1"/>
  <c r="AP12" i="1" s="1"/>
  <c r="AI14" i="1"/>
  <c r="AJ14" i="1" s="1"/>
  <c r="AI24" i="1"/>
  <c r="AJ24" i="1" s="1"/>
  <c r="AI25" i="1"/>
  <c r="AJ25" i="1" s="1"/>
  <c r="AI31" i="1"/>
  <c r="AJ31" i="1" s="1"/>
  <c r="AI10" i="1"/>
  <c r="AJ10" i="1" s="1"/>
  <c r="AJ9" i="1"/>
  <c r="AI9" i="1"/>
  <c r="AR32" i="1"/>
  <c r="AT32" i="1" s="1"/>
  <c r="AL33" i="1"/>
  <c r="AG33" i="1" s="1"/>
  <c r="AH33" i="1" s="1"/>
  <c r="AL4" i="1"/>
  <c r="AG4" i="1" s="1"/>
  <c r="AH4" i="1" s="1"/>
  <c r="AI4" i="1" s="1"/>
  <c r="AJ4" i="1" s="1"/>
  <c r="AV34" i="1"/>
  <c r="M32" i="1"/>
  <c r="N32" i="1"/>
  <c r="AL23" i="1"/>
  <c r="AR25" i="1"/>
  <c r="AT25" i="1" s="1"/>
  <c r="N31" i="1"/>
  <c r="M31" i="1" s="1"/>
  <c r="AL6" i="1"/>
  <c r="AV14" i="1"/>
  <c r="AV25" i="1"/>
  <c r="M23" i="1"/>
  <c r="AR9" i="1"/>
  <c r="AT9" i="1" s="1"/>
  <c r="AL37" i="1"/>
  <c r="AR39" i="1"/>
  <c r="AT39" i="1" s="1"/>
  <c r="AV4" i="1"/>
  <c r="AV15" i="1"/>
  <c r="AV17" i="1"/>
  <c r="AR16" i="1"/>
  <c r="AT16" i="1" s="1"/>
  <c r="AR24" i="1"/>
  <c r="AT24" i="1" s="1"/>
  <c r="AR7" i="1"/>
  <c r="AT7" i="1" s="1"/>
  <c r="BA20" i="1"/>
  <c r="AR37" i="1"/>
  <c r="AT37" i="1" s="1"/>
  <c r="AR17" i="1"/>
  <c r="AT17" i="1" s="1"/>
  <c r="AR5" i="1"/>
  <c r="AT5" i="1" s="1"/>
  <c r="M13" i="1"/>
  <c r="AR14" i="1"/>
  <c r="AT14" i="1" s="1"/>
  <c r="AV24" i="1"/>
  <c r="W4" i="1"/>
  <c r="X4" i="1" s="1"/>
  <c r="Y4" i="1" s="1"/>
  <c r="M5" i="1"/>
  <c r="BA6" i="1"/>
  <c r="AR10" i="1"/>
  <c r="AT10" i="1" s="1"/>
  <c r="BA21" i="1"/>
  <c r="X26" i="1"/>
  <c r="Y26" i="1" s="1"/>
  <c r="BA29" i="1"/>
  <c r="W32" i="1"/>
  <c r="X32" i="1" s="1"/>
  <c r="Y32" i="1" s="1"/>
  <c r="AV16" i="1"/>
  <c r="M16" i="1"/>
  <c r="BA23" i="1"/>
  <c r="AV7" i="1"/>
  <c r="BA28" i="1"/>
  <c r="BI6" i="1"/>
  <c r="BA9" i="1"/>
  <c r="AV10" i="1"/>
  <c r="AL11" i="1"/>
  <c r="W17" i="1"/>
  <c r="X17" i="1" s="1"/>
  <c r="Y17" i="1" s="1"/>
  <c r="W23" i="1"/>
  <c r="X23" i="1" s="1"/>
  <c r="Y23" i="1" s="1"/>
  <c r="W33" i="1"/>
  <c r="X33" i="1" s="1"/>
  <c r="Y33" i="1" s="1"/>
  <c r="X34" i="1"/>
  <c r="Y34" i="1" s="1"/>
  <c r="AL38" i="1"/>
  <c r="AG38" i="1" s="1"/>
  <c r="AH38" i="1" s="1"/>
  <c r="AI38" i="1" s="1"/>
  <c r="AJ38" i="1" s="1"/>
  <c r="BA39" i="1"/>
  <c r="AV5" i="1"/>
  <c r="AL21" i="1"/>
  <c r="AN21" i="1" s="1"/>
  <c r="AP21" i="1" s="1"/>
  <c r="AV33" i="1"/>
  <c r="N13" i="1"/>
  <c r="AV21" i="1"/>
  <c r="W5" i="1"/>
  <c r="X5" i="1" s="1"/>
  <c r="Y5" i="1" s="1"/>
  <c r="M9" i="1"/>
  <c r="W14" i="1"/>
  <c r="X14" i="1" s="1"/>
  <c r="Y14" i="1" s="1"/>
  <c r="BA19" i="1"/>
  <c r="BA27" i="1"/>
  <c r="W29" i="1"/>
  <c r="X29" i="1" s="1"/>
  <c r="Y29" i="1" s="1"/>
  <c r="BA36" i="1"/>
  <c r="AV38" i="1"/>
  <c r="AG3" i="1"/>
  <c r="AH3" i="1" s="1"/>
  <c r="AC40" i="1"/>
  <c r="BA10" i="1"/>
  <c r="AV11" i="1"/>
  <c r="W21" i="1"/>
  <c r="X21" i="1" s="1"/>
  <c r="Y21" i="1" s="1"/>
  <c r="W24" i="1"/>
  <c r="X24" i="1" s="1"/>
  <c r="Y24" i="1" s="1"/>
  <c r="X25" i="1"/>
  <c r="Y25" i="1" s="1"/>
  <c r="M38" i="1"/>
  <c r="BA38" i="1"/>
  <c r="F7" i="3"/>
  <c r="AN2" i="1"/>
  <c r="AP2" i="1" s="1"/>
  <c r="M15" i="4"/>
  <c r="L15" i="4"/>
  <c r="L26" i="4"/>
  <c r="M26" i="4"/>
  <c r="M39" i="4"/>
  <c r="L39" i="4"/>
  <c r="M12" i="4"/>
  <c r="L12" i="4"/>
  <c r="G11" i="3"/>
  <c r="H4" i="3"/>
  <c r="M27" i="4"/>
  <c r="L27" i="4"/>
  <c r="M77" i="4"/>
  <c r="L77" i="4"/>
  <c r="M16" i="4"/>
  <c r="L16" i="4"/>
  <c r="M80" i="4"/>
  <c r="L80" i="4"/>
  <c r="M32" i="4"/>
  <c r="L32" i="4"/>
  <c r="M73" i="4"/>
  <c r="L73" i="4"/>
  <c r="M37" i="4"/>
  <c r="L37" i="4"/>
  <c r="M33" i="4"/>
  <c r="L33" i="4"/>
  <c r="M87" i="4"/>
  <c r="L87" i="4"/>
  <c r="AG5" i="1"/>
  <c r="AH5" i="1" s="1"/>
  <c r="AN5" i="1"/>
  <c r="AP5" i="1" s="1"/>
  <c r="M20" i="4"/>
  <c r="L20" i="4"/>
  <c r="L44" i="4"/>
  <c r="M44" i="4"/>
  <c r="M23" i="4"/>
  <c r="L23" i="4"/>
  <c r="L36" i="4"/>
  <c r="M36" i="4"/>
  <c r="L72" i="4"/>
  <c r="M72" i="4"/>
  <c r="U77" i="4"/>
  <c r="S77" i="4"/>
  <c r="R77" i="4"/>
  <c r="AA77" i="4" s="1"/>
  <c r="T77" i="4"/>
  <c r="L19" i="4"/>
  <c r="AN9" i="1"/>
  <c r="AP9" i="1" s="1"/>
  <c r="AN26" i="1"/>
  <c r="AP26" i="1" s="1"/>
  <c r="AG26" i="1"/>
  <c r="AH26" i="1" s="1"/>
  <c r="M8" i="1"/>
  <c r="AR20" i="1"/>
  <c r="AT20" i="1" s="1"/>
  <c r="AL20" i="1"/>
  <c r="AL29" i="1"/>
  <c r="AA78" i="4"/>
  <c r="AN10" i="1"/>
  <c r="AP10" i="1" s="1"/>
  <c r="M45" i="4"/>
  <c r="L45" i="4"/>
  <c r="M74" i="4"/>
  <c r="L74" i="4"/>
  <c r="M37" i="1"/>
  <c r="M7" i="1"/>
  <c r="M22" i="1"/>
  <c r="AL22" i="1"/>
  <c r="M24" i="1"/>
  <c r="AR26" i="1"/>
  <c r="AT26" i="1" s="1"/>
  <c r="N29" i="1"/>
  <c r="M29" i="1" s="1"/>
  <c r="AV29" i="1"/>
  <c r="AN34" i="1"/>
  <c r="AP34" i="1" s="1"/>
  <c r="AG34" i="1"/>
  <c r="AH34" i="1" s="1"/>
  <c r="I15" i="2"/>
  <c r="M41" i="4"/>
  <c r="L41" i="4"/>
  <c r="AA69" i="4"/>
  <c r="M71" i="4"/>
  <c r="L71" i="4"/>
  <c r="M28" i="1"/>
  <c r="M34" i="4"/>
  <c r="L34" i="4"/>
  <c r="AN16" i="1"/>
  <c r="AP16" i="1" s="1"/>
  <c r="M76" i="4"/>
  <c r="L76" i="4"/>
  <c r="AR2" i="1"/>
  <c r="AT2" i="1" s="1"/>
  <c r="AL8" i="1"/>
  <c r="AL15" i="1"/>
  <c r="N19" i="1"/>
  <c r="M19" i="1" s="1"/>
  <c r="AR27" i="1"/>
  <c r="AT27" i="1" s="1"/>
  <c r="AL27" i="1"/>
  <c r="M42" i="4"/>
  <c r="L42" i="4"/>
  <c r="J103" i="4"/>
  <c r="L103" i="4"/>
  <c r="M103" i="4" s="1"/>
  <c r="N108" i="4"/>
  <c r="P168" i="4"/>
  <c r="AR19" i="1"/>
  <c r="AT19" i="1" s="1"/>
  <c r="AL19" i="1"/>
  <c r="BA3" i="1"/>
  <c r="M30" i="4"/>
  <c r="L30" i="4"/>
  <c r="L81" i="4"/>
  <c r="M83" i="4"/>
  <c r="L83" i="4"/>
  <c r="M78" i="4"/>
  <c r="L78" i="4"/>
  <c r="AN31" i="1"/>
  <c r="AP31" i="1" s="1"/>
  <c r="M14" i="4"/>
  <c r="L14" i="4"/>
  <c r="S74" i="4"/>
  <c r="R74" i="4"/>
  <c r="AA74" i="4" s="1"/>
  <c r="N129" i="4"/>
  <c r="O129" i="4" s="1"/>
  <c r="I129" i="4"/>
  <c r="T40" i="1"/>
  <c r="AV22" i="1"/>
  <c r="AN24" i="1"/>
  <c r="AP24" i="1" s="1"/>
  <c r="BA31" i="1"/>
  <c r="BA37" i="1"/>
  <c r="M31" i="4"/>
  <c r="L31" i="4"/>
  <c r="M79" i="4"/>
  <c r="L79" i="4"/>
  <c r="AN25" i="1"/>
  <c r="AP25" i="1" s="1"/>
  <c r="O21" i="1"/>
  <c r="M21" i="4"/>
  <c r="L21" i="4"/>
  <c r="AJ17" i="1"/>
  <c r="BA22" i="1"/>
  <c r="AR35" i="1"/>
  <c r="AT35" i="1" s="1"/>
  <c r="AL35" i="1"/>
  <c r="AV36" i="1"/>
  <c r="AR36" i="1"/>
  <c r="AT36" i="1" s="1"/>
  <c r="AL36" i="1"/>
  <c r="L75" i="4"/>
  <c r="M75" i="4"/>
  <c r="N110" i="4"/>
  <c r="O110" i="4" s="1"/>
  <c r="I110" i="4"/>
  <c r="F19" i="2"/>
  <c r="G19" i="2" s="1"/>
  <c r="AN33" i="1"/>
  <c r="AP33" i="1" s="1"/>
  <c r="P106" i="4"/>
  <c r="J6" i="6"/>
  <c r="K6" i="6" s="1"/>
  <c r="H6" i="6"/>
  <c r="L107" i="4"/>
  <c r="M107" i="4" s="1"/>
  <c r="J107" i="4"/>
  <c r="K107" i="4" s="1"/>
  <c r="AR28" i="1"/>
  <c r="AT28" i="1" s="1"/>
  <c r="AL28" i="1"/>
  <c r="W2" i="1"/>
  <c r="X2" i="1" s="1"/>
  <c r="Y2" i="1" s="1"/>
  <c r="AV8" i="1"/>
  <c r="AN17" i="1"/>
  <c r="AP17" i="1" s="1"/>
  <c r="AV20" i="1"/>
  <c r="M30" i="1"/>
  <c r="AL30" i="1"/>
  <c r="F7" i="2"/>
  <c r="G7" i="2" s="1"/>
  <c r="M17" i="4"/>
  <c r="L17" i="4"/>
  <c r="M59" i="4"/>
  <c r="L59" i="4"/>
  <c r="AN14" i="1"/>
  <c r="AP14" i="1" s="1"/>
  <c r="M36" i="1"/>
  <c r="L40" i="4"/>
  <c r="BA8" i="1"/>
  <c r="N17" i="1"/>
  <c r="M17" i="1"/>
  <c r="M20" i="1"/>
  <c r="AG21" i="1"/>
  <c r="AH21" i="1" s="1"/>
  <c r="N27" i="1"/>
  <c r="M27" i="1" s="1"/>
  <c r="AN32" i="1"/>
  <c r="AP32" i="1" s="1"/>
  <c r="M24" i="4"/>
  <c r="L24" i="4"/>
  <c r="N4" i="1"/>
  <c r="M4" i="1" s="1"/>
  <c r="X7" i="1"/>
  <c r="Y7" i="1" s="1"/>
  <c r="AV30" i="1"/>
  <c r="C151" i="4"/>
  <c r="C154" i="4"/>
  <c r="C135" i="4"/>
  <c r="C146" i="4"/>
  <c r="C127" i="4"/>
  <c r="C152" i="4"/>
  <c r="C133" i="4"/>
  <c r="C122" i="4"/>
  <c r="C144" i="4"/>
  <c r="C125" i="4"/>
  <c r="C114" i="4"/>
  <c r="C147" i="4"/>
  <c r="C128" i="4"/>
  <c r="C109" i="4"/>
  <c r="C150" i="4"/>
  <c r="C139" i="4"/>
  <c r="C120" i="4"/>
  <c r="C153" i="4"/>
  <c r="C134" i="4"/>
  <c r="C123" i="4"/>
  <c r="C145" i="4"/>
  <c r="C119" i="4"/>
  <c r="C126" i="4"/>
  <c r="C121" i="4"/>
  <c r="C112" i="4"/>
  <c r="C142" i="4"/>
  <c r="C131" i="4"/>
  <c r="C118" i="4"/>
  <c r="C136" i="4"/>
  <c r="C141" i="4"/>
  <c r="C138" i="4"/>
  <c r="C130" i="4"/>
  <c r="C115" i="4"/>
  <c r="C113" i="4"/>
  <c r="C111" i="4"/>
  <c r="C149" i="4"/>
  <c r="C143" i="4"/>
  <c r="C117" i="4"/>
  <c r="C155" i="4"/>
  <c r="M18" i="4"/>
  <c r="R68" i="4"/>
  <c r="M82" i="4"/>
  <c r="L82" i="4"/>
  <c r="AN13" i="1"/>
  <c r="AP13" i="1" s="1"/>
  <c r="M13" i="4"/>
  <c r="L13" i="4"/>
  <c r="L101" i="4"/>
  <c r="I108" i="4"/>
  <c r="J101" i="4"/>
  <c r="O101" i="4" s="1"/>
  <c r="T74" i="4"/>
  <c r="AA40" i="1"/>
  <c r="AN4" i="1"/>
  <c r="AP4" i="1" s="1"/>
  <c r="N10" i="1"/>
  <c r="M10" i="1" s="1"/>
  <c r="BA12" i="1"/>
  <c r="AN18" i="1"/>
  <c r="AP18" i="1" s="1"/>
  <c r="AG18" i="1"/>
  <c r="AH18" i="1" s="1"/>
  <c r="BA30" i="1"/>
  <c r="B9" i="4"/>
  <c r="M38" i="4"/>
  <c r="L38" i="4"/>
  <c r="C137" i="4"/>
  <c r="O105" i="4"/>
  <c r="P105" i="4" s="1"/>
  <c r="P169" i="4"/>
  <c r="I11" i="5"/>
  <c r="P3" i="6"/>
  <c r="Q3" i="6" s="1"/>
  <c r="AA81" i="4"/>
  <c r="L158" i="4"/>
  <c r="M158" i="4" s="1"/>
  <c r="P158" i="4" s="1"/>
  <c r="P161" i="4"/>
  <c r="J4" i="6"/>
  <c r="K4" i="6" s="1"/>
  <c r="H4" i="6"/>
  <c r="S81" i="4"/>
  <c r="L164" i="4"/>
  <c r="M164" i="4" s="1"/>
  <c r="P164" i="4" s="1"/>
  <c r="L167" i="4"/>
  <c r="M167" i="4" s="1"/>
  <c r="P167" i="4" s="1"/>
  <c r="J167" i="4"/>
  <c r="K167" i="4" s="1"/>
  <c r="F29" i="5"/>
  <c r="H7" i="6"/>
  <c r="U81" i="4"/>
  <c r="I22" i="5"/>
  <c r="P4" i="6"/>
  <c r="Q4" i="6" s="1"/>
  <c r="P7" i="6"/>
  <c r="Q7" i="6" s="1"/>
  <c r="U80" i="4"/>
  <c r="S80" i="4"/>
  <c r="AA80" i="4" s="1"/>
  <c r="L104" i="4"/>
  <c r="M104" i="4" s="1"/>
  <c r="M70" i="4"/>
  <c r="L70" i="4"/>
  <c r="R84" i="4"/>
  <c r="L102" i="4"/>
  <c r="M102" i="4" s="1"/>
  <c r="J102" i="4"/>
  <c r="K102" i="4" s="1"/>
  <c r="L159" i="4"/>
  <c r="M159" i="4" s="1"/>
  <c r="P159" i="4" s="1"/>
  <c r="J159" i="4"/>
  <c r="K159" i="4" s="1"/>
  <c r="I3" i="5"/>
  <c r="M35" i="1"/>
  <c r="F9" i="2"/>
  <c r="G9" i="2" s="1"/>
  <c r="H10" i="3"/>
  <c r="S71" i="4"/>
  <c r="AA71" i="4" s="1"/>
  <c r="T80" i="4"/>
  <c r="S84" i="4"/>
  <c r="L168" i="4"/>
  <c r="M168" i="4" s="1"/>
  <c r="J168" i="4"/>
  <c r="K168" i="4" s="1"/>
  <c r="J8" i="6"/>
  <c r="K8" i="6" s="1"/>
  <c r="H8" i="6"/>
  <c r="T71" i="4"/>
  <c r="T84" i="4"/>
  <c r="O104" i="4"/>
  <c r="P104" i="4" s="1"/>
  <c r="J165" i="4"/>
  <c r="K165" i="4" s="1"/>
  <c r="L165" i="4"/>
  <c r="M165" i="4" s="1"/>
  <c r="P165" i="4" s="1"/>
  <c r="P171" i="4"/>
  <c r="J2" i="6"/>
  <c r="K2" i="6" s="1"/>
  <c r="H2" i="6"/>
  <c r="G9" i="6"/>
  <c r="F13" i="2"/>
  <c r="G13" i="2" s="1"/>
  <c r="H2" i="3"/>
  <c r="H7" i="3" s="1"/>
  <c r="G12" i="3"/>
  <c r="R70" i="4"/>
  <c r="P8" i="6"/>
  <c r="Q8" i="6" s="1"/>
  <c r="M39" i="1"/>
  <c r="F17" i="2"/>
  <c r="G17" i="2" s="1"/>
  <c r="M69" i="4"/>
  <c r="S70" i="4"/>
  <c r="U79" i="4"/>
  <c r="T79" i="4"/>
  <c r="R79" i="4"/>
  <c r="AA79" i="4" s="1"/>
  <c r="R83" i="4"/>
  <c r="AA83" i="4" s="1"/>
  <c r="L160" i="4"/>
  <c r="M160" i="4" s="1"/>
  <c r="P160" i="4" s="1"/>
  <c r="J160" i="4"/>
  <c r="K160" i="4" s="1"/>
  <c r="G19" i="5"/>
  <c r="I19" i="5" s="1"/>
  <c r="L5" i="6"/>
  <c r="M25" i="1"/>
  <c r="M33" i="1"/>
  <c r="T70" i="4"/>
  <c r="J157" i="4"/>
  <c r="K157" i="4" s="1"/>
  <c r="L157" i="4"/>
  <c r="M157" i="4" s="1"/>
  <c r="P157" i="4" s="1"/>
  <c r="P163" i="4"/>
  <c r="P5" i="6"/>
  <c r="Q5" i="6" s="1"/>
  <c r="M3" i="1"/>
  <c r="M15" i="1"/>
  <c r="M68" i="4"/>
  <c r="T83" i="4"/>
  <c r="J105" i="4"/>
  <c r="K105" i="4" s="1"/>
  <c r="O107" i="4"/>
  <c r="S5" i="6"/>
  <c r="I15" i="5"/>
  <c r="J3" i="6"/>
  <c r="K3" i="6" s="1"/>
  <c r="H3" i="6"/>
  <c r="T5" i="6"/>
  <c r="S78" i="4"/>
  <c r="R76" i="4"/>
  <c r="AA76" i="4" s="1"/>
  <c r="S75" i="4"/>
  <c r="AA75" i="4" s="1"/>
  <c r="T76" i="4"/>
  <c r="O9" i="6"/>
  <c r="AI18" i="1" l="1"/>
  <c r="AJ18" i="1" s="1"/>
  <c r="AN6" i="1"/>
  <c r="AP6" i="1" s="1"/>
  <c r="AG6" i="1"/>
  <c r="AH6" i="1" s="1"/>
  <c r="AG11" i="1"/>
  <c r="AH11" i="1" s="1"/>
  <c r="AN11" i="1"/>
  <c r="AP11" i="1" s="1"/>
  <c r="AI21" i="1"/>
  <c r="AJ21" i="1" s="1"/>
  <c r="AN37" i="1"/>
  <c r="AP37" i="1" s="1"/>
  <c r="AG37" i="1"/>
  <c r="AH37" i="1" s="1"/>
  <c r="AN23" i="1"/>
  <c r="AP23" i="1" s="1"/>
  <c r="AG23" i="1"/>
  <c r="AH23" i="1" s="1"/>
  <c r="AI26" i="1"/>
  <c r="AJ26" i="1" s="1"/>
  <c r="AI3" i="1"/>
  <c r="AJ3" i="1" s="1"/>
  <c r="AI33" i="1"/>
  <c r="AJ33" i="1" s="1"/>
  <c r="AI12" i="1"/>
  <c r="AJ12" i="1" s="1"/>
  <c r="AN38" i="1"/>
  <c r="AP38" i="1" s="1"/>
  <c r="AI7" i="1"/>
  <c r="AJ7" i="1" s="1"/>
  <c r="AI5" i="1"/>
  <c r="AJ5" i="1" s="1"/>
  <c r="AI34" i="1"/>
  <c r="AJ34" i="1" s="1"/>
  <c r="N121" i="4"/>
  <c r="O121" i="4" s="1"/>
  <c r="I121" i="4"/>
  <c r="I155" i="4"/>
  <c r="N155" i="4"/>
  <c r="O155" i="4" s="1"/>
  <c r="N126" i="4"/>
  <c r="O126" i="4" s="1"/>
  <c r="I126" i="4"/>
  <c r="C140" i="4"/>
  <c r="N133" i="4"/>
  <c r="O133" i="4" s="1"/>
  <c r="I133" i="4"/>
  <c r="P2" i="6"/>
  <c r="Q2" i="6" s="1"/>
  <c r="L2" i="6"/>
  <c r="S2" i="6" s="1"/>
  <c r="T2" i="6"/>
  <c r="I2" i="6"/>
  <c r="N122" i="4"/>
  <c r="O122" i="4" s="1"/>
  <c r="I122" i="4"/>
  <c r="C124" i="4"/>
  <c r="I117" i="4"/>
  <c r="N117" i="4"/>
  <c r="O117" i="4" s="1"/>
  <c r="N119" i="4"/>
  <c r="O119" i="4" s="1"/>
  <c r="I119" i="4"/>
  <c r="N152" i="4"/>
  <c r="O152" i="4" s="1"/>
  <c r="I152" i="4"/>
  <c r="L129" i="4"/>
  <c r="M129" i="4" s="1"/>
  <c r="J129" i="4"/>
  <c r="K129" i="4" s="1"/>
  <c r="AN19" i="1"/>
  <c r="AP19" i="1" s="1"/>
  <c r="AG19" i="1"/>
  <c r="AH19" i="1" s="1"/>
  <c r="AN29" i="1"/>
  <c r="AP29" i="1" s="1"/>
  <c r="AG29" i="1"/>
  <c r="AH29" i="1" s="1"/>
  <c r="I6" i="6"/>
  <c r="T6" i="6"/>
  <c r="L6" i="6"/>
  <c r="S6" i="6" s="1"/>
  <c r="P6" i="6"/>
  <c r="Q6" i="6" s="1"/>
  <c r="N143" i="4"/>
  <c r="O143" i="4" s="1"/>
  <c r="I143" i="4"/>
  <c r="N145" i="4"/>
  <c r="O145" i="4" s="1"/>
  <c r="I145" i="4"/>
  <c r="N127" i="4"/>
  <c r="O127" i="4" s="1"/>
  <c r="I127" i="4"/>
  <c r="P129" i="4"/>
  <c r="I149" i="4"/>
  <c r="C156" i="4"/>
  <c r="N149" i="4"/>
  <c r="O149" i="4" s="1"/>
  <c r="I123" i="4"/>
  <c r="N123" i="4"/>
  <c r="O123" i="4" s="1"/>
  <c r="N146" i="4"/>
  <c r="O146" i="4" s="1"/>
  <c r="I146" i="4"/>
  <c r="AN20" i="1"/>
  <c r="AP20" i="1" s="1"/>
  <c r="AG20" i="1"/>
  <c r="AH20" i="1" s="1"/>
  <c r="N111" i="4"/>
  <c r="O111" i="4" s="1"/>
  <c r="I111" i="4"/>
  <c r="I134" i="4"/>
  <c r="N134" i="4"/>
  <c r="O134" i="4" s="1"/>
  <c r="N135" i="4"/>
  <c r="O135" i="4" s="1"/>
  <c r="I135" i="4"/>
  <c r="AN30" i="1"/>
  <c r="AP30" i="1" s="1"/>
  <c r="AG30" i="1"/>
  <c r="AH30" i="1" s="1"/>
  <c r="L110" i="4"/>
  <c r="M110" i="4" s="1"/>
  <c r="P110" i="4" s="1"/>
  <c r="J110" i="4"/>
  <c r="K110" i="4" s="1"/>
  <c r="AG15" i="1"/>
  <c r="AH15" i="1" s="1"/>
  <c r="AN15" i="1"/>
  <c r="AP15" i="1" s="1"/>
  <c r="N113" i="4"/>
  <c r="O113" i="4" s="1"/>
  <c r="I113" i="4"/>
  <c r="X78" i="4"/>
  <c r="X86" i="4"/>
  <c r="X79" i="4"/>
  <c r="X85" i="4"/>
  <c r="X81" i="4"/>
  <c r="X82" i="4"/>
  <c r="X84" i="4"/>
  <c r="X71" i="4"/>
  <c r="X80" i="4"/>
  <c r="X76" i="4"/>
  <c r="X72" i="4"/>
  <c r="AA68" i="4"/>
  <c r="X88" i="4"/>
  <c r="Z68" i="4" s="1"/>
  <c r="X73" i="4"/>
  <c r="X77" i="4"/>
  <c r="X87" i="4"/>
  <c r="X68" i="4"/>
  <c r="X83" i="4"/>
  <c r="X75" i="4"/>
  <c r="X69" i="4"/>
  <c r="X74" i="4"/>
  <c r="X70" i="4"/>
  <c r="L7" i="6"/>
  <c r="S7" i="6" s="1"/>
  <c r="I7" i="6"/>
  <c r="T7" i="6"/>
  <c r="N115" i="4"/>
  <c r="O115" i="4" s="1"/>
  <c r="I115" i="4"/>
  <c r="N120" i="4"/>
  <c r="O120" i="4" s="1"/>
  <c r="I120" i="4"/>
  <c r="N151" i="4"/>
  <c r="O151" i="4" s="1"/>
  <c r="I151" i="4"/>
  <c r="AG22" i="1"/>
  <c r="AH22" i="1" s="1"/>
  <c r="AN22" i="1"/>
  <c r="AP22" i="1" s="1"/>
  <c r="L8" i="6"/>
  <c r="S8" i="6" s="1"/>
  <c r="I8" i="6"/>
  <c r="T8" i="6"/>
  <c r="AA84" i="4"/>
  <c r="G29" i="5"/>
  <c r="N137" i="4"/>
  <c r="O137" i="4" s="1"/>
  <c r="I137" i="4"/>
  <c r="L108" i="4"/>
  <c r="M108" i="4" s="1"/>
  <c r="M101" i="4"/>
  <c r="P101" i="4" s="1"/>
  <c r="I130" i="4"/>
  <c r="N130" i="4"/>
  <c r="O130" i="4" s="1"/>
  <c r="N139" i="4"/>
  <c r="O139" i="4" s="1"/>
  <c r="I139" i="4"/>
  <c r="O103" i="4"/>
  <c r="P103" i="4" s="1"/>
  <c r="K103" i="4"/>
  <c r="AN8" i="1"/>
  <c r="AP8" i="1" s="1"/>
  <c r="AG8" i="1"/>
  <c r="AH8" i="1" s="1"/>
  <c r="J108" i="4"/>
  <c r="K108" i="4" s="1"/>
  <c r="K101" i="4"/>
  <c r="T3" i="6"/>
  <c r="I3" i="6"/>
  <c r="L3" i="6"/>
  <c r="S3" i="6" s="1"/>
  <c r="I138" i="4"/>
  <c r="N138" i="4"/>
  <c r="O138" i="4" s="1"/>
  <c r="N150" i="4"/>
  <c r="O150" i="4" s="1"/>
  <c r="I150" i="4"/>
  <c r="I154" i="4"/>
  <c r="N154" i="4"/>
  <c r="O154" i="4" s="1"/>
  <c r="AA70" i="4"/>
  <c r="C148" i="4"/>
  <c r="I141" i="4"/>
  <c r="N141" i="4"/>
  <c r="O141" i="4" s="1"/>
  <c r="C116" i="4"/>
  <c r="I109" i="4"/>
  <c r="N109" i="4"/>
  <c r="O109" i="4" s="1"/>
  <c r="O102" i="4"/>
  <c r="P102" i="4" s="1"/>
  <c r="I153" i="4"/>
  <c r="N153" i="4"/>
  <c r="O153" i="4" s="1"/>
  <c r="I136" i="4"/>
  <c r="N136" i="4"/>
  <c r="O136" i="4" s="1"/>
  <c r="N128" i="4"/>
  <c r="O128" i="4" s="1"/>
  <c r="I128" i="4"/>
  <c r="X40" i="1"/>
  <c r="Y40" i="1"/>
  <c r="AN36" i="1"/>
  <c r="AP36" i="1" s="1"/>
  <c r="AG36" i="1"/>
  <c r="AH36" i="1" s="1"/>
  <c r="AN27" i="1"/>
  <c r="AP27" i="1" s="1"/>
  <c r="AG27" i="1"/>
  <c r="AH27" i="1" s="1"/>
  <c r="F13" i="3"/>
  <c r="H13" i="3"/>
  <c r="N118" i="4"/>
  <c r="O118" i="4" s="1"/>
  <c r="I118" i="4"/>
  <c r="N147" i="4"/>
  <c r="O147" i="4" s="1"/>
  <c r="I147" i="4"/>
  <c r="AN28" i="1"/>
  <c r="AP28" i="1" s="1"/>
  <c r="AG28" i="1"/>
  <c r="AH28" i="1" s="1"/>
  <c r="I112" i="4"/>
  <c r="N112" i="4"/>
  <c r="O112" i="4" s="1"/>
  <c r="P107" i="4"/>
  <c r="T4" i="6"/>
  <c r="L4" i="6"/>
  <c r="S4" i="6" s="1"/>
  <c r="I4" i="6"/>
  <c r="I131" i="4"/>
  <c r="N131" i="4"/>
  <c r="O131" i="4" s="1"/>
  <c r="I114" i="4"/>
  <c r="N114" i="4"/>
  <c r="O114" i="4" s="1"/>
  <c r="V59" i="4"/>
  <c r="G10" i="3"/>
  <c r="G15" i="3" s="1"/>
  <c r="F9" i="3"/>
  <c r="G7" i="3"/>
  <c r="N144" i="4"/>
  <c r="O144" i="4" s="1"/>
  <c r="I144" i="4"/>
  <c r="J9" i="6"/>
  <c r="K9" i="6" s="1"/>
  <c r="P9" i="6"/>
  <c r="Q9" i="6" s="1"/>
  <c r="I142" i="4"/>
  <c r="N142" i="4"/>
  <c r="O142" i="4" s="1"/>
  <c r="N125" i="4"/>
  <c r="O125" i="4" s="1"/>
  <c r="I125" i="4"/>
  <c r="C132" i="4"/>
  <c r="AN35" i="1"/>
  <c r="AP35" i="1" s="1"/>
  <c r="AG35" i="1"/>
  <c r="AH35" i="1" s="1"/>
  <c r="AI23" i="1" l="1"/>
  <c r="AJ23" i="1" s="1"/>
  <c r="AI35" i="1"/>
  <c r="AJ35" i="1" s="1"/>
  <c r="AI8" i="1"/>
  <c r="AJ8" i="1" s="1"/>
  <c r="AI20" i="1"/>
  <c r="AJ20" i="1" s="1"/>
  <c r="AI27" i="1"/>
  <c r="AJ27" i="1" s="1"/>
  <c r="AP40" i="1"/>
  <c r="AI37" i="1"/>
  <c r="AJ37" i="1" s="1"/>
  <c r="AI22" i="1"/>
  <c r="AJ22" i="1" s="1"/>
  <c r="AJ36" i="1"/>
  <c r="AI36" i="1"/>
  <c r="AI29" i="1"/>
  <c r="AJ29" i="1" s="1"/>
  <c r="AI15" i="1"/>
  <c r="AJ15" i="1" s="1"/>
  <c r="AI19" i="1"/>
  <c r="AJ19" i="1" s="1"/>
  <c r="AI11" i="1"/>
  <c r="AJ11" i="1" s="1"/>
  <c r="AI6" i="1"/>
  <c r="AJ6" i="1" s="1"/>
  <c r="AI30" i="1"/>
  <c r="AJ30" i="1" s="1"/>
  <c r="AI28" i="1"/>
  <c r="AJ28" i="1" s="1"/>
  <c r="J115" i="4"/>
  <c r="K115" i="4" s="1"/>
  <c r="L115" i="4"/>
  <c r="M115" i="4" s="1"/>
  <c r="L131" i="4"/>
  <c r="M131" i="4" s="1"/>
  <c r="P131" i="4" s="1"/>
  <c r="J131" i="4"/>
  <c r="K131" i="4" s="1"/>
  <c r="J133" i="4"/>
  <c r="K133" i="4" s="1"/>
  <c r="L133" i="4"/>
  <c r="M133" i="4" s="1"/>
  <c r="J114" i="4"/>
  <c r="K114" i="4" s="1"/>
  <c r="L114" i="4"/>
  <c r="M114" i="4" s="1"/>
  <c r="L141" i="4"/>
  <c r="M141" i="4" s="1"/>
  <c r="J141" i="4"/>
  <c r="K141" i="4" s="1"/>
  <c r="N148" i="4"/>
  <c r="O148" i="4" s="1"/>
  <c r="I148" i="4"/>
  <c r="P119" i="4"/>
  <c r="AJ45" i="1"/>
  <c r="J150" i="4"/>
  <c r="K150" i="4" s="1"/>
  <c r="L150" i="4"/>
  <c r="M150" i="4" s="1"/>
  <c r="J139" i="4"/>
  <c r="K139" i="4" s="1"/>
  <c r="L139" i="4"/>
  <c r="M139" i="4" s="1"/>
  <c r="P139" i="4" s="1"/>
  <c r="N124" i="4"/>
  <c r="O124" i="4" s="1"/>
  <c r="I124" i="4"/>
  <c r="P155" i="4"/>
  <c r="L142" i="4"/>
  <c r="M142" i="4" s="1"/>
  <c r="P142" i="4" s="1"/>
  <c r="J142" i="4"/>
  <c r="K142" i="4" s="1"/>
  <c r="J154" i="4"/>
  <c r="K154" i="4" s="1"/>
  <c r="L154" i="4"/>
  <c r="M154" i="4" s="1"/>
  <c r="AG39" i="1"/>
  <c r="AH39" i="1" s="1"/>
  <c r="N156" i="4"/>
  <c r="O156" i="4" s="1"/>
  <c r="I156" i="4"/>
  <c r="J122" i="4"/>
  <c r="K122" i="4" s="1"/>
  <c r="L122" i="4"/>
  <c r="M122" i="4" s="1"/>
  <c r="P122" i="4" s="1"/>
  <c r="L155" i="4"/>
  <c r="M155" i="4" s="1"/>
  <c r="J155" i="4"/>
  <c r="K155" i="4" s="1"/>
  <c r="L143" i="4"/>
  <c r="M143" i="4" s="1"/>
  <c r="P143" i="4" s="1"/>
  <c r="J143" i="4"/>
  <c r="K143" i="4" s="1"/>
  <c r="P146" i="4"/>
  <c r="L123" i="4"/>
  <c r="M123" i="4" s="1"/>
  <c r="P123" i="4" s="1"/>
  <c r="J123" i="4"/>
  <c r="K123" i="4" s="1"/>
  <c r="L117" i="4"/>
  <c r="M117" i="4" s="1"/>
  <c r="J117" i="4"/>
  <c r="K117" i="4" s="1"/>
  <c r="P150" i="4"/>
  <c r="L151" i="4"/>
  <c r="M151" i="4" s="1"/>
  <c r="J151" i="4"/>
  <c r="K151" i="4" s="1"/>
  <c r="L134" i="4"/>
  <c r="M134" i="4" s="1"/>
  <c r="P134" i="4" s="1"/>
  <c r="J134" i="4"/>
  <c r="K134" i="4" s="1"/>
  <c r="L149" i="4"/>
  <c r="M149" i="4" s="1"/>
  <c r="P149" i="4" s="1"/>
  <c r="J149" i="4"/>
  <c r="K149" i="4" s="1"/>
  <c r="L137" i="4"/>
  <c r="M137" i="4" s="1"/>
  <c r="P137" i="4" s="1"/>
  <c r="J137" i="4"/>
  <c r="K137" i="4" s="1"/>
  <c r="L118" i="4"/>
  <c r="M118" i="4" s="1"/>
  <c r="P118" i="4" s="1"/>
  <c r="J118" i="4"/>
  <c r="K118" i="4" s="1"/>
  <c r="N140" i="4"/>
  <c r="O140" i="4" s="1"/>
  <c r="I140" i="4"/>
  <c r="P130" i="4"/>
  <c r="P115" i="4"/>
  <c r="L136" i="4"/>
  <c r="M136" i="4" s="1"/>
  <c r="P136" i="4" s="1"/>
  <c r="J136" i="4"/>
  <c r="K136" i="4" s="1"/>
  <c r="P154" i="4"/>
  <c r="L135" i="4"/>
  <c r="M135" i="4" s="1"/>
  <c r="J135" i="4"/>
  <c r="K135" i="4" s="1"/>
  <c r="P135" i="4"/>
  <c r="L112" i="4"/>
  <c r="M112" i="4" s="1"/>
  <c r="P112" i="4" s="1"/>
  <c r="J112" i="4"/>
  <c r="K112" i="4" s="1"/>
  <c r="J130" i="4"/>
  <c r="K130" i="4" s="1"/>
  <c r="L130" i="4"/>
  <c r="M130" i="4" s="1"/>
  <c r="P151" i="4"/>
  <c r="O108" i="4"/>
  <c r="P108" i="4" s="1"/>
  <c r="L111" i="4"/>
  <c r="M111" i="4" s="1"/>
  <c r="J111" i="4"/>
  <c r="K111" i="4" s="1"/>
  <c r="L127" i="4"/>
  <c r="M127" i="4" s="1"/>
  <c r="J127" i="4"/>
  <c r="K127" i="4" s="1"/>
  <c r="L121" i="4"/>
  <c r="M121" i="4" s="1"/>
  <c r="P121" i="4" s="1"/>
  <c r="J121" i="4"/>
  <c r="K121" i="4" s="1"/>
  <c r="J128" i="4"/>
  <c r="K128" i="4" s="1"/>
  <c r="L128" i="4"/>
  <c r="M128" i="4" s="1"/>
  <c r="P141" i="4"/>
  <c r="P125" i="4"/>
  <c r="L119" i="4"/>
  <c r="M119" i="4" s="1"/>
  <c r="J119" i="4"/>
  <c r="K119" i="4" s="1"/>
  <c r="H32" i="5"/>
  <c r="H30" i="5"/>
  <c r="P117" i="4"/>
  <c r="L138" i="4"/>
  <c r="M138" i="4" s="1"/>
  <c r="P138" i="4" s="1"/>
  <c r="J138" i="4"/>
  <c r="K138" i="4" s="1"/>
  <c r="J120" i="4"/>
  <c r="K120" i="4" s="1"/>
  <c r="L120" i="4"/>
  <c r="M120" i="4" s="1"/>
  <c r="P120" i="4" s="1"/>
  <c r="L113" i="4"/>
  <c r="M113" i="4" s="1"/>
  <c r="P113" i="4" s="1"/>
  <c r="J113" i="4"/>
  <c r="K113" i="4" s="1"/>
  <c r="P128" i="4"/>
  <c r="T9" i="6"/>
  <c r="I9" i="6"/>
  <c r="L9" i="6"/>
  <c r="S9" i="6" s="1"/>
  <c r="P126" i="4"/>
  <c r="J109" i="4"/>
  <c r="K109" i="4" s="1"/>
  <c r="L109" i="4"/>
  <c r="M109" i="4" s="1"/>
  <c r="P109" i="4" s="1"/>
  <c r="P111" i="4"/>
  <c r="P127" i="4"/>
  <c r="L125" i="4"/>
  <c r="M125" i="4" s="1"/>
  <c r="J125" i="4"/>
  <c r="K125" i="4" s="1"/>
  <c r="P114" i="4"/>
  <c r="J146" i="4"/>
  <c r="K146" i="4" s="1"/>
  <c r="L146" i="4"/>
  <c r="M146" i="4" s="1"/>
  <c r="P133" i="4"/>
  <c r="J126" i="4"/>
  <c r="K126" i="4" s="1"/>
  <c r="L126" i="4"/>
  <c r="M126" i="4" s="1"/>
  <c r="L153" i="4"/>
  <c r="M153" i="4" s="1"/>
  <c r="P153" i="4" s="1"/>
  <c r="J153" i="4"/>
  <c r="K153" i="4" s="1"/>
  <c r="L144" i="4"/>
  <c r="M144" i="4" s="1"/>
  <c r="P144" i="4" s="1"/>
  <c r="J144" i="4"/>
  <c r="K144" i="4" s="1"/>
  <c r="Z45" i="1"/>
  <c r="Z46" i="1"/>
  <c r="N132" i="4"/>
  <c r="O132" i="4" s="1"/>
  <c r="I132" i="4"/>
  <c r="J147" i="4"/>
  <c r="K147" i="4" s="1"/>
  <c r="L147" i="4"/>
  <c r="M147" i="4" s="1"/>
  <c r="P147" i="4" s="1"/>
  <c r="I116" i="4"/>
  <c r="N116" i="4"/>
  <c r="O116" i="4" s="1"/>
  <c r="J145" i="4"/>
  <c r="K145" i="4" s="1"/>
  <c r="L145" i="4"/>
  <c r="M145" i="4" s="1"/>
  <c r="P145" i="4" s="1"/>
  <c r="J152" i="4"/>
  <c r="K152" i="4" s="1"/>
  <c r="L152" i="4"/>
  <c r="M152" i="4" s="1"/>
  <c r="P152" i="4" s="1"/>
  <c r="AI39" i="1" l="1"/>
  <c r="AJ39" i="1" s="1"/>
  <c r="L148" i="4"/>
  <c r="M148" i="4" s="1"/>
  <c r="P148" i="4" s="1"/>
  <c r="J148" i="4"/>
  <c r="K148" i="4" s="1"/>
  <c r="L132" i="4"/>
  <c r="M132" i="4" s="1"/>
  <c r="J132" i="4"/>
  <c r="K132" i="4" s="1"/>
  <c r="J156" i="4"/>
  <c r="K156" i="4" s="1"/>
  <c r="L156" i="4"/>
  <c r="M156" i="4" s="1"/>
  <c r="L124" i="4"/>
  <c r="M124" i="4" s="1"/>
  <c r="P124" i="4" s="1"/>
  <c r="J124" i="4"/>
  <c r="K124" i="4" s="1"/>
  <c r="P156" i="4"/>
  <c r="I31" i="5"/>
  <c r="I29" i="5"/>
  <c r="AH40" i="1"/>
  <c r="AJ43" i="1" s="1"/>
  <c r="L140" i="4"/>
  <c r="M140" i="4" s="1"/>
  <c r="P140" i="4" s="1"/>
  <c r="J140" i="4"/>
  <c r="K140" i="4" s="1"/>
  <c r="AJ2" i="1"/>
  <c r="AI42" i="1"/>
  <c r="AI40" i="1"/>
  <c r="AI44" i="1"/>
  <c r="P132" i="4"/>
  <c r="P116" i="4"/>
  <c r="J116" i="4"/>
  <c r="K116" i="4" s="1"/>
  <c r="L116" i="4"/>
  <c r="M116" i="4" s="1"/>
  <c r="J31" i="5" l="1"/>
  <c r="I32" i="5"/>
  <c r="AK42" i="1"/>
  <c r="AJ41" i="1"/>
  <c r="AK43" i="1" l="1"/>
  <c r="AK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3" authorId="0" shapeId="0" xr:uid="{00000000-0006-0000-0100-000002000000}">
      <text>
        <r>
          <rPr>
            <sz val="10"/>
            <color rgb="FF000000"/>
            <rFont val="Arial"/>
            <family val="2"/>
            <scheme val="minor"/>
          </rPr>
          <t>Poly-cristalline module (efficiency between 12-16%)
	-Antoine Rousset</t>
        </r>
      </text>
    </comment>
    <comment ref="K17" authorId="0" shapeId="0" xr:uid="{00000000-0006-0000-0100-000001000000}">
      <text>
        <r>
          <rPr>
            <sz val="10"/>
            <color rgb="FF000000"/>
            <rFont val="Arial"/>
            <family val="2"/>
            <scheme val="minor"/>
          </rPr>
          <t>Thin film module (4-12%)
	-Antoine Rousset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1" authorId="0" shapeId="0" xr:uid="{00000000-0006-0000-0300-000005000000}">
      <text>
        <r>
          <rPr>
            <sz val="10"/>
            <color rgb="FF000000"/>
            <rFont val="Arial"/>
            <family val="2"/>
            <scheme val="minor"/>
          </rPr>
          <t>Monocristallin
	-Antoine Rousset
rendement : 20%
	-Antoine Rousset</t>
        </r>
      </text>
    </comment>
    <comment ref="T1" authorId="0" shapeId="0" xr:uid="{00000000-0006-0000-0300-000004000000}">
      <text>
        <r>
          <rPr>
            <sz val="10"/>
            <color rgb="FF000000"/>
            <rFont val="Arial"/>
            <family val="2"/>
            <scheme val="minor"/>
          </rPr>
          <t>Polycristallin
	-Antoine Rousset
rendement 13%
	-Antoine Rousset</t>
        </r>
      </text>
    </comment>
    <comment ref="U1" authorId="0" shapeId="0" xr:uid="{00000000-0006-0000-0300-000003000000}">
      <text>
        <r>
          <rPr>
            <sz val="10"/>
            <color rgb="FF000000"/>
            <rFont val="Arial"/>
            <family val="2"/>
            <scheme val="minor"/>
          </rPr>
          <t>couche mince
	-Antoine Rousset</t>
        </r>
      </text>
    </comment>
    <comment ref="V1" authorId="0" shapeId="0" xr:uid="{00000000-0006-0000-0300-000002000000}">
      <text>
        <r>
          <rPr>
            <sz val="10"/>
            <color rgb="FF000000"/>
            <rFont val="Arial"/>
            <family val="2"/>
            <scheme val="minor"/>
          </rPr>
          <t>1kWh = 20c€
	-Antoine Rousset</t>
        </r>
      </text>
    </comment>
    <comment ref="AB1" authorId="0" shapeId="0" xr:uid="{00000000-0006-0000-0300-000001000000}">
      <text>
        <r>
          <rPr>
            <sz val="10"/>
            <color rgb="FF000000"/>
            <rFont val="Arial"/>
            <family val="2"/>
            <scheme val="minor"/>
          </rPr>
          <t>Plomb
	-Antoine Rousset</t>
        </r>
      </text>
    </comment>
    <comment ref="C11" authorId="0" shapeId="0" xr:uid="{00000000-0006-0000-0300-000007000000}">
      <text>
        <r>
          <rPr>
            <sz val="10"/>
            <color rgb="FF000000"/>
            <rFont val="Arial"/>
            <family val="2"/>
            <scheme val="minor"/>
          </rPr>
          <t>Panneaux solaire monocristallin
	-Antoine Rousset</t>
        </r>
      </text>
    </comment>
    <comment ref="C30" authorId="0" shapeId="0" xr:uid="{00000000-0006-0000-0300-000006000000}">
      <text>
        <r>
          <rPr>
            <sz val="10"/>
            <color rgb="FF000000"/>
            <rFont val="Arial"/>
            <family val="2"/>
            <scheme val="minor"/>
          </rPr>
          <t>silicium polycristallin
	-Antoine Rousset</t>
        </r>
      </text>
    </comment>
  </commentList>
</comments>
</file>

<file path=xl/sharedStrings.xml><?xml version="1.0" encoding="utf-8"?>
<sst xmlns="http://schemas.openxmlformats.org/spreadsheetml/2006/main" count="601" uniqueCount="298">
  <si>
    <t>Country</t>
  </si>
  <si>
    <t>Average solar irradiance (We/m2/year)</t>
  </si>
  <si>
    <t>CV (coefficient of variation) (%)</t>
  </si>
  <si>
    <t>f1</t>
  </si>
  <si>
    <t>f2</t>
  </si>
  <si>
    <t xml:space="preserve">f3 </t>
  </si>
  <si>
    <t>Solar Power density(We/m2)</t>
  </si>
  <si>
    <t>Lowest Irradiance (We/m2/year)</t>
  </si>
  <si>
    <t xml:space="preserve">Annual average (We/m2/year) </t>
  </si>
  <si>
    <t>SV</t>
  </si>
  <si>
    <t>sunshine hours per year</t>
  </si>
  <si>
    <t xml:space="preserve">Efficiency </t>
  </si>
  <si>
    <t>Energy density(kWh/m2/year)</t>
  </si>
  <si>
    <t>Overcapacity factor (%)</t>
  </si>
  <si>
    <t>Capacity installed (GW)</t>
  </si>
  <si>
    <t>Annual generation (GWh)</t>
  </si>
  <si>
    <t xml:space="preserve">real nb of hours </t>
  </si>
  <si>
    <t>Capacity factor country</t>
  </si>
  <si>
    <t>Nominal power (GW)</t>
  </si>
  <si>
    <t>surface (m2)</t>
  </si>
  <si>
    <t>Nominal power density (w/m2)</t>
  </si>
  <si>
    <t>Mean Power density (W/m2)</t>
  </si>
  <si>
    <t>Energy density (TWh/km2/year)</t>
  </si>
  <si>
    <t>écart type</t>
  </si>
  <si>
    <t>Capacity factor(%)</t>
  </si>
  <si>
    <t xml:space="preserve">Capacity factor (only whetear) </t>
  </si>
  <si>
    <t>Power density for rooftop (W/m2)</t>
  </si>
  <si>
    <t>Aroof (m2/capita)</t>
  </si>
  <si>
    <t>Apv(m2/capita)</t>
  </si>
  <si>
    <t>Apv (km2)</t>
  </si>
  <si>
    <t>Energy density (MWh/m2/year)</t>
  </si>
  <si>
    <t>Power density (W/m2)</t>
  </si>
  <si>
    <t xml:space="preserve">Mean power density </t>
  </si>
  <si>
    <t>Energy density</t>
  </si>
  <si>
    <t>daily global insolation on a horizontal plane(kWh/m2)</t>
  </si>
  <si>
    <t>annual energy output(kWh/capita/year)</t>
  </si>
  <si>
    <t>Solar generation (GWh)</t>
  </si>
  <si>
    <t xml:space="preserve">Nominal power </t>
  </si>
  <si>
    <t xml:space="preserve">Nominal power density </t>
  </si>
  <si>
    <t>Power output (kW/capita)</t>
  </si>
  <si>
    <t>Per capita Electricity generation from solar(kWh)</t>
  </si>
  <si>
    <t>Capacity factor</t>
  </si>
  <si>
    <t>Nominal power</t>
  </si>
  <si>
    <t>Nominal power density</t>
  </si>
  <si>
    <t>Build Up (km2)</t>
  </si>
  <si>
    <t>Electrcity use (MWh/year/capita)</t>
  </si>
  <si>
    <t>Rt: the share of the electricity covered by rooftop</t>
  </si>
  <si>
    <t>Land-use requirements for solar power in each country</t>
  </si>
  <si>
    <t>Isc</t>
  </si>
  <si>
    <t>Voc</t>
  </si>
  <si>
    <t>Vmp</t>
  </si>
  <si>
    <t>Imp</t>
  </si>
  <si>
    <t>FF</t>
  </si>
  <si>
    <t>S(m2)</t>
  </si>
  <si>
    <t>Pin</t>
  </si>
  <si>
    <t>thin film technology</t>
  </si>
  <si>
    <t>Austria</t>
  </si>
  <si>
    <t>FS-6425 FS-6425A</t>
  </si>
  <si>
    <t>Belgium</t>
  </si>
  <si>
    <t>FS-6430 FS-6430A</t>
  </si>
  <si>
    <t>Brazil</t>
  </si>
  <si>
    <t>FS-6435 FS-6435A</t>
  </si>
  <si>
    <t>Bulgaria</t>
  </si>
  <si>
    <t>FS-6440 FS-6440A</t>
  </si>
  <si>
    <t>Canada</t>
  </si>
  <si>
    <t>FS-6445 FS-6445A</t>
  </si>
  <si>
    <t>China</t>
  </si>
  <si>
    <t>FS-6450 FS-6450A</t>
  </si>
  <si>
    <t>Cyprus</t>
  </si>
  <si>
    <t>-</t>
  </si>
  <si>
    <t>Czech Republic</t>
  </si>
  <si>
    <t xml:space="preserve">Polycristaline </t>
  </si>
  <si>
    <t xml:space="preserve">(Module efficiency) </t>
  </si>
  <si>
    <t>Denmark</t>
  </si>
  <si>
    <t>Estonia</t>
  </si>
  <si>
    <t>Thin film module</t>
  </si>
  <si>
    <t>Finland</t>
  </si>
  <si>
    <t>France</t>
  </si>
  <si>
    <t xml:space="preserve">Monocristaline silicon </t>
  </si>
  <si>
    <t>Germany</t>
  </si>
  <si>
    <t>BMO/233</t>
  </si>
  <si>
    <t>Greece</t>
  </si>
  <si>
    <t>BMO/239</t>
  </si>
  <si>
    <t>Hungary</t>
  </si>
  <si>
    <t>India</t>
  </si>
  <si>
    <t>Indonesia</t>
  </si>
  <si>
    <t>Ireland</t>
  </si>
  <si>
    <t>Italy</t>
  </si>
  <si>
    <t>Japan</t>
  </si>
  <si>
    <t>Lithuania</t>
  </si>
  <si>
    <t>Luxembourg</t>
  </si>
  <si>
    <t>Malta</t>
  </si>
  <si>
    <t>Mexico</t>
  </si>
  <si>
    <t>Netherlands</t>
  </si>
  <si>
    <t>Poland</t>
  </si>
  <si>
    <t>Portugal</t>
  </si>
  <si>
    <t>Romania</t>
  </si>
  <si>
    <t>Russia</t>
  </si>
  <si>
    <t>Slovakia</t>
  </si>
  <si>
    <t>Slovenia</t>
  </si>
  <si>
    <t>South Korea</t>
  </si>
  <si>
    <t>Spain</t>
  </si>
  <si>
    <t>Sweden</t>
  </si>
  <si>
    <t>Taiwan</t>
  </si>
  <si>
    <t>Turkey</t>
  </si>
  <si>
    <t>UK</t>
  </si>
  <si>
    <t>USA</t>
  </si>
  <si>
    <t>Moyenne</t>
  </si>
  <si>
    <t>Solar irradiance (We/m2/year)</t>
  </si>
  <si>
    <t>Mois</t>
  </si>
  <si>
    <t xml:space="preserve">India 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</si>
  <si>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</si>
  <si>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</si>
  <si>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</si>
  <si>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</si>
  <si>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</si>
  <si>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</si>
  <si>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</si>
  <si>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</si>
  <si>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</si>
  <si>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</si>
  <si>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</si>
  <si>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</si>
  <si>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Annual Solar Irradiance (W/m2)</t>
  </si>
  <si>
    <t>Area of park (m2)</t>
  </si>
  <si>
    <t>Annual generation(GWh)</t>
  </si>
  <si>
    <t>Nominal power density (W/m2)</t>
  </si>
  <si>
    <t>mean Power density (We/m2)</t>
  </si>
  <si>
    <t>capacity factor</t>
  </si>
  <si>
    <t>f3</t>
  </si>
  <si>
    <t>Efficiency (%)</t>
  </si>
  <si>
    <t>Pmax (MW)</t>
  </si>
  <si>
    <t>efficiency</t>
  </si>
  <si>
    <t>Sinan (South Korea)</t>
  </si>
  <si>
    <t>Sunport Delfzijl Solar Park (Netherlands)</t>
  </si>
  <si>
    <t>Kristal Solar Park (Lommel, Belgium)</t>
  </si>
  <si>
    <t>Rubi Solar Park (Peru)</t>
  </si>
  <si>
    <t>Shotwick Solar Farm (UK)</t>
  </si>
  <si>
    <t>Setouchi Kirei Solar Power Plant (Japan)</t>
  </si>
  <si>
    <t>Cadiz City Solar Farm (Philippines)</t>
  </si>
  <si>
    <t>Templin Solar Park (Germany)</t>
  </si>
  <si>
    <t>Cestas Solar Farm (France)</t>
  </si>
  <si>
    <t>Nunez de Balboa Solar Farm (Spain)</t>
  </si>
  <si>
    <t>Latvia</t>
  </si>
  <si>
    <t>Capacity installed (MW)</t>
  </si>
  <si>
    <t>Anual production (GWh)</t>
  </si>
  <si>
    <t>Area (m2)</t>
  </si>
  <si>
    <t>Nominal Power</t>
  </si>
  <si>
    <t>Mean power density</t>
  </si>
  <si>
    <t>Solar irradiance</t>
  </si>
  <si>
    <t>Singapor</t>
  </si>
  <si>
    <t>Chine</t>
  </si>
  <si>
    <t xml:space="preserve">Inde </t>
  </si>
  <si>
    <t xml:space="preserve"> Saemangeum floating solar </t>
  </si>
  <si>
    <t>Surface (km2)</t>
  </si>
  <si>
    <t xml:space="preserve">Final concumption (TWh) 2020 </t>
  </si>
  <si>
    <t>Pcr (kWc)</t>
  </si>
  <si>
    <t>fperf</t>
  </si>
  <si>
    <t xml:space="preserve">Solar irradiance </t>
  </si>
  <si>
    <t>Wpv (kWh/m2/year)</t>
  </si>
  <si>
    <t>NB on pannel</t>
  </si>
  <si>
    <t>Area needed (km2)</t>
  </si>
  <si>
    <t>Percentage of area available</t>
  </si>
  <si>
    <t xml:space="preserve">Nominal power consumption density </t>
  </si>
  <si>
    <t>Mean power density (We/m2)</t>
  </si>
  <si>
    <t>Nb of kWp</t>
  </si>
  <si>
    <t>Total investement (billion) meth 2 : CAPEX</t>
  </si>
  <si>
    <t>OPEX</t>
  </si>
  <si>
    <t xml:space="preserve">Gain (milliard d'euros) </t>
  </si>
  <si>
    <t>Year</t>
  </si>
  <si>
    <t>Partie haute LCOE</t>
  </si>
  <si>
    <t>Partie basse LCOE</t>
  </si>
  <si>
    <t>LCOE world (c€/kWh)</t>
  </si>
  <si>
    <t>Year for Profitability</t>
  </si>
  <si>
    <t>Batteries 1 (€/kwh)</t>
  </si>
  <si>
    <t>Capacity installed : E+ (GW)</t>
  </si>
  <si>
    <t>Capacity installed : E- (GW)</t>
  </si>
  <si>
    <t>Capacity installed : E-B+ (GW)</t>
  </si>
  <si>
    <t>Capacity installed : E+RE- (GW)</t>
  </si>
  <si>
    <t>Capacity installed : E+RE+ (GW)</t>
  </si>
  <si>
    <t>2020-2025</t>
  </si>
  <si>
    <t>2026-2030</t>
  </si>
  <si>
    <t>2031-2035</t>
  </si>
  <si>
    <t>2036-2040</t>
  </si>
  <si>
    <t>2041-2045</t>
  </si>
  <si>
    <t>2046-2050</t>
  </si>
  <si>
    <t xml:space="preserve">Country </t>
  </si>
  <si>
    <t xml:space="preserve">Electrcity Consumption (GWh/an) </t>
  </si>
  <si>
    <t xml:space="preserve">Rendement </t>
  </si>
  <si>
    <t>Area(m2)</t>
  </si>
  <si>
    <t>Kcr : coeff de puissance de crête (kW/m2)</t>
  </si>
  <si>
    <t>Annual Solar irradiance (kWh/m2/year)</t>
  </si>
  <si>
    <t>Wpv (kWh/an)</t>
  </si>
  <si>
    <t>Number of panels</t>
  </si>
  <si>
    <t>Area needed(km2)</t>
  </si>
  <si>
    <t xml:space="preserve">Number of panels (billion) </t>
  </si>
  <si>
    <t>Brasil</t>
  </si>
  <si>
    <t>Soutk korea</t>
  </si>
  <si>
    <t>Italia</t>
  </si>
  <si>
    <t xml:space="preserve">Taiwan </t>
  </si>
  <si>
    <t xml:space="preserve">Australia </t>
  </si>
  <si>
    <t>Iran</t>
  </si>
  <si>
    <t>South Africa</t>
  </si>
  <si>
    <t>Egypte</t>
  </si>
  <si>
    <t>Ukraine</t>
  </si>
  <si>
    <t>Malaisia</t>
  </si>
  <si>
    <t>Norway</t>
  </si>
  <si>
    <t>monde</t>
  </si>
  <si>
    <t xml:space="preserve">Region 1 : Roussillon  </t>
  </si>
  <si>
    <t xml:space="preserve">Region 2: Provence </t>
  </si>
  <si>
    <t>Region 3 : Nord</t>
  </si>
  <si>
    <t xml:space="preserve">fperf </t>
  </si>
  <si>
    <t>Wpv1</t>
  </si>
  <si>
    <t>Wpv2</t>
  </si>
  <si>
    <t>Wpv3</t>
  </si>
  <si>
    <t>Nb panels 1</t>
  </si>
  <si>
    <t>Nb panels 2</t>
  </si>
  <si>
    <t>Nb panels 3</t>
  </si>
  <si>
    <t>Area 1</t>
  </si>
  <si>
    <t>Area2</t>
  </si>
  <si>
    <t>Area3</t>
  </si>
  <si>
    <t xml:space="preserve">France </t>
  </si>
  <si>
    <t>Prix (euros)</t>
  </si>
  <si>
    <t>Annual Production of solar central (GWh)</t>
  </si>
  <si>
    <t>Investement for one central (euro)</t>
  </si>
  <si>
    <t>Total investement (billion)</t>
  </si>
  <si>
    <t>mean consumption power density</t>
  </si>
  <si>
    <t xml:space="preserve">Contient </t>
  </si>
  <si>
    <t>Asia-Pacific 2020</t>
  </si>
  <si>
    <t>North America</t>
  </si>
  <si>
    <t>Europe</t>
  </si>
  <si>
    <t>Latine America</t>
  </si>
  <si>
    <t>Africa</t>
  </si>
  <si>
    <t>CIS</t>
  </si>
  <si>
    <t xml:space="preserve">Middle east </t>
  </si>
  <si>
    <t>World 2020</t>
  </si>
  <si>
    <t>Asia-Pacific 2025</t>
  </si>
  <si>
    <t>World 2025</t>
  </si>
  <si>
    <t>Asia-Pacific 2030</t>
  </si>
  <si>
    <t>World 2030</t>
  </si>
  <si>
    <t>Asia-Pacific 2035</t>
  </si>
  <si>
    <t>World 2035</t>
  </si>
  <si>
    <t>Asia-Pacific 2040</t>
  </si>
  <si>
    <t>World 2040</t>
  </si>
  <si>
    <t>Asia-Pacific 2045</t>
  </si>
  <si>
    <t>World 2045</t>
  </si>
  <si>
    <t>Asia-Pacific 2050</t>
  </si>
  <si>
    <t>World 2050</t>
  </si>
  <si>
    <t xml:space="preserve">Farm </t>
  </si>
  <si>
    <t>Annual production (GWh/year)</t>
  </si>
  <si>
    <t>Nominal power (MW)</t>
  </si>
  <si>
    <t>Energy density (MWh/m2)</t>
  </si>
  <si>
    <t>Ivanpah (California)</t>
  </si>
  <si>
    <t>SEGS (California) total</t>
  </si>
  <si>
    <t>SEGS1</t>
  </si>
  <si>
    <t>SEGS2</t>
  </si>
  <si>
    <t>SEGS3</t>
  </si>
  <si>
    <t>SEGS4</t>
  </si>
  <si>
    <t>SEGS5</t>
  </si>
  <si>
    <t>SEGS6</t>
  </si>
  <si>
    <t>SEGS7</t>
  </si>
  <si>
    <t>SEGS8</t>
  </si>
  <si>
    <t>SEGS9</t>
  </si>
  <si>
    <t>Crescent Dunes (California)</t>
  </si>
  <si>
    <t xml:space="preserve">Solnova (Spain) </t>
  </si>
  <si>
    <t>Solana (USA)</t>
  </si>
  <si>
    <t>Mojave (USA)</t>
  </si>
  <si>
    <t>Genesis (USA)</t>
  </si>
  <si>
    <t>Andasol (Spain)</t>
  </si>
  <si>
    <t>Extresol (Spain)</t>
  </si>
  <si>
    <t>Dhursar Rajasthan Sun Technique (India)</t>
  </si>
  <si>
    <t>Cerro Dominador (ex Atacama-1) (Chile)</t>
  </si>
  <si>
    <t>Palma del Rio (Spain)</t>
  </si>
  <si>
    <t xml:space="preserve">Manchasol (Spain) </t>
  </si>
  <si>
    <t>Vallesol (Spain) v</t>
  </si>
  <si>
    <t>Martin (USA)</t>
  </si>
  <si>
    <t>Nevada solar one (USA)</t>
  </si>
  <si>
    <t xml:space="preserve">Alvarado I (spain) </t>
  </si>
  <si>
    <t>Khi Solar One (South Africa)</t>
  </si>
  <si>
    <t>area needed for 1MW(m2)</t>
  </si>
  <si>
    <t>Annual production Gwh</t>
  </si>
  <si>
    <t>100 % solar offshore</t>
  </si>
  <si>
    <t>Wpv</t>
  </si>
  <si>
    <t>Nb of pannels</t>
  </si>
  <si>
    <t>percentage (%)</t>
  </si>
  <si>
    <t>Capacity installed</t>
  </si>
  <si>
    <t>Energy density TWh/m2</t>
  </si>
  <si>
    <t>ZEE (km²)</t>
  </si>
  <si>
    <t xml:space="preserve">surface </t>
  </si>
  <si>
    <t>power density</t>
  </si>
  <si>
    <t>Mean power density(We/m2)</t>
  </si>
  <si>
    <t>Primary energy consumption per unit surface (TWh/km2)</t>
  </si>
  <si>
    <t xml:space="preserve">Surface percentage </t>
  </si>
  <si>
    <t>Energy density for offshore solar</t>
  </si>
  <si>
    <t>;</t>
  </si>
  <si>
    <t xml:space="preserve">Changhua Solar Farm </t>
  </si>
  <si>
    <t>Australia</t>
  </si>
  <si>
    <t>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</si>
</sst>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theme="5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  <scheme val="minor"/>
    </font>
    <font>
      <b/>
      <sz val="14"/>
      <color rgb="FF000000"/>
      <name val="Arial"/>
      <family val="2"/>
    </font>
    <font>
      <sz val="11"/>
      <color rgb="FF7E3794"/>
      <name val="Inconsolata"/>
    </font>
    <font>
      <sz val="11"/>
      <color rgb="FF1155CC"/>
      <name val="Inconsolata"/>
    </font>
    <font>
      <sz val="10"/>
      <color rgb="FF7E3794"/>
      <name val="Arial"/>
      <family val="2"/>
      <scheme val="minor"/>
    </font>
    <font>
      <b/>
      <sz val="11"/>
      <color rgb="FF222222"/>
      <name val="Arial"/>
      <family val="2"/>
    </font>
    <font>
      <b/>
      <sz val="11"/>
      <color rgb="FF202122"/>
      <name val="Arial"/>
      <family val="2"/>
    </font>
    <font>
      <b/>
      <sz val="10"/>
      <color theme="1"/>
      <name val="Arial"/>
      <family val="2"/>
      <scheme val="minor"/>
    </font>
    <font>
      <sz val="11"/>
      <color rgb="FF202122"/>
      <name val="Arial"/>
      <family val="2"/>
    </font>
    <font>
      <sz val="10"/>
      <color rgb="FF0000FF"/>
      <name val="Arial"/>
      <family val="2"/>
      <scheme val="minor"/>
    </font>
    <font>
      <sz val="10"/>
      <color rgb="FF202122"/>
      <name val="Arial"/>
      <family val="2"/>
    </font>
    <font>
      <sz val="11"/>
      <color rgb="FF000000"/>
      <name val="Inconsolata"/>
    </font>
    <font>
      <sz val="11"/>
      <color rgb="FF000000"/>
      <name val="Arial"/>
      <family val="2"/>
    </font>
    <font>
      <sz val="10"/>
      <color rgb="FF000000"/>
      <name val="Arial"/>
      <family val="2"/>
      <scheme val="minor"/>
    </font>
    <font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8F9FA"/>
        <bgColor rgb="FFF8F9FA"/>
      </patternFill>
    </fill>
    <fill>
      <patternFill patternType="solid">
        <fgColor rgb="FF0000FF"/>
        <bgColor rgb="FF0000FF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5" fillId="2" borderId="0" xfId="0" applyFont="1" applyFill="1" applyAlignment="1"/>
    <xf numFmtId="0" fontId="6" fillId="2" borderId="0" xfId="0" applyFont="1" applyFill="1" applyAlignment="1"/>
    <xf numFmtId="0" fontId="7" fillId="2" borderId="0" xfId="0" applyFont="1" applyFill="1" applyAlignment="1"/>
    <xf numFmtId="0" fontId="8" fillId="2" borderId="0" xfId="0" applyFont="1" applyFill="1" applyAlignment="1"/>
    <xf numFmtId="0" fontId="9" fillId="2" borderId="0" xfId="0" applyFont="1" applyFill="1" applyAlignment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2" fillId="4" borderId="0" xfId="0" applyFont="1" applyFill="1" applyAlignment="1"/>
    <xf numFmtId="0" fontId="12" fillId="5" borderId="0" xfId="0" applyFont="1" applyFill="1" applyAlignment="1"/>
    <xf numFmtId="0" fontId="12" fillId="5" borderId="0" xfId="0" applyFont="1" applyFill="1"/>
    <xf numFmtId="0" fontId="2" fillId="0" borderId="0" xfId="0" applyFont="1"/>
    <xf numFmtId="0" fontId="2" fillId="4" borderId="0" xfId="0" applyFont="1" applyFill="1"/>
    <xf numFmtId="0" fontId="2" fillId="3" borderId="0" xfId="0" applyFont="1" applyFill="1"/>
    <xf numFmtId="0" fontId="13" fillId="3" borderId="0" xfId="0" applyFont="1" applyFill="1" applyAlignment="1">
      <alignment horizontal="right"/>
    </xf>
    <xf numFmtId="0" fontId="2" fillId="3" borderId="0" xfId="0" applyFont="1" applyFill="1" applyAlignment="1"/>
    <xf numFmtId="0" fontId="14" fillId="3" borderId="0" xfId="0" applyFont="1" applyFill="1" applyAlignment="1"/>
    <xf numFmtId="0" fontId="15" fillId="0" borderId="0" xfId="0" applyFont="1" applyAlignment="1"/>
    <xf numFmtId="0" fontId="16" fillId="3" borderId="0" xfId="0" applyFont="1" applyFill="1" applyAlignment="1"/>
    <xf numFmtId="0" fontId="17" fillId="0" borderId="0" xfId="0" applyFont="1" applyAlignment="1"/>
    <xf numFmtId="0" fontId="17" fillId="0" borderId="0" xfId="0" applyFont="1"/>
    <xf numFmtId="0" fontId="18" fillId="6" borderId="0" xfId="0" applyFont="1" applyFill="1" applyAlignment="1"/>
    <xf numFmtId="0" fontId="19" fillId="3" borderId="0" xfId="0" applyFont="1" applyFill="1" applyAlignment="1"/>
    <xf numFmtId="0" fontId="20" fillId="3" borderId="0" xfId="0" applyFont="1" applyFill="1" applyAlignment="1">
      <alignment horizontal="left"/>
    </xf>
    <xf numFmtId="0" fontId="1" fillId="7" borderId="0" xfId="0" applyFont="1" applyFill="1" applyAlignment="1"/>
    <xf numFmtId="0" fontId="2" fillId="7" borderId="0" xfId="0" applyFont="1" applyFill="1" applyAlignment="1"/>
    <xf numFmtId="0" fontId="2" fillId="7" borderId="0" xfId="0" applyFont="1" applyFill="1"/>
    <xf numFmtId="0" fontId="1" fillId="4" borderId="0" xfId="0" applyFont="1" applyFill="1" applyAlignment="1"/>
    <xf numFmtId="0" fontId="1" fillId="4" borderId="0" xfId="0" applyFont="1" applyFill="1" applyAlignment="1">
      <alignment horizontal="right"/>
    </xf>
    <xf numFmtId="0" fontId="21" fillId="0" borderId="0" xfId="0" applyFont="1" applyAlignment="1"/>
    <xf numFmtId="0" fontId="2" fillId="8" borderId="0" xfId="0" applyFont="1" applyFill="1" applyAlignment="1"/>
    <xf numFmtId="0" fontId="0" fillId="8" borderId="0" xfId="0" applyFont="1" applyFill="1" applyAlignment="1"/>
    <xf numFmtId="0" fontId="3" fillId="8" borderId="0" xfId="0" applyFont="1" applyFill="1" applyAlignment="1"/>
    <xf numFmtId="0" fontId="2" fillId="8" borderId="0" xfId="0" applyFont="1" applyFill="1"/>
    <xf numFmtId="0" fontId="22" fillId="8" borderId="0" xfId="0" applyFont="1" applyFill="1" applyAlignment="1"/>
    <xf numFmtId="0" fontId="1" fillId="8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lang="en-GB" b="0">
                <a:solidFill>
                  <a:srgbClr val="000000"/>
                </a:solidFill>
                <a:latin typeface="+mn-lt"/>
              </a:rPr>
              <a:t>Energy density for each country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'Sheet 1'!$N$1</c:f>
              <c:strCache>
                <c:ptCount val="1"/>
                <c:pt idx="0">
                  <c:v>Energy density(kWh/m2/year)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'Sheet 1'!$A$2:$A$40</c:f>
              <c:strCache>
                <c:ptCount val="39"/>
                <c:pt idx="0">
                  <c:v>Austria</c:v>
                </c:pt>
                <c:pt idx="1">
                  <c:v>Belgium</c:v>
                </c:pt>
                <c:pt idx="2">
                  <c:v>Brazil</c:v>
                </c:pt>
                <c:pt idx="3">
                  <c:v>Bulgaria</c:v>
                </c:pt>
                <c:pt idx="4">
                  <c:v>Canada</c:v>
                </c:pt>
                <c:pt idx="5">
                  <c:v>China</c:v>
                </c:pt>
                <c:pt idx="6">
                  <c:v>Cyprus</c:v>
                </c:pt>
                <c:pt idx="7">
                  <c:v>Czech Republic</c:v>
                </c:pt>
                <c:pt idx="8">
                  <c:v>Denmark</c:v>
                </c:pt>
                <c:pt idx="9">
                  <c:v>Estonia</c:v>
                </c:pt>
                <c:pt idx="10">
                  <c:v>Finland</c:v>
                </c:pt>
                <c:pt idx="11">
                  <c:v>France</c:v>
                </c:pt>
                <c:pt idx="12">
                  <c:v>Germany</c:v>
                </c:pt>
                <c:pt idx="13">
                  <c:v>Greece</c:v>
                </c:pt>
                <c:pt idx="14">
                  <c:v>Hungary</c:v>
                </c:pt>
                <c:pt idx="15">
                  <c:v>India</c:v>
                </c:pt>
                <c:pt idx="16">
                  <c:v>Indonesia</c:v>
                </c:pt>
                <c:pt idx="17">
                  <c:v>Ireland</c:v>
                </c:pt>
                <c:pt idx="18">
                  <c:v>Italy</c:v>
                </c:pt>
                <c:pt idx="19">
                  <c:v>Japan</c:v>
                </c:pt>
                <c:pt idx="20">
                  <c:v>Lithuania</c:v>
                </c:pt>
                <c:pt idx="21">
                  <c:v>Luxembourg</c:v>
                </c:pt>
                <c:pt idx="22">
                  <c:v>Malta</c:v>
                </c:pt>
                <c:pt idx="23">
                  <c:v>Mexico</c:v>
                </c:pt>
                <c:pt idx="24">
                  <c:v>Netherlands</c:v>
                </c:pt>
                <c:pt idx="25">
                  <c:v>Poland</c:v>
                </c:pt>
                <c:pt idx="26">
                  <c:v>Portugal</c:v>
                </c:pt>
                <c:pt idx="27">
                  <c:v>Romania</c:v>
                </c:pt>
                <c:pt idx="28">
                  <c:v>Russia</c:v>
                </c:pt>
                <c:pt idx="29">
                  <c:v>Slovakia</c:v>
                </c:pt>
                <c:pt idx="30">
                  <c:v>Slovenia</c:v>
                </c:pt>
                <c:pt idx="31">
                  <c:v>South Korea</c:v>
                </c:pt>
                <c:pt idx="32">
                  <c:v>Spain</c:v>
                </c:pt>
                <c:pt idx="33">
                  <c:v>Sweden</c:v>
                </c:pt>
                <c:pt idx="34">
                  <c:v>Taiwan</c:v>
                </c:pt>
                <c:pt idx="35">
                  <c:v>Turkey</c:v>
                </c:pt>
                <c:pt idx="36">
                  <c:v>UK</c:v>
                </c:pt>
                <c:pt idx="37">
                  <c:v>USA</c:v>
                </c:pt>
                <c:pt idx="38">
                  <c:v>Moyenne</c:v>
                </c:pt>
              </c:strCache>
            </c:strRef>
          </c:cat>
          <c:val>
            <c:numRef>
              <c:f>'Sheet 1'!$N$2:$N$41</c:f>
              <c:numCache>
                <c:formatCode>General</c:formatCode>
                <c:ptCount val="40"/>
                <c:pt idx="0">
                  <c:v>172.86984000000004</c:v>
                </c:pt>
                <c:pt idx="1">
                  <c:v>155.84478000000001</c:v>
                </c:pt>
                <c:pt idx="2">
                  <c:v>373.49136000000198</c:v>
                </c:pt>
                <c:pt idx="3">
                  <c:v>202.99110000000005</c:v>
                </c:pt>
                <c:pt idx="4">
                  <c:v>113.25366</c:v>
                </c:pt>
                <c:pt idx="5">
                  <c:v>234.42198000000005</c:v>
                </c:pt>
                <c:pt idx="6">
                  <c:v>324.78575999999998</c:v>
                </c:pt>
                <c:pt idx="7">
                  <c:v>157.15440000000001</c:v>
                </c:pt>
                <c:pt idx="8">
                  <c:v>118.09356000000002</c:v>
                </c:pt>
                <c:pt idx="9">
                  <c:v>73.908119999999997</c:v>
                </c:pt>
                <c:pt idx="10">
                  <c:v>63.886680000000005</c:v>
                </c:pt>
                <c:pt idx="11">
                  <c:v>183.34680000000003</c:v>
                </c:pt>
                <c:pt idx="12">
                  <c:v>154.53516000000002</c:v>
                </c:pt>
                <c:pt idx="13">
                  <c:v>226.56426000000002</c:v>
                </c:pt>
                <c:pt idx="14">
                  <c:v>180.72756000000001</c:v>
                </c:pt>
                <c:pt idx="15">
                  <c:v>375.27840000000191</c:v>
                </c:pt>
                <c:pt idx="16">
                  <c:v>362.76912000000192</c:v>
                </c:pt>
                <c:pt idx="17">
                  <c:v>100.66992000000002</c:v>
                </c:pt>
                <c:pt idx="18">
                  <c:v>210.84882000000005</c:v>
                </c:pt>
                <c:pt idx="19">
                  <c:v>196.44300000000007</c:v>
                </c:pt>
                <c:pt idx="20">
                  <c:v>116.1576</c:v>
                </c:pt>
                <c:pt idx="21">
                  <c:v>153.22554000000002</c:v>
                </c:pt>
                <c:pt idx="22">
                  <c:v>311.68956000000003</c:v>
                </c:pt>
                <c:pt idx="23">
                  <c:v>403.8710400000021</c:v>
                </c:pt>
                <c:pt idx="24">
                  <c:v>115.18962000000002</c:v>
                </c:pt>
                <c:pt idx="25">
                  <c:v>114.22164000000002</c:v>
                </c:pt>
                <c:pt idx="26">
                  <c:v>242.27970000000005</c:v>
                </c:pt>
                <c:pt idx="27">
                  <c:v>183.34680000000003</c:v>
                </c:pt>
                <c:pt idx="28">
                  <c:v>109.38174000000001</c:v>
                </c:pt>
                <c:pt idx="29">
                  <c:v>162.39288000000002</c:v>
                </c:pt>
                <c:pt idx="30">
                  <c:v>184.65642000000008</c:v>
                </c:pt>
                <c:pt idx="31">
                  <c:v>217.39692000000002</c:v>
                </c:pt>
                <c:pt idx="32">
                  <c:v>233.11236000000005</c:v>
                </c:pt>
                <c:pt idx="33">
                  <c:v>65.139360000000011</c:v>
                </c:pt>
                <c:pt idx="34">
                  <c:v>339.53760000000176</c:v>
                </c:pt>
                <c:pt idx="35">
                  <c:v>237.04122000000004</c:v>
                </c:pt>
                <c:pt idx="36">
                  <c:v>104.54184000000001</c:v>
                </c:pt>
                <c:pt idx="37">
                  <c:v>209.53920000000002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B51-884E-965D-14B823945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720531"/>
        <c:axId val="1763004495"/>
      </c:barChart>
      <c:catAx>
        <c:axId val="1377205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Country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763004495"/>
        <c:crosses val="autoZero"/>
        <c:auto val="1"/>
        <c:lblAlgn val="ctr"/>
        <c:lblOffset val="100"/>
        <c:noMultiLvlLbl val="1"/>
      </c:catAx>
      <c:valAx>
        <c:axId val="176300449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Energy density(kWh/m2)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37720531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GB" b="0">
                <a:solidFill>
                  <a:srgbClr val="757575"/>
                </a:solidFill>
                <a:latin typeface="+mn-lt"/>
              </a:rPr>
              <a:t>Densité d'énergie annuelle pour chaque pays étudiés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'Sheet 1'!$Y$1</c:f>
              <c:strCache>
                <c:ptCount val="1"/>
                <c:pt idx="0">
                  <c:v>Energy density (TWh/km2/year)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'Sheet 1'!$A$2:$A$40</c:f>
              <c:strCache>
                <c:ptCount val="39"/>
                <c:pt idx="0">
                  <c:v>Austria</c:v>
                </c:pt>
                <c:pt idx="1">
                  <c:v>Belgium</c:v>
                </c:pt>
                <c:pt idx="2">
                  <c:v>Brazil</c:v>
                </c:pt>
                <c:pt idx="3">
                  <c:v>Bulgaria</c:v>
                </c:pt>
                <c:pt idx="4">
                  <c:v>Canada</c:v>
                </c:pt>
                <c:pt idx="5">
                  <c:v>China</c:v>
                </c:pt>
                <c:pt idx="6">
                  <c:v>Cyprus</c:v>
                </c:pt>
                <c:pt idx="7">
                  <c:v>Czech Republic</c:v>
                </c:pt>
                <c:pt idx="8">
                  <c:v>Denmark</c:v>
                </c:pt>
                <c:pt idx="9">
                  <c:v>Estonia</c:v>
                </c:pt>
                <c:pt idx="10">
                  <c:v>Finland</c:v>
                </c:pt>
                <c:pt idx="11">
                  <c:v>France</c:v>
                </c:pt>
                <c:pt idx="12">
                  <c:v>Germany</c:v>
                </c:pt>
                <c:pt idx="13">
                  <c:v>Greece</c:v>
                </c:pt>
                <c:pt idx="14">
                  <c:v>Hungary</c:v>
                </c:pt>
                <c:pt idx="15">
                  <c:v>India</c:v>
                </c:pt>
                <c:pt idx="16">
                  <c:v>Indonesia</c:v>
                </c:pt>
                <c:pt idx="17">
                  <c:v>Ireland</c:v>
                </c:pt>
                <c:pt idx="18">
                  <c:v>Italy</c:v>
                </c:pt>
                <c:pt idx="19">
                  <c:v>Japan</c:v>
                </c:pt>
                <c:pt idx="20">
                  <c:v>Lithuania</c:v>
                </c:pt>
                <c:pt idx="21">
                  <c:v>Luxembourg</c:v>
                </c:pt>
                <c:pt idx="22">
                  <c:v>Malta</c:v>
                </c:pt>
                <c:pt idx="23">
                  <c:v>Mexico</c:v>
                </c:pt>
                <c:pt idx="24">
                  <c:v>Netherlands</c:v>
                </c:pt>
                <c:pt idx="25">
                  <c:v>Poland</c:v>
                </c:pt>
                <c:pt idx="26">
                  <c:v>Portugal</c:v>
                </c:pt>
                <c:pt idx="27">
                  <c:v>Romania</c:v>
                </c:pt>
                <c:pt idx="28">
                  <c:v>Russia</c:v>
                </c:pt>
                <c:pt idx="29">
                  <c:v>Slovakia</c:v>
                </c:pt>
                <c:pt idx="30">
                  <c:v>Slovenia</c:v>
                </c:pt>
                <c:pt idx="31">
                  <c:v>South Korea</c:v>
                </c:pt>
                <c:pt idx="32">
                  <c:v>Spain</c:v>
                </c:pt>
                <c:pt idx="33">
                  <c:v>Sweden</c:v>
                </c:pt>
                <c:pt idx="34">
                  <c:v>Taiwan</c:v>
                </c:pt>
                <c:pt idx="35">
                  <c:v>Turkey</c:v>
                </c:pt>
                <c:pt idx="36">
                  <c:v>UK</c:v>
                </c:pt>
                <c:pt idx="37">
                  <c:v>USA</c:v>
                </c:pt>
                <c:pt idx="38">
                  <c:v>Moyenne</c:v>
                </c:pt>
              </c:strCache>
            </c:strRef>
          </c:cat>
          <c:val>
            <c:numRef>
              <c:f>'Sheet 1'!$Y$2:$Y$40</c:f>
              <c:numCache>
                <c:formatCode>General</c:formatCode>
                <c:ptCount val="39"/>
                <c:pt idx="0">
                  <c:v>1.6070992470910334E-2</c:v>
                </c:pt>
                <c:pt idx="1">
                  <c:v>1.8380598159825068E-2</c:v>
                </c:pt>
                <c:pt idx="2">
                  <c:v>3.5861639010204407E-2</c:v>
                </c:pt>
                <c:pt idx="3">
                  <c:v>3.6840140858584884E-2</c:v>
                </c:pt>
                <c:pt idx="4">
                  <c:v>2.640634589414876E-2</c:v>
                </c:pt>
                <c:pt idx="5">
                  <c:v>2.640634589414876E-2</c:v>
                </c:pt>
                <c:pt idx="6">
                  <c:v>3.1280127475143762E-2</c:v>
                </c:pt>
                <c:pt idx="7">
                  <c:v>6.846310746064338E-2</c:v>
                </c:pt>
                <c:pt idx="8">
                  <c:v>2.1991314267575317E-2</c:v>
                </c:pt>
                <c:pt idx="9">
                  <c:v>1.9429461380508609E-2</c:v>
                </c:pt>
                <c:pt idx="10">
                  <c:v>1.1507656505028167E-2</c:v>
                </c:pt>
                <c:pt idx="11">
                  <c:v>2.6533447566186141E-2</c:v>
                </c:pt>
                <c:pt idx="12">
                  <c:v>1.8860938001526745E-2</c:v>
                </c:pt>
                <c:pt idx="13">
                  <c:v>4.4057675817406397E-2</c:v>
                </c:pt>
                <c:pt idx="14">
                  <c:v>2.8505429579318689E-2</c:v>
                </c:pt>
                <c:pt idx="15">
                  <c:v>5.370829046222831E-2</c:v>
                </c:pt>
                <c:pt idx="16">
                  <c:v>3.8838231804699967E-2</c:v>
                </c:pt>
                <c:pt idx="17">
                  <c:v>1.0306274241387178E-2</c:v>
                </c:pt>
                <c:pt idx="18">
                  <c:v>3.2878527704570802E-2</c:v>
                </c:pt>
                <c:pt idx="19">
                  <c:v>3.1538264120874064E-2</c:v>
                </c:pt>
                <c:pt idx="20">
                  <c:v>1.2396914368166933E-2</c:v>
                </c:pt>
                <c:pt idx="21">
                  <c:v>2.0997618069815194E-2</c:v>
                </c:pt>
                <c:pt idx="22">
                  <c:v>4.1750751421004068E-2</c:v>
                </c:pt>
                <c:pt idx="23">
                  <c:v>8.0974569937377144E-2</c:v>
                </c:pt>
                <c:pt idx="24">
                  <c:v>1.5951158779926807E-2</c:v>
                </c:pt>
                <c:pt idx="25">
                  <c:v>1.0124892553254322E-2</c:v>
                </c:pt>
                <c:pt idx="26">
                  <c:v>5.2226728268309375E-2</c:v>
                </c:pt>
                <c:pt idx="27">
                  <c:v>2.9139322135720583E-2</c:v>
                </c:pt>
                <c:pt idx="28">
                  <c:v>2.4996180028048612E-2</c:v>
                </c:pt>
                <c:pt idx="29">
                  <c:v>2.3422059188621676E-2</c:v>
                </c:pt>
                <c:pt idx="30">
                  <c:v>2.5837583923586274E-2</c:v>
                </c:pt>
                <c:pt idx="31">
                  <c:v>3.2047814873965907E-2</c:v>
                </c:pt>
                <c:pt idx="32">
                  <c:v>5.3361186611003981E-2</c:v>
                </c:pt>
                <c:pt idx="33">
                  <c:v>1.3138944384995806E-2</c:v>
                </c:pt>
                <c:pt idx="34">
                  <c:v>3.3753135709430289E-2</c:v>
                </c:pt>
                <c:pt idx="35">
                  <c:v>4.99497383751656E-2</c:v>
                </c:pt>
                <c:pt idx="36">
                  <c:v>1.7320464102051569E-2</c:v>
                </c:pt>
                <c:pt idx="37">
                  <c:v>4.9336363775463216E-2</c:v>
                </c:pt>
                <c:pt idx="38">
                  <c:v>3.1173427241600712E-2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88B-B647-90E8-AF8D9B16D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395807"/>
        <c:axId val="1217298401"/>
      </c:barChart>
      <c:catAx>
        <c:axId val="3383958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N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217298401"/>
        <c:crosses val="autoZero"/>
        <c:auto val="1"/>
        <c:lblAlgn val="ctr"/>
        <c:lblOffset val="100"/>
        <c:noMultiLvlLbl val="1"/>
      </c:catAx>
      <c:valAx>
        <c:axId val="12172984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densité d'énergie annuelle (TWh/km2)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33839580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r>
              <a:rPr lang="en-GB" b="1">
                <a:solidFill>
                  <a:srgbClr val="000000"/>
                </a:solidFill>
                <a:latin typeface="+mn-lt"/>
              </a:rPr>
              <a:t>Capacity installed for each pathways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'100% solar'!$B$2</c:f>
              <c:strCache>
                <c:ptCount val="1"/>
                <c:pt idx="0">
                  <c:v>Capacity installed : E+ (GW)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'100% solar'!$A$3:$A$8</c:f>
              <c:strCache>
                <c:ptCount val="6"/>
                <c:pt idx="0">
                  <c:v>2020-2025</c:v>
                </c:pt>
                <c:pt idx="1">
                  <c:v>2026-2030</c:v>
                </c:pt>
                <c:pt idx="2">
                  <c:v>2031-2035</c:v>
                </c:pt>
                <c:pt idx="3">
                  <c:v>2036-2040</c:v>
                </c:pt>
                <c:pt idx="4">
                  <c:v>2041-2045</c:v>
                </c:pt>
                <c:pt idx="5">
                  <c:v>2046-2050</c:v>
                </c:pt>
              </c:strCache>
            </c:strRef>
          </c:cat>
          <c:val>
            <c:numRef>
              <c:f>'100% solar'!$B$3:$B$8</c:f>
              <c:numCache>
                <c:formatCode>General</c:formatCode>
                <c:ptCount val="6"/>
                <c:pt idx="0">
                  <c:v>105</c:v>
                </c:pt>
                <c:pt idx="1">
                  <c:v>180</c:v>
                </c:pt>
                <c:pt idx="2">
                  <c:v>255</c:v>
                </c:pt>
                <c:pt idx="3">
                  <c:v>270</c:v>
                </c:pt>
                <c:pt idx="4">
                  <c:v>300</c:v>
                </c:pt>
                <c:pt idx="5">
                  <c:v>355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403-6D47-84EA-E998C66449A5}"/>
            </c:ext>
          </c:extLst>
        </c:ser>
        <c:ser>
          <c:idx val="1"/>
          <c:order val="1"/>
          <c:tx>
            <c:strRef>
              <c:f>'100% solar'!$C$2</c:f>
              <c:strCache>
                <c:ptCount val="1"/>
                <c:pt idx="0">
                  <c:v>Capacity installed : E- (GW)</c:v>
                </c:pt>
              </c:strCache>
            </c:strRef>
          </c:tx>
          <c:spPr>
            <a:solidFill>
              <a:srgbClr val="EA433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'100% solar'!$A$3:$A$8</c:f>
              <c:strCache>
                <c:ptCount val="6"/>
                <c:pt idx="0">
                  <c:v>2020-2025</c:v>
                </c:pt>
                <c:pt idx="1">
                  <c:v>2026-2030</c:v>
                </c:pt>
                <c:pt idx="2">
                  <c:v>2031-2035</c:v>
                </c:pt>
                <c:pt idx="3">
                  <c:v>2036-2040</c:v>
                </c:pt>
                <c:pt idx="4">
                  <c:v>2041-2045</c:v>
                </c:pt>
                <c:pt idx="5">
                  <c:v>2046-2050</c:v>
                </c:pt>
              </c:strCache>
            </c:strRef>
          </c:cat>
          <c:val>
            <c:numRef>
              <c:f>'100% solar'!$C$3:$C$8</c:f>
              <c:numCache>
                <c:formatCode>General</c:formatCode>
                <c:ptCount val="6"/>
                <c:pt idx="0">
                  <c:v>110</c:v>
                </c:pt>
                <c:pt idx="1">
                  <c:v>190</c:v>
                </c:pt>
                <c:pt idx="2">
                  <c:v>205</c:v>
                </c:pt>
                <c:pt idx="3">
                  <c:v>230</c:v>
                </c:pt>
                <c:pt idx="4">
                  <c:v>345</c:v>
                </c:pt>
                <c:pt idx="5">
                  <c:v>410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403-6D47-84EA-E998C66449A5}"/>
            </c:ext>
          </c:extLst>
        </c:ser>
        <c:ser>
          <c:idx val="2"/>
          <c:order val="2"/>
          <c:tx>
            <c:strRef>
              <c:f>'100% solar'!$D$2</c:f>
              <c:strCache>
                <c:ptCount val="1"/>
              </c:strCache>
            </c:strRef>
          </c:tx>
          <c:spPr>
            <a:solidFill>
              <a:srgbClr val="FBBC0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'100% solar'!$A$3:$A$8</c:f>
              <c:strCache>
                <c:ptCount val="6"/>
                <c:pt idx="0">
                  <c:v>2020-2025</c:v>
                </c:pt>
                <c:pt idx="1">
                  <c:v>2026-2030</c:v>
                </c:pt>
                <c:pt idx="2">
                  <c:v>2031-2035</c:v>
                </c:pt>
                <c:pt idx="3">
                  <c:v>2036-2040</c:v>
                </c:pt>
                <c:pt idx="4">
                  <c:v>2041-2045</c:v>
                </c:pt>
                <c:pt idx="5">
                  <c:v>2046-2050</c:v>
                </c:pt>
              </c:strCache>
            </c:strRef>
          </c:cat>
          <c:val>
            <c:numRef>
              <c:f>'100% solar'!$D$3:$D$8</c:f>
              <c:numCache>
                <c:formatCode>General</c:formatCode>
                <c:ptCount val="6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2403-6D47-84EA-E998C66449A5}"/>
            </c:ext>
          </c:extLst>
        </c:ser>
        <c:ser>
          <c:idx val="3"/>
          <c:order val="3"/>
          <c:tx>
            <c:strRef>
              <c:f>'100% solar'!$E$2</c:f>
              <c:strCache>
                <c:ptCount val="1"/>
                <c:pt idx="0">
                  <c:v>Capacity installed : E-B+ (GW)</c:v>
                </c:pt>
              </c:strCache>
            </c:strRef>
          </c:tx>
          <c:spPr>
            <a:solidFill>
              <a:srgbClr val="34A853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'100% solar'!$A$3:$A$8</c:f>
              <c:strCache>
                <c:ptCount val="6"/>
                <c:pt idx="0">
                  <c:v>2020-2025</c:v>
                </c:pt>
                <c:pt idx="1">
                  <c:v>2026-2030</c:v>
                </c:pt>
                <c:pt idx="2">
                  <c:v>2031-2035</c:v>
                </c:pt>
                <c:pt idx="3">
                  <c:v>2036-2040</c:v>
                </c:pt>
                <c:pt idx="4">
                  <c:v>2041-2045</c:v>
                </c:pt>
                <c:pt idx="5">
                  <c:v>2046-2050</c:v>
                </c:pt>
              </c:strCache>
            </c:strRef>
          </c:cat>
          <c:val>
            <c:numRef>
              <c:f>'100% solar'!$E$3:$E$8</c:f>
              <c:numCache>
                <c:formatCode>General</c:formatCode>
                <c:ptCount val="6"/>
                <c:pt idx="0">
                  <c:v>110</c:v>
                </c:pt>
                <c:pt idx="1">
                  <c:v>185</c:v>
                </c:pt>
                <c:pt idx="2">
                  <c:v>175</c:v>
                </c:pt>
                <c:pt idx="3">
                  <c:v>155</c:v>
                </c:pt>
                <c:pt idx="4">
                  <c:v>220</c:v>
                </c:pt>
                <c:pt idx="5">
                  <c:v>395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2403-6D47-84EA-E998C66449A5}"/>
            </c:ext>
          </c:extLst>
        </c:ser>
        <c:ser>
          <c:idx val="4"/>
          <c:order val="4"/>
          <c:tx>
            <c:strRef>
              <c:f>'100% solar'!$F$2</c:f>
              <c:strCache>
                <c:ptCount val="1"/>
                <c:pt idx="0">
                  <c:v>Capacity installed : E+RE- (GW)</c:v>
                </c:pt>
              </c:strCache>
            </c:strRef>
          </c:tx>
          <c:spPr>
            <a:solidFill>
              <a:srgbClr val="FF6D0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'100% solar'!$A$3:$A$8</c:f>
              <c:strCache>
                <c:ptCount val="6"/>
                <c:pt idx="0">
                  <c:v>2020-2025</c:v>
                </c:pt>
                <c:pt idx="1">
                  <c:v>2026-2030</c:v>
                </c:pt>
                <c:pt idx="2">
                  <c:v>2031-2035</c:v>
                </c:pt>
                <c:pt idx="3">
                  <c:v>2036-2040</c:v>
                </c:pt>
                <c:pt idx="4">
                  <c:v>2041-2045</c:v>
                </c:pt>
                <c:pt idx="5">
                  <c:v>2046-2050</c:v>
                </c:pt>
              </c:strCache>
            </c:strRef>
          </c:cat>
          <c:val>
            <c:numRef>
              <c:f>'100% solar'!$F$3:$F$8</c:f>
              <c:numCache>
                <c:formatCode>General</c:formatCode>
                <c:ptCount val="6"/>
                <c:pt idx="0">
                  <c:v>95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2403-6D47-84EA-E998C66449A5}"/>
            </c:ext>
          </c:extLst>
        </c:ser>
        <c:ser>
          <c:idx val="5"/>
          <c:order val="5"/>
          <c:tx>
            <c:strRef>
              <c:f>'100% solar'!$G$2</c:f>
              <c:strCache>
                <c:ptCount val="1"/>
                <c:pt idx="0">
                  <c:v>Capacity installed : E+RE+ (GW)</c:v>
                </c:pt>
              </c:strCache>
            </c:strRef>
          </c:tx>
          <c:invertIfNegative val="1"/>
          <c:cat>
            <c:strRef>
              <c:f>'100% solar'!$A$3:$A$8</c:f>
              <c:strCache>
                <c:ptCount val="6"/>
                <c:pt idx="0">
                  <c:v>2020-2025</c:v>
                </c:pt>
                <c:pt idx="1">
                  <c:v>2026-2030</c:v>
                </c:pt>
                <c:pt idx="2">
                  <c:v>2031-2035</c:v>
                </c:pt>
                <c:pt idx="3">
                  <c:v>2036-2040</c:v>
                </c:pt>
                <c:pt idx="4">
                  <c:v>2041-2045</c:v>
                </c:pt>
                <c:pt idx="5">
                  <c:v>2046-2050</c:v>
                </c:pt>
              </c:strCache>
            </c:strRef>
          </c:cat>
          <c:val>
            <c:numRef>
              <c:f>'100% solar'!$G$3:$G$8</c:f>
              <c:numCache>
                <c:formatCode>General</c:formatCode>
                <c:ptCount val="6"/>
                <c:pt idx="0">
                  <c:v>130</c:v>
                </c:pt>
                <c:pt idx="1">
                  <c:v>230</c:v>
                </c:pt>
                <c:pt idx="2">
                  <c:v>385</c:v>
                </c:pt>
                <c:pt idx="3">
                  <c:v>420</c:v>
                </c:pt>
                <c:pt idx="4">
                  <c:v>585</c:v>
                </c:pt>
                <c:pt idx="5">
                  <c:v>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03-6D47-84EA-E998C664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8484063"/>
        <c:axId val="1104059780"/>
      </c:barChart>
      <c:catAx>
        <c:axId val="10584840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104059780"/>
        <c:crosses val="autoZero"/>
        <c:auto val="1"/>
        <c:lblAlgn val="ctr"/>
        <c:lblOffset val="100"/>
        <c:noMultiLvlLbl val="1"/>
      </c:catAx>
      <c:valAx>
        <c:axId val="11040597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N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05848406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chemeClr val="dk1"/>
                </a:solidFill>
                <a:latin typeface="+mn-lt"/>
              </a:defRPr>
            </a:pPr>
            <a:r>
              <a:rPr lang="en-GB" b="1">
                <a:solidFill>
                  <a:schemeClr val="dk1"/>
                </a:solidFill>
                <a:latin typeface="+mn-lt"/>
              </a:rPr>
              <a:t>Seasonal Variability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'Sheet 1'!$K$2</c:f>
              <c:strCache>
                <c:ptCount val="1"/>
                <c:pt idx="0">
                  <c:v>54,72972973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'Sheet 1'!$A$3:$A$40</c:f>
              <c:strCache>
                <c:ptCount val="38"/>
                <c:pt idx="0">
                  <c:v>Belgium</c:v>
                </c:pt>
                <c:pt idx="1">
                  <c:v>Brazil</c:v>
                </c:pt>
                <c:pt idx="2">
                  <c:v>Bulgaria</c:v>
                </c:pt>
                <c:pt idx="3">
                  <c:v>Canada</c:v>
                </c:pt>
                <c:pt idx="4">
                  <c:v>China</c:v>
                </c:pt>
                <c:pt idx="5">
                  <c:v>Cyprus</c:v>
                </c:pt>
                <c:pt idx="6">
                  <c:v>Czech Republic</c:v>
                </c:pt>
                <c:pt idx="7">
                  <c:v>Denmark</c:v>
                </c:pt>
                <c:pt idx="8">
                  <c:v>Estonia</c:v>
                </c:pt>
                <c:pt idx="9">
                  <c:v>Finland</c:v>
                </c:pt>
                <c:pt idx="10">
                  <c:v>France</c:v>
                </c:pt>
                <c:pt idx="11">
                  <c:v>Germany</c:v>
                </c:pt>
                <c:pt idx="12">
                  <c:v>Greece</c:v>
                </c:pt>
                <c:pt idx="13">
                  <c:v>Hungary</c:v>
                </c:pt>
                <c:pt idx="14">
                  <c:v>India</c:v>
                </c:pt>
                <c:pt idx="15">
                  <c:v>Indonesia</c:v>
                </c:pt>
                <c:pt idx="16">
                  <c:v>Ireland</c:v>
                </c:pt>
                <c:pt idx="17">
                  <c:v>Italy</c:v>
                </c:pt>
                <c:pt idx="18">
                  <c:v>Japan</c:v>
                </c:pt>
                <c:pt idx="19">
                  <c:v>Lithuania</c:v>
                </c:pt>
                <c:pt idx="20">
                  <c:v>Luxembourg</c:v>
                </c:pt>
                <c:pt idx="21">
                  <c:v>Malta</c:v>
                </c:pt>
                <c:pt idx="22">
                  <c:v>Mexico</c:v>
                </c:pt>
                <c:pt idx="23">
                  <c:v>Netherlands</c:v>
                </c:pt>
                <c:pt idx="24">
                  <c:v>Poland</c:v>
                </c:pt>
                <c:pt idx="25">
                  <c:v>Portugal</c:v>
                </c:pt>
                <c:pt idx="26">
                  <c:v>Romania</c:v>
                </c:pt>
                <c:pt idx="27">
                  <c:v>Russia</c:v>
                </c:pt>
                <c:pt idx="28">
                  <c:v>Slovakia</c:v>
                </c:pt>
                <c:pt idx="29">
                  <c:v>Slovenia</c:v>
                </c:pt>
                <c:pt idx="30">
                  <c:v>South Korea</c:v>
                </c:pt>
                <c:pt idx="31">
                  <c:v>Spain</c:v>
                </c:pt>
                <c:pt idx="32">
                  <c:v>Sweden</c:v>
                </c:pt>
                <c:pt idx="33">
                  <c:v>Taiwan</c:v>
                </c:pt>
                <c:pt idx="34">
                  <c:v>Turkey</c:v>
                </c:pt>
                <c:pt idx="35">
                  <c:v>UK</c:v>
                </c:pt>
                <c:pt idx="36">
                  <c:v>USA</c:v>
                </c:pt>
                <c:pt idx="37">
                  <c:v>Moyenne</c:v>
                </c:pt>
              </c:strCache>
            </c:strRef>
          </c:cat>
          <c:val>
            <c:numRef>
              <c:f>'Sheet 1'!$K$3:$K$39</c:f>
              <c:numCache>
                <c:formatCode>General</c:formatCode>
                <c:ptCount val="37"/>
                <c:pt idx="0">
                  <c:v>38.095238095238095</c:v>
                </c:pt>
                <c:pt idx="1">
                  <c:v>90.534979423868307</c:v>
                </c:pt>
                <c:pt idx="2">
                  <c:v>62.068965517241381</c:v>
                </c:pt>
                <c:pt idx="3">
                  <c:v>52.941176470588239</c:v>
                </c:pt>
                <c:pt idx="4">
                  <c:v>95.089285714285708</c:v>
                </c:pt>
                <c:pt idx="5">
                  <c:v>60.887096774193552</c:v>
                </c:pt>
                <c:pt idx="6">
                  <c:v>47.692307692307693</c:v>
                </c:pt>
                <c:pt idx="7">
                  <c:v>36.923076923076927</c:v>
                </c:pt>
                <c:pt idx="8">
                  <c:v>27.06766917293233</c:v>
                </c:pt>
                <c:pt idx="9">
                  <c:v>17.460317460317459</c:v>
                </c:pt>
                <c:pt idx="10">
                  <c:v>56.321839080459768</c:v>
                </c:pt>
                <c:pt idx="11">
                  <c:v>41.6</c:v>
                </c:pt>
                <c:pt idx="12">
                  <c:v>57.575757575757578</c:v>
                </c:pt>
                <c:pt idx="13">
                  <c:v>45.270270270270267</c:v>
                </c:pt>
                <c:pt idx="14">
                  <c:v>75.744680851063833</c:v>
                </c:pt>
                <c:pt idx="15">
                  <c:v>90.825688073394488</c:v>
                </c:pt>
                <c:pt idx="16">
                  <c:v>37.5</c:v>
                </c:pt>
                <c:pt idx="17">
                  <c:v>56.983240223463682</c:v>
                </c:pt>
                <c:pt idx="18">
                  <c:v>92.934782608695656</c:v>
                </c:pt>
                <c:pt idx="19">
                  <c:v>41.044776119402989</c:v>
                </c:pt>
                <c:pt idx="20">
                  <c:v>39.200000000000003</c:v>
                </c:pt>
                <c:pt idx="21">
                  <c:v>63.445378151260499</c:v>
                </c:pt>
                <c:pt idx="22">
                  <c:v>89.147286821705436</c:v>
                </c:pt>
                <c:pt idx="23">
                  <c:v>35.833333333333336</c:v>
                </c:pt>
                <c:pt idx="24">
                  <c:v>44.029850746268657</c:v>
                </c:pt>
                <c:pt idx="25">
                  <c:v>64.186046511627907</c:v>
                </c:pt>
                <c:pt idx="26">
                  <c:v>63.291139240506332</c:v>
                </c:pt>
                <c:pt idx="27">
                  <c:v>46.987951807228917</c:v>
                </c:pt>
                <c:pt idx="28">
                  <c:v>47.142857142857139</c:v>
                </c:pt>
                <c:pt idx="29">
                  <c:v>52.564102564102569</c:v>
                </c:pt>
                <c:pt idx="30">
                  <c:v>87.165775401069524</c:v>
                </c:pt>
                <c:pt idx="31">
                  <c:v>69.787234042553195</c:v>
                </c:pt>
                <c:pt idx="32">
                  <c:v>26.356589147286826</c:v>
                </c:pt>
                <c:pt idx="33">
                  <c:v>78.94736842105263</c:v>
                </c:pt>
                <c:pt idx="34">
                  <c:v>64.018691588785046</c:v>
                </c:pt>
                <c:pt idx="35">
                  <c:v>35.398230088495573</c:v>
                </c:pt>
                <c:pt idx="36">
                  <c:v>84.10041841004184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A5F-AC44-8516-2B269E855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240943"/>
        <c:axId val="205822536"/>
      </c:barChart>
      <c:catAx>
        <c:axId val="2732409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Country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205822536"/>
        <c:crosses val="autoZero"/>
        <c:auto val="1"/>
        <c:lblAlgn val="ctr"/>
        <c:lblOffset val="100"/>
        <c:noMultiLvlLbl val="1"/>
      </c:catAx>
      <c:valAx>
        <c:axId val="2058225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SV (%)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27324094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chemeClr val="dk1"/>
                </a:solidFill>
                <a:latin typeface="+mn-lt"/>
              </a:defRPr>
            </a:pPr>
            <a:r>
              <a:rPr lang="en-GB" b="1">
                <a:solidFill>
                  <a:schemeClr val="dk1"/>
                </a:solidFill>
                <a:latin typeface="+mn-lt"/>
              </a:rPr>
              <a:t>Overcapacity factor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'Sheet 1'!$O$1</c:f>
              <c:strCache>
                <c:ptCount val="1"/>
                <c:pt idx="0">
                  <c:v>Overcapacity factor (%)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'Sheet 1'!$A$2:$A$39</c:f>
              <c:strCache>
                <c:ptCount val="38"/>
                <c:pt idx="0">
                  <c:v>Austria</c:v>
                </c:pt>
                <c:pt idx="1">
                  <c:v>Belgium</c:v>
                </c:pt>
                <c:pt idx="2">
                  <c:v>Brazil</c:v>
                </c:pt>
                <c:pt idx="3">
                  <c:v>Bulgaria</c:v>
                </c:pt>
                <c:pt idx="4">
                  <c:v>Canada</c:v>
                </c:pt>
                <c:pt idx="5">
                  <c:v>China</c:v>
                </c:pt>
                <c:pt idx="6">
                  <c:v>Cyprus</c:v>
                </c:pt>
                <c:pt idx="7">
                  <c:v>Czech Republic</c:v>
                </c:pt>
                <c:pt idx="8">
                  <c:v>Denmark</c:v>
                </c:pt>
                <c:pt idx="9">
                  <c:v>Estonia</c:v>
                </c:pt>
                <c:pt idx="10">
                  <c:v>Finland</c:v>
                </c:pt>
                <c:pt idx="11">
                  <c:v>France</c:v>
                </c:pt>
                <c:pt idx="12">
                  <c:v>Germany</c:v>
                </c:pt>
                <c:pt idx="13">
                  <c:v>Greece</c:v>
                </c:pt>
                <c:pt idx="14">
                  <c:v>Hungary</c:v>
                </c:pt>
                <c:pt idx="15">
                  <c:v>India</c:v>
                </c:pt>
                <c:pt idx="16">
                  <c:v>Indonesia</c:v>
                </c:pt>
                <c:pt idx="17">
                  <c:v>Ireland</c:v>
                </c:pt>
                <c:pt idx="18">
                  <c:v>Italy</c:v>
                </c:pt>
                <c:pt idx="19">
                  <c:v>Japan</c:v>
                </c:pt>
                <c:pt idx="20">
                  <c:v>Lithuania</c:v>
                </c:pt>
                <c:pt idx="21">
                  <c:v>Luxembourg</c:v>
                </c:pt>
                <c:pt idx="22">
                  <c:v>Malta</c:v>
                </c:pt>
                <c:pt idx="23">
                  <c:v>Mexico</c:v>
                </c:pt>
                <c:pt idx="24">
                  <c:v>Netherlands</c:v>
                </c:pt>
                <c:pt idx="25">
                  <c:v>Poland</c:v>
                </c:pt>
                <c:pt idx="26">
                  <c:v>Portugal</c:v>
                </c:pt>
                <c:pt idx="27">
                  <c:v>Romania</c:v>
                </c:pt>
                <c:pt idx="28">
                  <c:v>Russia</c:v>
                </c:pt>
                <c:pt idx="29">
                  <c:v>Slovakia</c:v>
                </c:pt>
                <c:pt idx="30">
                  <c:v>Slovenia</c:v>
                </c:pt>
                <c:pt idx="31">
                  <c:v>South Korea</c:v>
                </c:pt>
                <c:pt idx="32">
                  <c:v>Spain</c:v>
                </c:pt>
                <c:pt idx="33">
                  <c:v>Sweden</c:v>
                </c:pt>
                <c:pt idx="34">
                  <c:v>Taiwan</c:v>
                </c:pt>
                <c:pt idx="35">
                  <c:v>Turkey</c:v>
                </c:pt>
                <c:pt idx="36">
                  <c:v>UK</c:v>
                </c:pt>
                <c:pt idx="37">
                  <c:v>USA</c:v>
                </c:pt>
              </c:strCache>
            </c:strRef>
          </c:cat>
          <c:val>
            <c:numRef>
              <c:f>'Sheet 1'!$O$2:$O$39</c:f>
              <c:numCache>
                <c:formatCode>General</c:formatCode>
                <c:ptCount val="38"/>
                <c:pt idx="0">
                  <c:v>215.85270123456795</c:v>
                </c:pt>
                <c:pt idx="1">
                  <c:v>310.10595000000001</c:v>
                </c:pt>
                <c:pt idx="2">
                  <c:v>130.48614000000001</c:v>
                </c:pt>
                <c:pt idx="3">
                  <c:v>190.32957777777779</c:v>
                </c:pt>
                <c:pt idx="4">
                  <c:v>223.14502222222222</c:v>
                </c:pt>
                <c:pt idx="5">
                  <c:v>124.23649953051645</c:v>
                </c:pt>
                <c:pt idx="6">
                  <c:v>194.02403178807947</c:v>
                </c:pt>
                <c:pt idx="7">
                  <c:v>247.70367741935485</c:v>
                </c:pt>
                <c:pt idx="8">
                  <c:v>319.95058333333333</c:v>
                </c:pt>
                <c:pt idx="9">
                  <c:v>436.44541111111118</c:v>
                </c:pt>
                <c:pt idx="10">
                  <c:v>676.59480000000008</c:v>
                </c:pt>
                <c:pt idx="11">
                  <c:v>209.75096326530615</c:v>
                </c:pt>
                <c:pt idx="12">
                  <c:v>283.9798076923077</c:v>
                </c:pt>
                <c:pt idx="13">
                  <c:v>205.18288421052634</c:v>
                </c:pt>
                <c:pt idx="14">
                  <c:v>260.95625074626867</c:v>
                </c:pt>
                <c:pt idx="15">
                  <c:v>155.96553932584271</c:v>
                </c:pt>
                <c:pt idx="16">
                  <c:v>130.06848888888891</c:v>
                </c:pt>
                <c:pt idx="17">
                  <c:v>315.0282666666667</c:v>
                </c:pt>
                <c:pt idx="18">
                  <c:v>207.31639607843141</c:v>
                </c:pt>
                <c:pt idx="19">
                  <c:v>127.11666900584795</c:v>
                </c:pt>
                <c:pt idx="20">
                  <c:v>287.82128</c:v>
                </c:pt>
                <c:pt idx="21">
                  <c:v>301.36632653061224</c:v>
                </c:pt>
                <c:pt idx="22">
                  <c:v>186.20048211920533</c:v>
                </c:pt>
                <c:pt idx="23">
                  <c:v>132.51732521739129</c:v>
                </c:pt>
                <c:pt idx="24">
                  <c:v>329.68074418604652</c:v>
                </c:pt>
                <c:pt idx="25">
                  <c:v>268.30797288135597</c:v>
                </c:pt>
                <c:pt idx="26">
                  <c:v>184.05184057971016</c:v>
                </c:pt>
                <c:pt idx="27">
                  <c:v>186.654248</c:v>
                </c:pt>
                <c:pt idx="28">
                  <c:v>251.41678974358976</c:v>
                </c:pt>
                <c:pt idx="29">
                  <c:v>250.59066666666672</c:v>
                </c:pt>
                <c:pt idx="30">
                  <c:v>224.74577560975609</c:v>
                </c:pt>
                <c:pt idx="31">
                  <c:v>135.52979877300612</c:v>
                </c:pt>
                <c:pt idx="32">
                  <c:v>169.27967073170734</c:v>
                </c:pt>
                <c:pt idx="33">
                  <c:v>448.22036470588233</c:v>
                </c:pt>
                <c:pt idx="34">
                  <c:v>149.63842666666667</c:v>
                </c:pt>
                <c:pt idx="35">
                  <c:v>184.53298102189783</c:v>
                </c:pt>
                <c:pt idx="36">
                  <c:v>333.73307000000005</c:v>
                </c:pt>
                <c:pt idx="37">
                  <c:v>140.46969353233831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AA6-7243-B573-8A6ECF9BC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5722426"/>
        <c:axId val="745425689"/>
      </c:barChart>
      <c:catAx>
        <c:axId val="10857224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Country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745425689"/>
        <c:crosses val="autoZero"/>
        <c:auto val="1"/>
        <c:lblAlgn val="ctr"/>
        <c:lblOffset val="100"/>
        <c:noMultiLvlLbl val="1"/>
      </c:catAx>
      <c:valAx>
        <c:axId val="74542568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Overcapacity factor (%)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08572242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chemeClr val="dk1"/>
                </a:solidFill>
                <a:latin typeface="+mn-lt"/>
              </a:defRPr>
            </a:pPr>
            <a:r>
              <a:rPr lang="en-GB" b="1">
                <a:solidFill>
                  <a:schemeClr val="dk1"/>
                </a:solidFill>
                <a:latin typeface="+mn-lt"/>
              </a:rPr>
              <a:t>Capacity factor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'Sheet 1'!$AA$1</c:f>
              <c:strCache>
                <c:ptCount val="1"/>
                <c:pt idx="0">
                  <c:v>Capacity factor(%)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'Sheet 1'!$A$2:$A$39</c:f>
              <c:strCache>
                <c:ptCount val="38"/>
                <c:pt idx="0">
                  <c:v>Austria</c:v>
                </c:pt>
                <c:pt idx="1">
                  <c:v>Belgium</c:v>
                </c:pt>
                <c:pt idx="2">
                  <c:v>Brazil</c:v>
                </c:pt>
                <c:pt idx="3">
                  <c:v>Bulgaria</c:v>
                </c:pt>
                <c:pt idx="4">
                  <c:v>Canada</c:v>
                </c:pt>
                <c:pt idx="5">
                  <c:v>China</c:v>
                </c:pt>
                <c:pt idx="6">
                  <c:v>Cyprus</c:v>
                </c:pt>
                <c:pt idx="7">
                  <c:v>Czech Republic</c:v>
                </c:pt>
                <c:pt idx="8">
                  <c:v>Denmark</c:v>
                </c:pt>
                <c:pt idx="9">
                  <c:v>Estonia</c:v>
                </c:pt>
                <c:pt idx="10">
                  <c:v>Finland</c:v>
                </c:pt>
                <c:pt idx="11">
                  <c:v>France</c:v>
                </c:pt>
                <c:pt idx="12">
                  <c:v>Germany</c:v>
                </c:pt>
                <c:pt idx="13">
                  <c:v>Greece</c:v>
                </c:pt>
                <c:pt idx="14">
                  <c:v>Hungary</c:v>
                </c:pt>
                <c:pt idx="15">
                  <c:v>India</c:v>
                </c:pt>
                <c:pt idx="16">
                  <c:v>Indonesia</c:v>
                </c:pt>
                <c:pt idx="17">
                  <c:v>Ireland</c:v>
                </c:pt>
                <c:pt idx="18">
                  <c:v>Italy</c:v>
                </c:pt>
                <c:pt idx="19">
                  <c:v>Japan</c:v>
                </c:pt>
                <c:pt idx="20">
                  <c:v>Lithuania</c:v>
                </c:pt>
                <c:pt idx="21">
                  <c:v>Luxembourg</c:v>
                </c:pt>
                <c:pt idx="22">
                  <c:v>Malta</c:v>
                </c:pt>
                <c:pt idx="23">
                  <c:v>Mexico</c:v>
                </c:pt>
                <c:pt idx="24">
                  <c:v>Netherlands</c:v>
                </c:pt>
                <c:pt idx="25">
                  <c:v>Poland</c:v>
                </c:pt>
                <c:pt idx="26">
                  <c:v>Portugal</c:v>
                </c:pt>
                <c:pt idx="27">
                  <c:v>Romania</c:v>
                </c:pt>
                <c:pt idx="28">
                  <c:v>Russia</c:v>
                </c:pt>
                <c:pt idx="29">
                  <c:v>Slovakia</c:v>
                </c:pt>
                <c:pt idx="30">
                  <c:v>Slovenia</c:v>
                </c:pt>
                <c:pt idx="31">
                  <c:v>South Korea</c:v>
                </c:pt>
                <c:pt idx="32">
                  <c:v>Spain</c:v>
                </c:pt>
                <c:pt idx="33">
                  <c:v>Sweden</c:v>
                </c:pt>
                <c:pt idx="34">
                  <c:v>Taiwan</c:v>
                </c:pt>
                <c:pt idx="35">
                  <c:v>Turkey</c:v>
                </c:pt>
                <c:pt idx="36">
                  <c:v>UK</c:v>
                </c:pt>
                <c:pt idx="37">
                  <c:v>USA</c:v>
                </c:pt>
              </c:strCache>
            </c:strRef>
          </c:cat>
          <c:val>
            <c:numRef>
              <c:f>'Sheet 1'!$AA$2:$AA$40</c:f>
              <c:numCache>
                <c:formatCode>General</c:formatCode>
                <c:ptCount val="39"/>
                <c:pt idx="0">
                  <c:v>8.1755266560194689E-2</c:v>
                </c:pt>
                <c:pt idx="1">
                  <c:v>0.10371931779865488</c:v>
                </c:pt>
                <c:pt idx="2">
                  <c:v>0.11522078265008669</c:v>
                </c:pt>
                <c:pt idx="3">
                  <c:v>0.15960134845548113</c:v>
                </c:pt>
                <c:pt idx="4">
                  <c:v>0.15155470323163683</c:v>
                </c:pt>
                <c:pt idx="5">
                  <c:v>0.11734442351839679</c:v>
                </c:pt>
                <c:pt idx="6">
                  <c:v>0.18537531371206933</c:v>
                </c:pt>
                <c:pt idx="7">
                  <c:v>0.12306000015430722</c:v>
                </c:pt>
                <c:pt idx="8">
                  <c:v>0.10363467242317344</c:v>
                </c:pt>
                <c:pt idx="9">
                  <c:v>0.11056705101879641</c:v>
                </c:pt>
                <c:pt idx="10">
                  <c:v>7.5758905327693832E-2</c:v>
                </c:pt>
                <c:pt idx="11">
                  <c:v>0.12726606599030227</c:v>
                </c:pt>
                <c:pt idx="12">
                  <c:v>0.10733176043517133</c:v>
                </c:pt>
                <c:pt idx="13">
                  <c:v>0.17101037224240509</c:v>
                </c:pt>
                <c:pt idx="14">
                  <c:v>0.13870607299765411</c:v>
                </c:pt>
                <c:pt idx="15">
                  <c:v>0.17173903042294458</c:v>
                </c:pt>
                <c:pt idx="16">
                  <c:v>0.12847256173744881</c:v>
                </c:pt>
                <c:pt idx="17">
                  <c:v>6.65449844094608E-2</c:v>
                </c:pt>
                <c:pt idx="18">
                  <c:v>0.1371303100942555</c:v>
                </c:pt>
                <c:pt idx="19">
                  <c:v>0.14118660632498017</c:v>
                </c:pt>
                <c:pt idx="20">
                  <c:v>6.9371219268549861E-2</c:v>
                </c:pt>
                <c:pt idx="21">
                  <c:v>0.12051223550196857</c:v>
                </c:pt>
                <c:pt idx="22">
                  <c:v>0.11779702209128153</c:v>
                </c:pt>
                <c:pt idx="23">
                  <c:v>0.2405953244997526</c:v>
                </c:pt>
                <c:pt idx="24">
                  <c:v>9.0010308280836629E-2</c:v>
                </c:pt>
                <c:pt idx="25">
                  <c:v>5.7617629720736904E-2</c:v>
                </c:pt>
                <c:pt idx="26">
                  <c:v>0.18956932533451437</c:v>
                </c:pt>
                <c:pt idx="27">
                  <c:v>0.13976498472679763</c:v>
                </c:pt>
                <c:pt idx="28">
                  <c:v>0.1485395735909083</c:v>
                </c:pt>
                <c:pt idx="29">
                  <c:v>0.12683828505357758</c:v>
                </c:pt>
                <c:pt idx="30">
                  <c:v>0.12304947357897085</c:v>
                </c:pt>
                <c:pt idx="31">
                  <c:v>0.12963948814583845</c:v>
                </c:pt>
                <c:pt idx="32">
                  <c:v>0.20130402044912132</c:v>
                </c:pt>
                <c:pt idx="33">
                  <c:v>8.4834813122403138E-2</c:v>
                </c:pt>
                <c:pt idx="34">
                  <c:v>0.11929094996052382</c:v>
                </c:pt>
                <c:pt idx="35">
                  <c:v>0.1853111774024008</c:v>
                </c:pt>
                <c:pt idx="36">
                  <c:v>0.10769182622319945</c:v>
                </c:pt>
                <c:pt idx="37">
                  <c:v>0.20705900724996318</c:v>
                </c:pt>
                <c:pt idx="38">
                  <c:v>12.758400547965282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611-8245-9AB6-82C04BC04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7882432"/>
        <c:axId val="762097733"/>
      </c:barChart>
      <c:catAx>
        <c:axId val="1117882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Country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762097733"/>
        <c:crosses val="autoZero"/>
        <c:auto val="1"/>
        <c:lblAlgn val="ctr"/>
        <c:lblOffset val="100"/>
        <c:noMultiLvlLbl val="1"/>
      </c:catAx>
      <c:valAx>
        <c:axId val="7620977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Capacity factor(%)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11788243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chemeClr val="dk1"/>
                </a:solidFill>
                <a:latin typeface="+mn-lt"/>
              </a:defRPr>
            </a:pPr>
            <a:r>
              <a:rPr lang="en-GB" b="1">
                <a:solidFill>
                  <a:schemeClr val="dk1"/>
                </a:solidFill>
                <a:latin typeface="+mn-lt"/>
              </a:rPr>
              <a:t>Power density for rooftop solar panels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'Sheet 1'!$AC$1</c:f>
              <c:strCache>
                <c:ptCount val="1"/>
                <c:pt idx="0">
                  <c:v>Power density for rooftop (W/m2)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'Sheet 1'!$A$2:$A$39</c:f>
              <c:strCache>
                <c:ptCount val="38"/>
                <c:pt idx="0">
                  <c:v>Austria</c:v>
                </c:pt>
                <c:pt idx="1">
                  <c:v>Belgium</c:v>
                </c:pt>
                <c:pt idx="2">
                  <c:v>Brazil</c:v>
                </c:pt>
                <c:pt idx="3">
                  <c:v>Bulgaria</c:v>
                </c:pt>
                <c:pt idx="4">
                  <c:v>Canada</c:v>
                </c:pt>
                <c:pt idx="5">
                  <c:v>China</c:v>
                </c:pt>
                <c:pt idx="6">
                  <c:v>Cyprus</c:v>
                </c:pt>
                <c:pt idx="7">
                  <c:v>Czech Republic</c:v>
                </c:pt>
                <c:pt idx="8">
                  <c:v>Denmark</c:v>
                </c:pt>
                <c:pt idx="9">
                  <c:v>Estonia</c:v>
                </c:pt>
                <c:pt idx="10">
                  <c:v>Finland</c:v>
                </c:pt>
                <c:pt idx="11">
                  <c:v>France</c:v>
                </c:pt>
                <c:pt idx="12">
                  <c:v>Germany</c:v>
                </c:pt>
                <c:pt idx="13">
                  <c:v>Greece</c:v>
                </c:pt>
                <c:pt idx="14">
                  <c:v>Hungary</c:v>
                </c:pt>
                <c:pt idx="15">
                  <c:v>India</c:v>
                </c:pt>
                <c:pt idx="16">
                  <c:v>Indonesia</c:v>
                </c:pt>
                <c:pt idx="17">
                  <c:v>Ireland</c:v>
                </c:pt>
                <c:pt idx="18">
                  <c:v>Italy</c:v>
                </c:pt>
                <c:pt idx="19">
                  <c:v>Japan</c:v>
                </c:pt>
                <c:pt idx="20">
                  <c:v>Lithuania</c:v>
                </c:pt>
                <c:pt idx="21">
                  <c:v>Luxembourg</c:v>
                </c:pt>
                <c:pt idx="22">
                  <c:v>Malta</c:v>
                </c:pt>
                <c:pt idx="23">
                  <c:v>Mexico</c:v>
                </c:pt>
                <c:pt idx="24">
                  <c:v>Netherlands</c:v>
                </c:pt>
                <c:pt idx="25">
                  <c:v>Poland</c:v>
                </c:pt>
                <c:pt idx="26">
                  <c:v>Portugal</c:v>
                </c:pt>
                <c:pt idx="27">
                  <c:v>Romania</c:v>
                </c:pt>
                <c:pt idx="28">
                  <c:v>Russia</c:v>
                </c:pt>
                <c:pt idx="29">
                  <c:v>Slovakia</c:v>
                </c:pt>
                <c:pt idx="30">
                  <c:v>Slovenia</c:v>
                </c:pt>
                <c:pt idx="31">
                  <c:v>South Korea</c:v>
                </c:pt>
                <c:pt idx="32">
                  <c:v>Spain</c:v>
                </c:pt>
                <c:pt idx="33">
                  <c:v>Sweden</c:v>
                </c:pt>
                <c:pt idx="34">
                  <c:v>Taiwan</c:v>
                </c:pt>
                <c:pt idx="35">
                  <c:v>Turkey</c:v>
                </c:pt>
                <c:pt idx="36">
                  <c:v>UK</c:v>
                </c:pt>
                <c:pt idx="37">
                  <c:v>USA</c:v>
                </c:pt>
              </c:strCache>
            </c:strRef>
          </c:cat>
          <c:val>
            <c:numRef>
              <c:f>'Sheet 1'!$AC$2:$AC$40</c:f>
              <c:numCache>
                <c:formatCode>General</c:formatCode>
                <c:ptCount val="39"/>
                <c:pt idx="0">
                  <c:v>0.13728000000000071</c:v>
                </c:pt>
                <c:pt idx="1">
                  <c:v>0.12376000000000063</c:v>
                </c:pt>
                <c:pt idx="2">
                  <c:v>0.40128000000000003</c:v>
                </c:pt>
                <c:pt idx="3">
                  <c:v>0.16120000000000001</c:v>
                </c:pt>
                <c:pt idx="4">
                  <c:v>0.12168000000000063</c:v>
                </c:pt>
                <c:pt idx="5">
                  <c:v>0.18616000000000005</c:v>
                </c:pt>
                <c:pt idx="6">
                  <c:v>0.25792000000000004</c:v>
                </c:pt>
                <c:pt idx="7">
                  <c:v>0.12480000000000063</c:v>
                </c:pt>
                <c:pt idx="8">
                  <c:v>0.12688000000000066</c:v>
                </c:pt>
                <c:pt idx="9">
                  <c:v>0.12272000000000062</c:v>
                </c:pt>
                <c:pt idx="10">
                  <c:v>0.10608000000000002</c:v>
                </c:pt>
                <c:pt idx="11">
                  <c:v>0.14560000000000001</c:v>
                </c:pt>
                <c:pt idx="12">
                  <c:v>0.12272000000000062</c:v>
                </c:pt>
                <c:pt idx="13">
                  <c:v>0.17992000000000002</c:v>
                </c:pt>
                <c:pt idx="14">
                  <c:v>0.14352000000000073</c:v>
                </c:pt>
                <c:pt idx="15">
                  <c:v>0.4032</c:v>
                </c:pt>
                <c:pt idx="16">
                  <c:v>0.38976</c:v>
                </c:pt>
                <c:pt idx="17">
                  <c:v>0.10816000000000001</c:v>
                </c:pt>
                <c:pt idx="18">
                  <c:v>0.16744000000000003</c:v>
                </c:pt>
                <c:pt idx="19">
                  <c:v>0.15600000000000003</c:v>
                </c:pt>
                <c:pt idx="20">
                  <c:v>0.12480000000000063</c:v>
                </c:pt>
                <c:pt idx="21">
                  <c:v>0.12168000000000063</c:v>
                </c:pt>
                <c:pt idx="22">
                  <c:v>0.24752000000000002</c:v>
                </c:pt>
                <c:pt idx="23">
                  <c:v>0.43392000000000003</c:v>
                </c:pt>
                <c:pt idx="24">
                  <c:v>0.12376000000000063</c:v>
                </c:pt>
                <c:pt idx="25">
                  <c:v>0.12272000000000062</c:v>
                </c:pt>
                <c:pt idx="26">
                  <c:v>0.19240000000000002</c:v>
                </c:pt>
                <c:pt idx="27">
                  <c:v>0.14560000000000001</c:v>
                </c:pt>
                <c:pt idx="28">
                  <c:v>0.11752000000000061</c:v>
                </c:pt>
                <c:pt idx="29">
                  <c:v>0.12896000000000066</c:v>
                </c:pt>
                <c:pt idx="30">
                  <c:v>0.14664000000000002</c:v>
                </c:pt>
                <c:pt idx="31">
                  <c:v>0.17264000000000004</c:v>
                </c:pt>
                <c:pt idx="32">
                  <c:v>0.18512000000000001</c:v>
                </c:pt>
                <c:pt idx="33">
                  <c:v>0.10816000000000001</c:v>
                </c:pt>
                <c:pt idx="34">
                  <c:v>0.36479999999999996</c:v>
                </c:pt>
                <c:pt idx="35">
                  <c:v>0.18824000000000002</c:v>
                </c:pt>
                <c:pt idx="36">
                  <c:v>0.11232000000000056</c:v>
                </c:pt>
                <c:pt idx="37">
                  <c:v>0.16640000000000002</c:v>
                </c:pt>
                <c:pt idx="38">
                  <c:v>0.17664820512820539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EC0-3A48-AB1C-3FCDAC36C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6417527"/>
        <c:axId val="1896601641"/>
      </c:barChart>
      <c:catAx>
        <c:axId val="17564175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Country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896601641"/>
        <c:crosses val="autoZero"/>
        <c:auto val="1"/>
        <c:lblAlgn val="ctr"/>
        <c:lblOffset val="100"/>
        <c:noMultiLvlLbl val="1"/>
      </c:catAx>
      <c:valAx>
        <c:axId val="189660164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Power density for rooftop (W/m2)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75641752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chemeClr val="dk1"/>
                </a:solidFill>
                <a:latin typeface="+mn-lt"/>
              </a:defRPr>
            </a:pPr>
            <a:r>
              <a:rPr lang="en-GB" b="1">
                <a:solidFill>
                  <a:schemeClr val="dk1"/>
                </a:solidFill>
                <a:latin typeface="+mn-lt"/>
              </a:rPr>
              <a:t>Solar Power density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'Sheet 1'!$G$2</c:f>
              <c:strCache>
                <c:ptCount val="1"/>
                <c:pt idx="0">
                  <c:v>3,9468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'Sheet 1'!$A$3:$A$39</c:f>
              <c:strCache>
                <c:ptCount val="37"/>
                <c:pt idx="0">
                  <c:v>Belgium</c:v>
                </c:pt>
                <c:pt idx="1">
                  <c:v>Brazil</c:v>
                </c:pt>
                <c:pt idx="2">
                  <c:v>Bulgaria</c:v>
                </c:pt>
                <c:pt idx="3">
                  <c:v>Canada</c:v>
                </c:pt>
                <c:pt idx="4">
                  <c:v>China</c:v>
                </c:pt>
                <c:pt idx="5">
                  <c:v>Cyprus</c:v>
                </c:pt>
                <c:pt idx="6">
                  <c:v>Czech Republic</c:v>
                </c:pt>
                <c:pt idx="7">
                  <c:v>Denmark</c:v>
                </c:pt>
                <c:pt idx="8">
                  <c:v>Estonia</c:v>
                </c:pt>
                <c:pt idx="9">
                  <c:v>Finland</c:v>
                </c:pt>
                <c:pt idx="10">
                  <c:v>France</c:v>
                </c:pt>
                <c:pt idx="11">
                  <c:v>Germany</c:v>
                </c:pt>
                <c:pt idx="12">
                  <c:v>Greece</c:v>
                </c:pt>
                <c:pt idx="13">
                  <c:v>Hungary</c:v>
                </c:pt>
                <c:pt idx="14">
                  <c:v>India</c:v>
                </c:pt>
                <c:pt idx="15">
                  <c:v>Indonesia</c:v>
                </c:pt>
                <c:pt idx="16">
                  <c:v>Ireland</c:v>
                </c:pt>
                <c:pt idx="17">
                  <c:v>Italy</c:v>
                </c:pt>
                <c:pt idx="18">
                  <c:v>Japan</c:v>
                </c:pt>
                <c:pt idx="19">
                  <c:v>Lithuania</c:v>
                </c:pt>
                <c:pt idx="20">
                  <c:v>Luxembourg</c:v>
                </c:pt>
                <c:pt idx="21">
                  <c:v>Malta</c:v>
                </c:pt>
                <c:pt idx="22">
                  <c:v>Mexico</c:v>
                </c:pt>
                <c:pt idx="23">
                  <c:v>Netherlands</c:v>
                </c:pt>
                <c:pt idx="24">
                  <c:v>Poland</c:v>
                </c:pt>
                <c:pt idx="25">
                  <c:v>Portugal</c:v>
                </c:pt>
                <c:pt idx="26">
                  <c:v>Romania</c:v>
                </c:pt>
                <c:pt idx="27">
                  <c:v>Russia</c:v>
                </c:pt>
                <c:pt idx="28">
                  <c:v>Slovakia</c:v>
                </c:pt>
                <c:pt idx="29">
                  <c:v>Slovenia</c:v>
                </c:pt>
                <c:pt idx="30">
                  <c:v>South Korea</c:v>
                </c:pt>
                <c:pt idx="31">
                  <c:v>Spain</c:v>
                </c:pt>
                <c:pt idx="32">
                  <c:v>Sweden</c:v>
                </c:pt>
                <c:pt idx="33">
                  <c:v>Taiwan</c:v>
                </c:pt>
                <c:pt idx="34">
                  <c:v>Turkey</c:v>
                </c:pt>
                <c:pt idx="35">
                  <c:v>UK</c:v>
                </c:pt>
                <c:pt idx="36">
                  <c:v>USA</c:v>
                </c:pt>
              </c:strCache>
            </c:strRef>
          </c:cat>
          <c:val>
            <c:numRef>
              <c:f>'Sheet 1'!$G$3:$G$39</c:f>
              <c:numCache>
                <c:formatCode>General</c:formatCode>
                <c:ptCount val="37"/>
                <c:pt idx="0">
                  <c:v>3.5581000000000187</c:v>
                </c:pt>
                <c:pt idx="1">
                  <c:v>8.527200000000045</c:v>
                </c:pt>
                <c:pt idx="2">
                  <c:v>4.634500000000001</c:v>
                </c:pt>
                <c:pt idx="3">
                  <c:v>2.5857000000000134</c:v>
                </c:pt>
                <c:pt idx="4">
                  <c:v>5.352100000000001</c:v>
                </c:pt>
                <c:pt idx="5">
                  <c:v>7.4152000000000005</c:v>
                </c:pt>
                <c:pt idx="6">
                  <c:v>3.5880000000000187</c:v>
                </c:pt>
                <c:pt idx="7">
                  <c:v>2.6962000000000144</c:v>
                </c:pt>
                <c:pt idx="8">
                  <c:v>1.6874000000000087</c:v>
                </c:pt>
                <c:pt idx="9">
                  <c:v>1.4586000000000001</c:v>
                </c:pt>
                <c:pt idx="10">
                  <c:v>4.1860000000000008</c:v>
                </c:pt>
                <c:pt idx="11">
                  <c:v>3.5282000000000182</c:v>
                </c:pt>
                <c:pt idx="12">
                  <c:v>5.1727000000000007</c:v>
                </c:pt>
                <c:pt idx="13">
                  <c:v>4.1262000000000212</c:v>
                </c:pt>
                <c:pt idx="14">
                  <c:v>8.568000000000044</c:v>
                </c:pt>
                <c:pt idx="15">
                  <c:v>8.2824000000000435</c:v>
                </c:pt>
                <c:pt idx="16">
                  <c:v>2.2984000000000004</c:v>
                </c:pt>
                <c:pt idx="17">
                  <c:v>4.8139000000000012</c:v>
                </c:pt>
                <c:pt idx="18">
                  <c:v>4.4850000000000012</c:v>
                </c:pt>
                <c:pt idx="19">
                  <c:v>2.6520000000000139</c:v>
                </c:pt>
                <c:pt idx="20">
                  <c:v>3.4983000000000182</c:v>
                </c:pt>
                <c:pt idx="21">
                  <c:v>7.116200000000001</c:v>
                </c:pt>
                <c:pt idx="22">
                  <c:v>9.2208000000000485</c:v>
                </c:pt>
                <c:pt idx="23">
                  <c:v>2.6299000000000139</c:v>
                </c:pt>
                <c:pt idx="24">
                  <c:v>2.6078000000000139</c:v>
                </c:pt>
                <c:pt idx="25">
                  <c:v>5.5315000000000012</c:v>
                </c:pt>
                <c:pt idx="26">
                  <c:v>4.1860000000000008</c:v>
                </c:pt>
                <c:pt idx="27">
                  <c:v>2.497300000000013</c:v>
                </c:pt>
                <c:pt idx="28">
                  <c:v>3.7076000000000193</c:v>
                </c:pt>
                <c:pt idx="29">
                  <c:v>4.2159000000000013</c:v>
                </c:pt>
                <c:pt idx="30">
                  <c:v>4.9634000000000009</c:v>
                </c:pt>
                <c:pt idx="31">
                  <c:v>5.3222000000000014</c:v>
                </c:pt>
                <c:pt idx="32">
                  <c:v>1.4872000000000003</c:v>
                </c:pt>
                <c:pt idx="33">
                  <c:v>7.7520000000000397</c:v>
                </c:pt>
                <c:pt idx="34">
                  <c:v>5.411900000000001</c:v>
                </c:pt>
                <c:pt idx="35">
                  <c:v>2.3868000000000125</c:v>
                </c:pt>
                <c:pt idx="36">
                  <c:v>4.7840000000000007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749-8441-A6C1-CBEC15A28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485957"/>
        <c:axId val="1467935216"/>
      </c:barChart>
      <c:catAx>
        <c:axId val="3274859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Country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467935216"/>
        <c:crosses val="autoZero"/>
        <c:auto val="1"/>
        <c:lblAlgn val="ctr"/>
        <c:lblOffset val="100"/>
        <c:noMultiLvlLbl val="1"/>
      </c:catAx>
      <c:valAx>
        <c:axId val="14679352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Solar Power density(W/m2)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32748595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chemeClr val="dk1"/>
                </a:solidFill>
                <a:latin typeface="+mn-lt"/>
              </a:defRPr>
            </a:pPr>
            <a:r>
              <a:rPr lang="en-GB" b="1">
                <a:solidFill>
                  <a:schemeClr val="dk1"/>
                </a:solidFill>
                <a:latin typeface="+mn-lt"/>
              </a:rPr>
              <a:t>Annual energy produced per capita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'Sheet 1'!$AL$1</c:f>
              <c:strCache>
                <c:ptCount val="1"/>
                <c:pt idx="0">
                  <c:v>annual energy output(kWh/capita/year)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'Sheet 1'!$A$2:$A$39</c:f>
              <c:strCache>
                <c:ptCount val="38"/>
                <c:pt idx="0">
                  <c:v>Austria</c:v>
                </c:pt>
                <c:pt idx="1">
                  <c:v>Belgium</c:v>
                </c:pt>
                <c:pt idx="2">
                  <c:v>Brazil</c:v>
                </c:pt>
                <c:pt idx="3">
                  <c:v>Bulgaria</c:v>
                </c:pt>
                <c:pt idx="4">
                  <c:v>Canada</c:v>
                </c:pt>
                <c:pt idx="5">
                  <c:v>China</c:v>
                </c:pt>
                <c:pt idx="6">
                  <c:v>Cyprus</c:v>
                </c:pt>
                <c:pt idx="7">
                  <c:v>Czech Republic</c:v>
                </c:pt>
                <c:pt idx="8">
                  <c:v>Denmark</c:v>
                </c:pt>
                <c:pt idx="9">
                  <c:v>Estonia</c:v>
                </c:pt>
                <c:pt idx="10">
                  <c:v>Finland</c:v>
                </c:pt>
                <c:pt idx="11">
                  <c:v>France</c:v>
                </c:pt>
                <c:pt idx="12">
                  <c:v>Germany</c:v>
                </c:pt>
                <c:pt idx="13">
                  <c:v>Greece</c:v>
                </c:pt>
                <c:pt idx="14">
                  <c:v>Hungary</c:v>
                </c:pt>
                <c:pt idx="15">
                  <c:v>India</c:v>
                </c:pt>
                <c:pt idx="16">
                  <c:v>Indonesia</c:v>
                </c:pt>
                <c:pt idx="17">
                  <c:v>Ireland</c:v>
                </c:pt>
                <c:pt idx="18">
                  <c:v>Italy</c:v>
                </c:pt>
                <c:pt idx="19">
                  <c:v>Japan</c:v>
                </c:pt>
                <c:pt idx="20">
                  <c:v>Lithuania</c:v>
                </c:pt>
                <c:pt idx="21">
                  <c:v>Luxembourg</c:v>
                </c:pt>
                <c:pt idx="22">
                  <c:v>Malta</c:v>
                </c:pt>
                <c:pt idx="23">
                  <c:v>Mexico</c:v>
                </c:pt>
                <c:pt idx="24">
                  <c:v>Netherlands</c:v>
                </c:pt>
                <c:pt idx="25">
                  <c:v>Poland</c:v>
                </c:pt>
                <c:pt idx="26">
                  <c:v>Portugal</c:v>
                </c:pt>
                <c:pt idx="27">
                  <c:v>Romania</c:v>
                </c:pt>
                <c:pt idx="28">
                  <c:v>Russia</c:v>
                </c:pt>
                <c:pt idx="29">
                  <c:v>Slovakia</c:v>
                </c:pt>
                <c:pt idx="30">
                  <c:v>Slovenia</c:v>
                </c:pt>
                <c:pt idx="31">
                  <c:v>South Korea</c:v>
                </c:pt>
                <c:pt idx="32">
                  <c:v>Spain</c:v>
                </c:pt>
                <c:pt idx="33">
                  <c:v>Sweden</c:v>
                </c:pt>
                <c:pt idx="34">
                  <c:v>Taiwan</c:v>
                </c:pt>
                <c:pt idx="35">
                  <c:v>Turkey</c:v>
                </c:pt>
                <c:pt idx="36">
                  <c:v>UK</c:v>
                </c:pt>
                <c:pt idx="37">
                  <c:v>USA</c:v>
                </c:pt>
              </c:strCache>
            </c:strRef>
          </c:cat>
          <c:val>
            <c:numRef>
              <c:f>'Sheet 1'!$AL$2:$AL$39</c:f>
              <c:numCache>
                <c:formatCode>General</c:formatCode>
                <c:ptCount val="38"/>
                <c:pt idx="0">
                  <c:v>11276.420960000001</c:v>
                </c:pt>
                <c:pt idx="1">
                  <c:v>14733.837469999999</c:v>
                </c:pt>
                <c:pt idx="2">
                  <c:v>20580.930150000004</c:v>
                </c:pt>
                <c:pt idx="3">
                  <c:v>18780.673500000004</c:v>
                </c:pt>
                <c:pt idx="4">
                  <c:v>16327.88883</c:v>
                </c:pt>
                <c:pt idx="5">
                  <c:v>13792.369610000002</c:v>
                </c:pt>
                <c:pt idx="6">
                  <c:v>11293.536539999999</c:v>
                </c:pt>
                <c:pt idx="7">
                  <c:v>13007.077950000003</c:v>
                </c:pt>
                <c:pt idx="8">
                  <c:v>14359.125550000001</c:v>
                </c:pt>
                <c:pt idx="9">
                  <c:v>15989.752100000002</c:v>
                </c:pt>
                <c:pt idx="10">
                  <c:v>14318.001000000002</c:v>
                </c:pt>
                <c:pt idx="11">
                  <c:v>13382.885600000003</c:v>
                </c:pt>
                <c:pt idx="12">
                  <c:v>12733.492200000001</c:v>
                </c:pt>
                <c:pt idx="13">
                  <c:v>12156.403110000001</c:v>
                </c:pt>
                <c:pt idx="14">
                  <c:v>20656.28586</c:v>
                </c:pt>
                <c:pt idx="15">
                  <c:v>12683.809859999999</c:v>
                </c:pt>
                <c:pt idx="16">
                  <c:v>11602.9485</c:v>
                </c:pt>
                <c:pt idx="17">
                  <c:v>9824.0655200000019</c:v>
                </c:pt>
                <c:pt idx="18">
                  <c:v>12953.35944</c:v>
                </c:pt>
                <c:pt idx="19">
                  <c:v>6984.8903900000005</c:v>
                </c:pt>
                <c:pt idx="20">
                  <c:v>16190.28456</c:v>
                </c:pt>
                <c:pt idx="21">
                  <c:v>17242.851120000003</c:v>
                </c:pt>
                <c:pt idx="22">
                  <c:v>19259.271720000001</c:v>
                </c:pt>
                <c:pt idx="23">
                  <c:v>12470.517000000002</c:v>
                </c:pt>
                <c:pt idx="24">
                  <c:v>6239.8356000000003</c:v>
                </c:pt>
                <c:pt idx="25">
                  <c:v>11265.40818</c:v>
                </c:pt>
                <c:pt idx="26">
                  <c:v>19079.12816</c:v>
                </c:pt>
                <c:pt idx="27">
                  <c:v>10557.49725</c:v>
                </c:pt>
                <c:pt idx="28">
                  <c:v>14641.172</c:v>
                </c:pt>
                <c:pt idx="29">
                  <c:v>15317.32063</c:v>
                </c:pt>
                <c:pt idx="30">
                  <c:v>14146.470710000001</c:v>
                </c:pt>
                <c:pt idx="31">
                  <c:v>15184.598600000001</c:v>
                </c:pt>
                <c:pt idx="32">
                  <c:v>12488.478650000001</c:v>
                </c:pt>
                <c:pt idx="33">
                  <c:v>19067.13061</c:v>
                </c:pt>
                <c:pt idx="34">
                  <c:v>16272.492049999999</c:v>
                </c:pt>
                <c:pt idx="35">
                  <c:v>12673.407360000003</c:v>
                </c:pt>
                <c:pt idx="36">
                  <c:v>9769.5841600000022</c:v>
                </c:pt>
                <c:pt idx="37">
                  <c:v>26562.36765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5B9-914C-A04C-821E850FC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7477373"/>
        <c:axId val="2031057435"/>
      </c:barChart>
      <c:catAx>
        <c:axId val="9774773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Country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2031057435"/>
        <c:crosses val="autoZero"/>
        <c:auto val="1"/>
        <c:lblAlgn val="ctr"/>
        <c:lblOffset val="100"/>
        <c:noMultiLvlLbl val="1"/>
      </c:catAx>
      <c:valAx>
        <c:axId val="20310574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annual energy output(kWh/capita/year)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97747737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chemeClr val="dk1"/>
                </a:solidFill>
                <a:latin typeface="+mn-lt"/>
              </a:defRPr>
            </a:pPr>
            <a:r>
              <a:rPr lang="en-GB" b="1" i="0">
                <a:solidFill>
                  <a:schemeClr val="dk1"/>
                </a:solidFill>
                <a:latin typeface="+mn-lt"/>
              </a:rPr>
              <a:t>Power output per capita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'Sheet 1'!$AR$1</c:f>
              <c:strCache>
                <c:ptCount val="1"/>
                <c:pt idx="0">
                  <c:v>Power output (kW/capita)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'Sheet 1'!$A$2:$A$39</c:f>
              <c:strCache>
                <c:ptCount val="38"/>
                <c:pt idx="0">
                  <c:v>Austria</c:v>
                </c:pt>
                <c:pt idx="1">
                  <c:v>Belgium</c:v>
                </c:pt>
                <c:pt idx="2">
                  <c:v>Brazil</c:v>
                </c:pt>
                <c:pt idx="3">
                  <c:v>Bulgaria</c:v>
                </c:pt>
                <c:pt idx="4">
                  <c:v>Canada</c:v>
                </c:pt>
                <c:pt idx="5">
                  <c:v>China</c:v>
                </c:pt>
                <c:pt idx="6">
                  <c:v>Cyprus</c:v>
                </c:pt>
                <c:pt idx="7">
                  <c:v>Czech Republic</c:v>
                </c:pt>
                <c:pt idx="8">
                  <c:v>Denmark</c:v>
                </c:pt>
                <c:pt idx="9">
                  <c:v>Estonia</c:v>
                </c:pt>
                <c:pt idx="10">
                  <c:v>Finland</c:v>
                </c:pt>
                <c:pt idx="11">
                  <c:v>France</c:v>
                </c:pt>
                <c:pt idx="12">
                  <c:v>Germany</c:v>
                </c:pt>
                <c:pt idx="13">
                  <c:v>Greece</c:v>
                </c:pt>
                <c:pt idx="14">
                  <c:v>Hungary</c:v>
                </c:pt>
                <c:pt idx="15">
                  <c:v>India</c:v>
                </c:pt>
                <c:pt idx="16">
                  <c:v>Indonesia</c:v>
                </c:pt>
                <c:pt idx="17">
                  <c:v>Ireland</c:v>
                </c:pt>
                <c:pt idx="18">
                  <c:v>Italy</c:v>
                </c:pt>
                <c:pt idx="19">
                  <c:v>Japan</c:v>
                </c:pt>
                <c:pt idx="20">
                  <c:v>Lithuania</c:v>
                </c:pt>
                <c:pt idx="21">
                  <c:v>Luxembourg</c:v>
                </c:pt>
                <c:pt idx="22">
                  <c:v>Malta</c:v>
                </c:pt>
                <c:pt idx="23">
                  <c:v>Mexico</c:v>
                </c:pt>
                <c:pt idx="24">
                  <c:v>Netherlands</c:v>
                </c:pt>
                <c:pt idx="25">
                  <c:v>Poland</c:v>
                </c:pt>
                <c:pt idx="26">
                  <c:v>Portugal</c:v>
                </c:pt>
                <c:pt idx="27">
                  <c:v>Romania</c:v>
                </c:pt>
                <c:pt idx="28">
                  <c:v>Russia</c:v>
                </c:pt>
                <c:pt idx="29">
                  <c:v>Slovakia</c:v>
                </c:pt>
                <c:pt idx="30">
                  <c:v>Slovenia</c:v>
                </c:pt>
                <c:pt idx="31">
                  <c:v>South Korea</c:v>
                </c:pt>
                <c:pt idx="32">
                  <c:v>Spain</c:v>
                </c:pt>
                <c:pt idx="33">
                  <c:v>Sweden</c:v>
                </c:pt>
                <c:pt idx="34">
                  <c:v>Taiwan</c:v>
                </c:pt>
                <c:pt idx="35">
                  <c:v>Turkey</c:v>
                </c:pt>
                <c:pt idx="36">
                  <c:v>UK</c:v>
                </c:pt>
                <c:pt idx="37">
                  <c:v>USA</c:v>
                </c:pt>
              </c:strCache>
            </c:strRef>
          </c:cat>
          <c:val>
            <c:numRef>
              <c:f>'Sheet 1'!$AR$2:$AR$39</c:f>
              <c:numCache>
                <c:formatCode>General</c:formatCode>
                <c:ptCount val="38"/>
                <c:pt idx="0">
                  <c:v>1.364352</c:v>
                </c:pt>
                <c:pt idx="1">
                  <c:v>1.6233979999999999</c:v>
                </c:pt>
                <c:pt idx="2">
                  <c:v>2.0252100000000004</c:v>
                </c:pt>
                <c:pt idx="3">
                  <c:v>2.0850600000000004</c:v>
                </c:pt>
                <c:pt idx="4">
                  <c:v>1.6138980000000001</c:v>
                </c:pt>
                <c:pt idx="5">
                  <c:v>1.3535980000000001</c:v>
                </c:pt>
                <c:pt idx="6">
                  <c:v>1.5926559999999998</c:v>
                </c:pt>
                <c:pt idx="7">
                  <c:v>1.38168</c:v>
                </c:pt>
                <c:pt idx="8">
                  <c:v>1.7848600000000003</c:v>
                </c:pt>
                <c:pt idx="9">
                  <c:v>1.9281200000000001</c:v>
                </c:pt>
                <c:pt idx="10">
                  <c:v>1.4341199999999998</c:v>
                </c:pt>
                <c:pt idx="11">
                  <c:v>1.4896</c:v>
                </c:pt>
                <c:pt idx="12">
                  <c:v>1.4393640000000003</c:v>
                </c:pt>
                <c:pt idx="13">
                  <c:v>1.2950780000000002</c:v>
                </c:pt>
                <c:pt idx="14">
                  <c:v>2.1657720000000005</c:v>
                </c:pt>
                <c:pt idx="15">
                  <c:v>1.3805399999999999</c:v>
                </c:pt>
                <c:pt idx="16">
                  <c:v>1.3036660000000002</c:v>
                </c:pt>
                <c:pt idx="17">
                  <c:v>1.1223680000000003</c:v>
                </c:pt>
                <c:pt idx="18">
                  <c:v>1.3337240000000001</c:v>
                </c:pt>
                <c:pt idx="19">
                  <c:v>0.79230000000000012</c:v>
                </c:pt>
                <c:pt idx="20">
                  <c:v>1.8604799999999999</c:v>
                </c:pt>
                <c:pt idx="21">
                  <c:v>1.813968</c:v>
                </c:pt>
                <c:pt idx="22">
                  <c:v>2.4961440000000001</c:v>
                </c:pt>
                <c:pt idx="23">
                  <c:v>1.2882</c:v>
                </c:pt>
                <c:pt idx="24">
                  <c:v>0.73708600000000002</c:v>
                </c:pt>
                <c:pt idx="25">
                  <c:v>1.197228</c:v>
                </c:pt>
                <c:pt idx="26">
                  <c:v>2.0949400000000002</c:v>
                </c:pt>
                <c:pt idx="27">
                  <c:v>1.1970000000000001</c:v>
                </c:pt>
                <c:pt idx="28">
                  <c:v>1.5630160000000002</c:v>
                </c:pt>
                <c:pt idx="29">
                  <c:v>1.5879440000000002</c:v>
                </c:pt>
                <c:pt idx="30">
                  <c:v>1.5698940000000001</c:v>
                </c:pt>
                <c:pt idx="31">
                  <c:v>1.6905440000000003</c:v>
                </c:pt>
                <c:pt idx="32">
                  <c:v>1.2513400000000001</c:v>
                </c:pt>
                <c:pt idx="33">
                  <c:v>2.0431840000000001</c:v>
                </c:pt>
                <c:pt idx="34">
                  <c:v>2.1299000000000001</c:v>
                </c:pt>
                <c:pt idx="35">
                  <c:v>1.3205760000000002</c:v>
                </c:pt>
                <c:pt idx="36">
                  <c:v>1.091664</c:v>
                </c:pt>
                <c:pt idx="37">
                  <c:v>2.5961599999999998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D21-3F46-B138-D1F3D70BC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3023574"/>
        <c:axId val="1512386723"/>
      </c:barChart>
      <c:catAx>
        <c:axId val="5630235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Country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512386723"/>
        <c:crosses val="autoZero"/>
        <c:auto val="1"/>
        <c:lblAlgn val="ctr"/>
        <c:lblOffset val="100"/>
        <c:noMultiLvlLbl val="1"/>
      </c:catAx>
      <c:valAx>
        <c:axId val="151238672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Power output (kW/capita)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56302357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GB" b="0">
                <a:solidFill>
                  <a:srgbClr val="757575"/>
                </a:solidFill>
                <a:latin typeface="+mn-lt"/>
              </a:rPr>
              <a:t>Densité de puissance moyenne pour chaque pays éudiés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'Sheet 1'!$X$1</c:f>
              <c:strCache>
                <c:ptCount val="1"/>
                <c:pt idx="0">
                  <c:v>Mean Power density (W/m2)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'Sheet 1'!$A$2:$A$40</c:f>
              <c:strCache>
                <c:ptCount val="39"/>
                <c:pt idx="0">
                  <c:v>Austria</c:v>
                </c:pt>
                <c:pt idx="1">
                  <c:v>Belgium</c:v>
                </c:pt>
                <c:pt idx="2">
                  <c:v>Brazil</c:v>
                </c:pt>
                <c:pt idx="3">
                  <c:v>Bulgaria</c:v>
                </c:pt>
                <c:pt idx="4">
                  <c:v>Canada</c:v>
                </c:pt>
                <c:pt idx="5">
                  <c:v>China</c:v>
                </c:pt>
                <c:pt idx="6">
                  <c:v>Cyprus</c:v>
                </c:pt>
                <c:pt idx="7">
                  <c:v>Czech Republic</c:v>
                </c:pt>
                <c:pt idx="8">
                  <c:v>Denmark</c:v>
                </c:pt>
                <c:pt idx="9">
                  <c:v>Estonia</c:v>
                </c:pt>
                <c:pt idx="10">
                  <c:v>Finland</c:v>
                </c:pt>
                <c:pt idx="11">
                  <c:v>France</c:v>
                </c:pt>
                <c:pt idx="12">
                  <c:v>Germany</c:v>
                </c:pt>
                <c:pt idx="13">
                  <c:v>Greece</c:v>
                </c:pt>
                <c:pt idx="14">
                  <c:v>Hungary</c:v>
                </c:pt>
                <c:pt idx="15">
                  <c:v>India</c:v>
                </c:pt>
                <c:pt idx="16">
                  <c:v>Indonesia</c:v>
                </c:pt>
                <c:pt idx="17">
                  <c:v>Ireland</c:v>
                </c:pt>
                <c:pt idx="18">
                  <c:v>Italy</c:v>
                </c:pt>
                <c:pt idx="19">
                  <c:v>Japan</c:v>
                </c:pt>
                <c:pt idx="20">
                  <c:v>Lithuania</c:v>
                </c:pt>
                <c:pt idx="21">
                  <c:v>Luxembourg</c:v>
                </c:pt>
                <c:pt idx="22">
                  <c:v>Malta</c:v>
                </c:pt>
                <c:pt idx="23">
                  <c:v>Mexico</c:v>
                </c:pt>
                <c:pt idx="24">
                  <c:v>Netherlands</c:v>
                </c:pt>
                <c:pt idx="25">
                  <c:v>Poland</c:v>
                </c:pt>
                <c:pt idx="26">
                  <c:v>Portugal</c:v>
                </c:pt>
                <c:pt idx="27">
                  <c:v>Romania</c:v>
                </c:pt>
                <c:pt idx="28">
                  <c:v>Russia</c:v>
                </c:pt>
                <c:pt idx="29">
                  <c:v>Slovakia</c:v>
                </c:pt>
                <c:pt idx="30">
                  <c:v>Slovenia</c:v>
                </c:pt>
                <c:pt idx="31">
                  <c:v>South Korea</c:v>
                </c:pt>
                <c:pt idx="32">
                  <c:v>Spain</c:v>
                </c:pt>
                <c:pt idx="33">
                  <c:v>Sweden</c:v>
                </c:pt>
                <c:pt idx="34">
                  <c:v>Taiwan</c:v>
                </c:pt>
                <c:pt idx="35">
                  <c:v>Turkey</c:v>
                </c:pt>
                <c:pt idx="36">
                  <c:v>UK</c:v>
                </c:pt>
                <c:pt idx="37">
                  <c:v>USA</c:v>
                </c:pt>
                <c:pt idx="38">
                  <c:v>Moyenne</c:v>
                </c:pt>
              </c:strCache>
            </c:strRef>
          </c:cat>
          <c:val>
            <c:numRef>
              <c:f>'Sheet 1'!$X$2:$X$40</c:f>
              <c:numCache>
                <c:formatCode>General</c:formatCode>
                <c:ptCount val="39"/>
                <c:pt idx="0">
                  <c:v>1.834588181610769</c:v>
                </c:pt>
                <c:pt idx="1">
                  <c:v>2.0982417990667885</c:v>
                </c:pt>
                <c:pt idx="2">
                  <c:v>4.0937944075575805</c:v>
                </c:pt>
                <c:pt idx="3">
                  <c:v>4.2054955318019278</c:v>
                </c:pt>
                <c:pt idx="4">
                  <c:v>3.0144230472772562</c:v>
                </c:pt>
                <c:pt idx="5">
                  <c:v>3.0144230472772562</c:v>
                </c:pt>
                <c:pt idx="6">
                  <c:v>3.5707908076648138</c:v>
                </c:pt>
                <c:pt idx="7">
                  <c:v>7.8154232261008421</c:v>
                </c:pt>
                <c:pt idx="8">
                  <c:v>2.5104240031478677</c:v>
                </c:pt>
                <c:pt idx="9">
                  <c:v>2.2179750434370562</c:v>
                </c:pt>
                <c:pt idx="10">
                  <c:v>1.313659418382211</c:v>
                </c:pt>
                <c:pt idx="11">
                  <c:v>3.0289323705691942</c:v>
                </c:pt>
                <c:pt idx="12">
                  <c:v>2.1530751143295372</c:v>
                </c:pt>
                <c:pt idx="13">
                  <c:v>5.0294150476491328</c:v>
                </c:pt>
                <c:pt idx="14">
                  <c:v>3.2540444725249649</c:v>
                </c:pt>
                <c:pt idx="15">
                  <c:v>6.1310833860991218</c:v>
                </c:pt>
                <c:pt idx="16">
                  <c:v>4.433588105559358</c:v>
                </c:pt>
                <c:pt idx="17">
                  <c:v>1.176515324359267</c:v>
                </c:pt>
                <c:pt idx="18">
                  <c:v>3.7532565872797727</c:v>
                </c:pt>
                <c:pt idx="19">
                  <c:v>3.6002584612869941</c:v>
                </c:pt>
                <c:pt idx="20">
                  <c:v>1.415172873078417</c:v>
                </c:pt>
                <c:pt idx="21">
                  <c:v>2.3969883641341547</c:v>
                </c:pt>
                <c:pt idx="22">
                  <c:v>4.7660675138132493</c:v>
                </c:pt>
                <c:pt idx="23">
                  <c:v>9.2436723672804959</c:v>
                </c:pt>
                <c:pt idx="24">
                  <c:v>1.8209085365213251</c:v>
                </c:pt>
                <c:pt idx="25">
                  <c:v>1.1558096521979822</c:v>
                </c:pt>
                <c:pt idx="26">
                  <c:v>5.9619552817704768</c:v>
                </c:pt>
                <c:pt idx="27">
                  <c:v>3.3264066364977838</c:v>
                </c:pt>
                <c:pt idx="28">
                  <c:v>2.8534452086813484</c:v>
                </c:pt>
                <c:pt idx="29">
                  <c:v>2.673751048929415</c:v>
                </c:pt>
                <c:pt idx="30">
                  <c:v>2.9494958816879309</c:v>
                </c:pt>
                <c:pt idx="31">
                  <c:v>3.6584263554755605</c:v>
                </c:pt>
                <c:pt idx="32">
                  <c:v>6.0914596587904102</c:v>
                </c:pt>
                <c:pt idx="33">
                  <c:v>1.4998794960040875</c:v>
                </c:pt>
                <c:pt idx="34">
                  <c:v>3.8530976837249189</c:v>
                </c:pt>
                <c:pt idx="35">
                  <c:v>5.7020249286718725</c:v>
                </c:pt>
                <c:pt idx="36">
                  <c:v>1.9772219294579418</c:v>
                </c:pt>
                <c:pt idx="37">
                  <c:v>5.6320049971989974</c:v>
                </c:pt>
                <c:pt idx="38">
                  <c:v>3.5586104157078453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D88-F543-AF58-E448C9E10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0911419"/>
        <c:axId val="350000362"/>
      </c:barChart>
      <c:catAx>
        <c:axId val="5809114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N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350000362"/>
        <c:crosses val="autoZero"/>
        <c:auto val="1"/>
        <c:lblAlgn val="ctr"/>
        <c:lblOffset val="100"/>
        <c:noMultiLvlLbl val="1"/>
      </c:catAx>
      <c:valAx>
        <c:axId val="35000036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Densité de puissance moyenne (We/m2)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580911419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57</xdr:row>
      <xdr:rowOff>95250</xdr:rowOff>
    </xdr:from>
    <xdr:ext cx="5715000" cy="3533775"/>
    <xdr:pic>
      <xdr:nvPicPr>
        <xdr:cNvPr id="905561850" name="Chart1" title="Graphique">
          <a:extLst>
            <a:ext uri="{FF2B5EF4-FFF2-40B4-BE49-F238E27FC236}">
              <a16:creationId xmlns:a16="http://schemas.microsoft.com/office/drawing/2014/main" id="{00000000-0008-0000-0000-0000FAC6F935}"/>
            </a:ext>
            <a:ext uri="GoogleSheetsCustomDataVersion1">
              <go:sheetsCustomData xmlns="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 xmlns:go="http://customooxmlschemas.google.com/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885825</xdr:colOff>
      <xdr:row>58</xdr:row>
      <xdr:rowOff>57150</xdr:rowOff>
    </xdr:from>
    <xdr:ext cx="5715000" cy="3533775"/>
    <xdr:graphicFrame macro="">
      <xdr:nvGraphicFramePr>
        <xdr:cNvPr id="2" name="Chart 2" title="Graphiqu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238125</xdr:colOff>
      <xdr:row>68</xdr:row>
      <xdr:rowOff>123825</xdr:rowOff>
    </xdr:from>
    <xdr:ext cx="5715000" cy="3533775"/>
    <xdr:graphicFrame macro="">
      <xdr:nvGraphicFramePr>
        <xdr:cNvPr id="3" name="Chart 3" title="Graphiqu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6</xdr:col>
      <xdr:colOff>1659964</xdr:colOff>
      <xdr:row>79</xdr:row>
      <xdr:rowOff>43703</xdr:rowOff>
    </xdr:from>
    <xdr:ext cx="5715000" cy="3533775"/>
    <xdr:graphicFrame macro="">
      <xdr:nvGraphicFramePr>
        <xdr:cNvPr id="4" name="Chart 4" title="Graphiqu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14</xdr:col>
      <xdr:colOff>685053</xdr:colOff>
      <xdr:row>75</xdr:row>
      <xdr:rowOff>114113</xdr:rowOff>
    </xdr:from>
    <xdr:ext cx="5715000" cy="3533775"/>
    <xdr:graphicFrame macro="">
      <xdr:nvGraphicFramePr>
        <xdr:cNvPr id="5" name="Chart 5" title="Graphiqu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27</xdr:col>
      <xdr:colOff>2172822</xdr:colOff>
      <xdr:row>76</xdr:row>
      <xdr:rowOff>151093</xdr:rowOff>
    </xdr:from>
    <xdr:ext cx="5715000" cy="3533775"/>
    <xdr:graphicFrame macro="">
      <xdr:nvGraphicFramePr>
        <xdr:cNvPr id="6" name="Chart 6" title="Graphiqu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21</xdr:col>
      <xdr:colOff>1051486</xdr:colOff>
      <xdr:row>75</xdr:row>
      <xdr:rowOff>108884</xdr:rowOff>
    </xdr:from>
    <xdr:ext cx="5715000" cy="3533775"/>
    <xdr:graphicFrame macro="">
      <xdr:nvGraphicFramePr>
        <xdr:cNvPr id="7" name="Chart 7" title="Graphiqu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28</xdr:col>
      <xdr:colOff>2835836</xdr:colOff>
      <xdr:row>78</xdr:row>
      <xdr:rowOff>35485</xdr:rowOff>
    </xdr:from>
    <xdr:ext cx="5715000" cy="3533775"/>
    <xdr:graphicFrame macro="">
      <xdr:nvGraphicFramePr>
        <xdr:cNvPr id="8" name="Chart 8" title="Graphiqu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32</xdr:col>
      <xdr:colOff>748553</xdr:colOff>
      <xdr:row>79</xdr:row>
      <xdr:rowOff>31563</xdr:rowOff>
    </xdr:from>
    <xdr:ext cx="5715000" cy="3533775"/>
    <xdr:graphicFrame macro="">
      <xdr:nvGraphicFramePr>
        <xdr:cNvPr id="9" name="Chart 9" title="Graphiqu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17</xdr:col>
      <xdr:colOff>1402230</xdr:colOff>
      <xdr:row>78</xdr:row>
      <xdr:rowOff>11019</xdr:rowOff>
    </xdr:from>
    <xdr:ext cx="5715000" cy="3533775"/>
    <xdr:graphicFrame macro="">
      <xdr:nvGraphicFramePr>
        <xdr:cNvPr id="10" name="Chart 10" title="Graphiqu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24</xdr:col>
      <xdr:colOff>1631763</xdr:colOff>
      <xdr:row>71</xdr:row>
      <xdr:rowOff>115607</xdr:rowOff>
    </xdr:from>
    <xdr:ext cx="5715000" cy="3533775"/>
    <xdr:graphicFrame macro="">
      <xdr:nvGraphicFramePr>
        <xdr:cNvPr id="11" name="Chart 11" title="Graphiqu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866775</xdr:colOff>
      <xdr:row>2</xdr:row>
      <xdr:rowOff>38100</xdr:rowOff>
    </xdr:from>
    <xdr:ext cx="5715000" cy="3533775"/>
    <xdr:graphicFrame macro="">
      <xdr:nvGraphicFramePr>
        <xdr:cNvPr id="12" name="Chart 12" title="Graphique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T87"/>
  <sheetViews>
    <sheetView tabSelected="1" zoomScale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W49" sqref="W49"/>
    </sheetView>
  </sheetViews>
  <sheetFormatPr baseColWidth="10" defaultColWidth="12.6640625" defaultRowHeight="15.75" customHeight="1" x14ac:dyDescent="0.15"/>
  <cols>
    <col min="2" max="2" width="30.83203125" customWidth="1"/>
    <col min="3" max="3" width="25.6640625" customWidth="1"/>
    <col min="7" max="8" width="23" customWidth="1"/>
    <col min="9" max="9" width="26" customWidth="1"/>
    <col min="10" max="10" width="27.5" customWidth="1"/>
    <col min="12" max="12" width="26.6640625" customWidth="1"/>
    <col min="13" max="14" width="24.1640625" customWidth="1"/>
    <col min="15" max="15" width="29.83203125" customWidth="1"/>
    <col min="16" max="16" width="23" customWidth="1"/>
    <col min="17" max="17" width="24.1640625" customWidth="1"/>
    <col min="18" max="18" width="22.6640625" customWidth="1"/>
    <col min="19" max="22" width="19.6640625" customWidth="1"/>
    <col min="23" max="23" width="24.5" customWidth="1"/>
    <col min="24" max="26" width="28.33203125" customWidth="1"/>
    <col min="27" max="27" width="18.83203125" customWidth="1"/>
    <col min="28" max="28" width="29.5" customWidth="1"/>
    <col min="29" max="29" width="43.5" customWidth="1"/>
    <col min="30" max="30" width="14.83203125" customWidth="1"/>
    <col min="33" max="33" width="31.5" customWidth="1"/>
    <col min="34" max="36" width="23.6640625" customWidth="1"/>
    <col min="37" max="37" width="40.83203125" customWidth="1"/>
    <col min="38" max="38" width="31" customWidth="1"/>
    <col min="39" max="43" width="30" customWidth="1"/>
    <col min="44" max="44" width="30.5" customWidth="1"/>
    <col min="45" max="50" width="37.1640625" customWidth="1"/>
    <col min="51" max="51" width="62.1640625" customWidth="1"/>
    <col min="52" max="52" width="37.1640625" customWidth="1"/>
    <col min="53" max="53" width="49.5" customWidth="1"/>
    <col min="62" max="62" width="18.5" customWidth="1"/>
  </cols>
  <sheetData>
    <row r="1" spans="1:72" ht="15.7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/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/>
      <c r="AP1" s="3" t="s">
        <v>38</v>
      </c>
      <c r="AR1" s="3" t="s">
        <v>39</v>
      </c>
      <c r="AS1" s="3" t="s">
        <v>40</v>
      </c>
      <c r="AT1" s="3" t="s">
        <v>41</v>
      </c>
      <c r="AU1" s="3" t="s">
        <v>42</v>
      </c>
      <c r="AV1" s="3" t="s">
        <v>43</v>
      </c>
      <c r="AW1" s="3"/>
      <c r="AX1" s="3" t="s">
        <v>44</v>
      </c>
      <c r="AY1" s="3" t="s">
        <v>45</v>
      </c>
      <c r="AZ1" s="3" t="s">
        <v>46</v>
      </c>
      <c r="BA1" s="3" t="s">
        <v>47</v>
      </c>
      <c r="BB1" s="3" t="s">
        <v>48</v>
      </c>
      <c r="BC1" s="3" t="s">
        <v>49</v>
      </c>
      <c r="BD1" s="3" t="s">
        <v>50</v>
      </c>
      <c r="BE1" s="3" t="s">
        <v>51</v>
      </c>
      <c r="BF1" s="3" t="s">
        <v>52</v>
      </c>
      <c r="BG1" s="3" t="s">
        <v>53</v>
      </c>
      <c r="BH1" s="3" t="s">
        <v>54</v>
      </c>
      <c r="BI1" s="3" t="s">
        <v>11</v>
      </c>
      <c r="BJ1" s="3" t="s">
        <v>55</v>
      </c>
      <c r="BK1" s="3"/>
    </row>
    <row r="2" spans="1:72" ht="15.75" customHeight="1" x14ac:dyDescent="0.15">
      <c r="A2" s="2" t="s">
        <v>56</v>
      </c>
      <c r="B2" s="46">
        <v>132</v>
      </c>
      <c r="C2" s="4">
        <v>3</v>
      </c>
      <c r="D2" s="4">
        <v>0.20000000000000101</v>
      </c>
      <c r="E2" s="4">
        <v>0.65</v>
      </c>
      <c r="F2" s="4">
        <v>0.23</v>
      </c>
      <c r="G2" s="4">
        <f>F2*E2*D2*B2</f>
        <v>3.9468000000000205</v>
      </c>
      <c r="H2" s="4"/>
      <c r="I2" s="3">
        <v>81</v>
      </c>
      <c r="J2" s="3">
        <v>148</v>
      </c>
      <c r="K2" s="5">
        <f t="shared" ref="K2:K39" si="0">I2/J2*100</f>
        <v>54.729729729729726</v>
      </c>
      <c r="L2" s="3">
        <v>1884</v>
      </c>
      <c r="M2" s="5">
        <f>(L2*G2)/(N2*1000)*100</f>
        <v>4.3013698630137203</v>
      </c>
      <c r="N2" s="5">
        <f>(G2*8760)/(D2*1000)</f>
        <v>172.86984000000004</v>
      </c>
      <c r="O2" s="5">
        <f t="shared" ref="O2:O39" si="1">(1+0.762*0.238)/(K2/100)*100</f>
        <v>215.85270123456795</v>
      </c>
      <c r="P2" s="3">
        <v>2.2200000000000002</v>
      </c>
      <c r="Q2" s="3">
        <v>1591</v>
      </c>
      <c r="R2" s="3">
        <f t="shared" ref="R2:R39" si="2">(8760*AA2)</f>
        <v>716.17613506730549</v>
      </c>
      <c r="S2" s="22">
        <f>100*Q2/(P2*8765.81277)</f>
        <v>8.1757012780306795</v>
      </c>
      <c r="T2" s="3">
        <f t="shared" ref="T2:T39" si="3">Q2/8760</f>
        <v>0.18162100456621005</v>
      </c>
      <c r="U2" s="3">
        <f>(Q2*10^9)/(B2*365*24*0.2*0.85)</f>
        <v>8093627.6544656884</v>
      </c>
      <c r="W2" s="5">
        <f t="shared" ref="W2:W39" si="4">T2*10^9/U2</f>
        <v>22.44</v>
      </c>
      <c r="X2" s="3">
        <f t="shared" ref="X2:X6" si="5">W2*AA2</f>
        <v>1.834588181610769</v>
      </c>
      <c r="Y2" s="3">
        <f>X2*365*24*10^-6</f>
        <v>1.6070992470910334E-2</v>
      </c>
      <c r="Z2" s="3"/>
      <c r="AA2" s="5">
        <f>(Q2)/(P2*24*365.25)</f>
        <v>8.1755266560194689E-2</v>
      </c>
      <c r="AB2" s="5">
        <f t="shared" ref="AB2:AB39" si="6">L2/(24*365.25)*100</f>
        <v>21.492128678986997</v>
      </c>
      <c r="AC2" s="5">
        <f>B2*D2*(0.8*E2)*0.01</f>
        <v>0.13728000000000071</v>
      </c>
      <c r="AD2" s="3">
        <v>272</v>
      </c>
      <c r="AE2" s="5">
        <f>AD2*0.19</f>
        <v>51.68</v>
      </c>
      <c r="AF2" s="5">
        <f>AX2*0.19</f>
        <v>430.92</v>
      </c>
      <c r="AG2" s="3">
        <f>AL2/AD2*10^-3</f>
        <v>4.1457430000000003E-2</v>
      </c>
      <c r="AH2" s="3">
        <f>AG2/(365*24)*10^6</f>
        <v>4.7325833333333334</v>
      </c>
      <c r="AI2" s="3">
        <f>AH2</f>
        <v>4.7325833333333334</v>
      </c>
      <c r="AJ2" s="3">
        <f t="shared" ref="AJ2:AJ39" si="7">AI2*8760*10^-6</f>
        <v>4.1457429999999997E-2</v>
      </c>
      <c r="AK2" s="3">
        <v>2.9889999999999999</v>
      </c>
      <c r="AL2" s="5">
        <f>AK2*AE2*365*0.2</f>
        <v>11276.420960000001</v>
      </c>
      <c r="AM2" s="3">
        <v>1351</v>
      </c>
      <c r="AN2" s="3">
        <f t="shared" ref="AN2:AN39" si="8">AL2*10^3/8760</f>
        <v>1287.2626666666667</v>
      </c>
      <c r="AP2" s="3">
        <f t="shared" ref="AP2:AP39" si="9">AN2/AF2</f>
        <v>2.9872427983539094</v>
      </c>
      <c r="AQ2" s="3"/>
      <c r="AR2" s="5">
        <f t="shared" ref="AR2:AR39" si="10">(AE2*B2*0.2)/1000</f>
        <v>1.364352</v>
      </c>
      <c r="AS2" s="3">
        <v>374</v>
      </c>
      <c r="AT2" s="3">
        <f t="shared" ref="AT2:AT39" si="11">AS2/(AR2*8760)*100</f>
        <v>3.129255787871505</v>
      </c>
      <c r="AU2" s="3">
        <f t="shared" ref="AU2:AU39" si="12">AS2*10^3/8760</f>
        <v>42.694063926940636</v>
      </c>
      <c r="AV2" s="3">
        <f t="shared" ref="AV2:AV39" si="13">AU2/AE2</f>
        <v>0.82612352799807731</v>
      </c>
      <c r="AX2" s="3">
        <v>2268</v>
      </c>
      <c r="AY2" s="3">
        <v>7.6</v>
      </c>
      <c r="AZ2" s="3">
        <f t="shared" ref="AZ2:AZ39" si="14">AS2/(AY2*1000)</f>
        <v>4.9210526315789475E-2</v>
      </c>
      <c r="BA2" s="5">
        <f t="shared" ref="BA2:BA39" si="15">(AY2*(1-AZ2)*(1+0.25*0.75))/(G2*K2)*100</f>
        <v>3.972493108966519</v>
      </c>
      <c r="BB2" s="3">
        <v>2.54</v>
      </c>
      <c r="BC2" s="3">
        <v>218.5</v>
      </c>
      <c r="BD2" s="3">
        <v>181.5</v>
      </c>
      <c r="BE2" s="3">
        <v>2.34</v>
      </c>
      <c r="BF2" s="5">
        <f t="shared" ref="BF2:BF7" si="16">(BE2*BD2)/(BC2*BB2)</f>
        <v>0.765257031658228</v>
      </c>
      <c r="BG2" s="3">
        <v>2.4700000000000002</v>
      </c>
      <c r="BH2" s="5">
        <f t="shared" ref="BH2:BH7" si="17">1000*BG2</f>
        <v>2470</v>
      </c>
      <c r="BI2" s="5">
        <f t="shared" ref="BI2:BI7" si="18">(BC2*BB2*BF2)/BH2*100</f>
        <v>17.194736842105264</v>
      </c>
      <c r="BJ2" s="3" t="s">
        <v>57</v>
      </c>
      <c r="BS2" s="10">
        <v>1591</v>
      </c>
      <c r="BT2" s="40" t="s">
        <v>294</v>
      </c>
    </row>
    <row r="3" spans="1:72" ht="15.75" customHeight="1" x14ac:dyDescent="0.15">
      <c r="A3" s="2" t="s">
        <v>58</v>
      </c>
      <c r="B3" s="46">
        <v>119</v>
      </c>
      <c r="C3" s="4">
        <v>4</v>
      </c>
      <c r="D3" s="4">
        <v>0.20000000000000101</v>
      </c>
      <c r="E3" s="4">
        <v>0.65</v>
      </c>
      <c r="F3" s="4">
        <v>0.23</v>
      </c>
      <c r="G3" s="4">
        <f t="shared" ref="G3" si="19">F3*E3*D3*B3</f>
        <v>3.5581000000000187</v>
      </c>
      <c r="H3" s="4"/>
      <c r="I3" s="3">
        <v>48</v>
      </c>
      <c r="J3" s="3">
        <v>126</v>
      </c>
      <c r="K3" s="5">
        <f t="shared" si="0"/>
        <v>38.095238095238095</v>
      </c>
      <c r="L3" s="3">
        <v>1546</v>
      </c>
      <c r="M3" s="5">
        <f t="shared" ref="M3:M39" si="20">(L3*G3)/(N3*1000)*100</f>
        <v>3.5296803652968216</v>
      </c>
      <c r="N3" s="5">
        <f t="shared" ref="N3:N39" si="21">(G3*8760)/(D3*1000)</f>
        <v>155.84478000000001</v>
      </c>
      <c r="O3" s="5">
        <f t="shared" si="1"/>
        <v>310.10595000000001</v>
      </c>
      <c r="P3" s="3">
        <v>5.65</v>
      </c>
      <c r="Q3" s="3">
        <v>5137</v>
      </c>
      <c r="R3" s="3">
        <f t="shared" si="2"/>
        <v>908.5812239162168</v>
      </c>
      <c r="S3" s="5">
        <f>100*Q3/(P3*8765.81277)</f>
        <v>10.372153315145569</v>
      </c>
      <c r="T3" s="3">
        <f t="shared" si="3"/>
        <v>0.58641552511415529</v>
      </c>
      <c r="U3" s="3">
        <f t="shared" ref="U3:U39" si="22">(Q3*10^9)/(B3*365*24*0.2*0.85)</f>
        <v>28987420.915183157</v>
      </c>
      <c r="W3" s="5">
        <f t="shared" si="4"/>
        <v>20.23</v>
      </c>
      <c r="X3" s="3">
        <f t="shared" si="5"/>
        <v>2.0982417990667885</v>
      </c>
      <c r="Y3" s="3">
        <f t="shared" ref="Y3:Y39" si="23">X3*365*24*10^-6</f>
        <v>1.8380598159825068E-2</v>
      </c>
      <c r="Z3" s="3"/>
      <c r="AA3" s="5">
        <f t="shared" ref="AA3:AA39" si="24">(Q3)/(P3*24*365.25)</f>
        <v>0.10371931779865488</v>
      </c>
      <c r="AB3" s="5">
        <f t="shared" si="6"/>
        <v>17.63632215377595</v>
      </c>
      <c r="AC3" s="5">
        <f t="shared" ref="AC3" si="25">B3*D3*(0.8*E3)*0.01</f>
        <v>0.12376000000000063</v>
      </c>
      <c r="AD3" s="3">
        <v>359</v>
      </c>
      <c r="AE3" s="5">
        <f>AD3*0.19</f>
        <v>68.209999999999994</v>
      </c>
      <c r="AF3" s="5">
        <f t="shared" ref="AF3:AF39" si="26">AX3*0.19</f>
        <v>737.01</v>
      </c>
      <c r="AG3" s="3">
        <f t="shared" ref="AG3:AG38" si="27">AL3/AD3*10^-3</f>
        <v>4.1041329999999994E-2</v>
      </c>
      <c r="AH3" s="3">
        <f t="shared" ref="AH3:AH39" si="28">AG3/(365*24)*10^6</f>
        <v>4.685083333333333</v>
      </c>
      <c r="AI3" s="10">
        <f t="shared" ref="AI3:AI39" si="29">AH3</f>
        <v>4.685083333333333</v>
      </c>
      <c r="AJ3" s="3">
        <f t="shared" si="7"/>
        <v>4.1041329999999994E-2</v>
      </c>
      <c r="AK3" s="3">
        <v>2.9590000000000001</v>
      </c>
      <c r="AL3" s="5">
        <f t="shared" ref="AL3:AL39" si="30">AK3*AE3*365*0.2</f>
        <v>14733.837469999999</v>
      </c>
      <c r="AM3" s="3">
        <v>3946</v>
      </c>
      <c r="AN3" s="3">
        <f t="shared" si="8"/>
        <v>1681.9449166666666</v>
      </c>
      <c r="AP3" s="3">
        <f t="shared" si="9"/>
        <v>2.2821195325255648</v>
      </c>
      <c r="AQ3" s="3"/>
      <c r="AR3" s="5">
        <f t="shared" si="10"/>
        <v>1.6233979999999999</v>
      </c>
      <c r="AS3" s="3">
        <v>847</v>
      </c>
      <c r="AT3" s="3">
        <f t="shared" si="11"/>
        <v>5.9559946308234322</v>
      </c>
      <c r="AU3" s="3">
        <f t="shared" si="12"/>
        <v>96.689497716894977</v>
      </c>
      <c r="AV3" s="3">
        <f t="shared" si="13"/>
        <v>1.4175267221359769</v>
      </c>
      <c r="AW3" s="3"/>
      <c r="AX3" s="3">
        <v>3879</v>
      </c>
      <c r="AY3" s="3">
        <v>8.1999999999999993</v>
      </c>
      <c r="AZ3" s="3">
        <f t="shared" si="14"/>
        <v>0.10329268292682926</v>
      </c>
      <c r="BA3" s="5">
        <f t="shared" si="15"/>
        <v>6.4418312266377775</v>
      </c>
      <c r="BB3" s="3">
        <v>2.54</v>
      </c>
      <c r="BC3" s="3">
        <v>219.2</v>
      </c>
      <c r="BD3" s="3">
        <v>182.6</v>
      </c>
      <c r="BE3" s="3">
        <v>2.36</v>
      </c>
      <c r="BF3" s="5">
        <f t="shared" si="16"/>
        <v>0.77399563193286958</v>
      </c>
      <c r="BG3" s="3">
        <v>2.4700000000000002</v>
      </c>
      <c r="BH3" s="5">
        <f t="shared" si="17"/>
        <v>2470</v>
      </c>
      <c r="BI3" s="5">
        <f t="shared" si="18"/>
        <v>17.446801619433199</v>
      </c>
      <c r="BJ3" s="3" t="s">
        <v>59</v>
      </c>
      <c r="BS3" s="10">
        <v>5137</v>
      </c>
      <c r="BT3" s="40" t="s">
        <v>294</v>
      </c>
    </row>
    <row r="4" spans="1:72" ht="15.75" customHeight="1" x14ac:dyDescent="0.15">
      <c r="A4" s="2" t="s">
        <v>60</v>
      </c>
      <c r="B4" s="46">
        <v>209</v>
      </c>
      <c r="C4" s="4">
        <v>7</v>
      </c>
      <c r="D4" s="4">
        <v>0.2</v>
      </c>
      <c r="E4" s="4">
        <v>0.6</v>
      </c>
      <c r="F4" s="4">
        <v>0.34</v>
      </c>
      <c r="G4" s="4">
        <f>F4*E4*$D$3*B4</f>
        <v>8.527200000000045</v>
      </c>
      <c r="H4" s="4"/>
      <c r="I4" s="3">
        <v>220</v>
      </c>
      <c r="J4" s="3">
        <v>243</v>
      </c>
      <c r="K4" s="5">
        <f t="shared" si="0"/>
        <v>90.534979423868307</v>
      </c>
      <c r="L4" s="3">
        <v>2237</v>
      </c>
      <c r="M4" s="5">
        <f t="shared" si="20"/>
        <v>5.1073059360730593</v>
      </c>
      <c r="N4" s="5">
        <f t="shared" si="21"/>
        <v>373.49136000000198</v>
      </c>
      <c r="O4" s="5">
        <f t="shared" si="1"/>
        <v>130.48614000000001</v>
      </c>
      <c r="P4" s="3">
        <v>7.88</v>
      </c>
      <c r="Q4" s="3">
        <v>7959</v>
      </c>
      <c r="R4" s="3">
        <f t="shared" si="2"/>
        <v>1009.3340560147594</v>
      </c>
      <c r="S4" s="22">
        <f t="shared" ref="S4:S38" si="31">100*Q4/(P4*8765.81277)</f>
        <v>11.522324366399397</v>
      </c>
      <c r="T4" s="3">
        <f t="shared" si="3"/>
        <v>0.90856164383561644</v>
      </c>
      <c r="U4" s="3">
        <f t="shared" si="22"/>
        <v>25571675.874911807</v>
      </c>
      <c r="W4" s="5">
        <f t="shared" si="4"/>
        <v>35.53</v>
      </c>
      <c r="X4" s="3">
        <f t="shared" si="5"/>
        <v>4.0937944075575805</v>
      </c>
      <c r="Y4" s="3">
        <f t="shared" si="23"/>
        <v>3.5861639010204407E-2</v>
      </c>
      <c r="Z4" s="3"/>
      <c r="AA4" s="5">
        <f t="shared" si="24"/>
        <v>0.11522078265008669</v>
      </c>
      <c r="AB4" s="5">
        <f t="shared" si="6"/>
        <v>25.519050878393795</v>
      </c>
      <c r="AC4" s="5">
        <f>B4*D4*(0.8*E4)*0.02</f>
        <v>0.40128000000000003</v>
      </c>
      <c r="AD4" s="3">
        <v>255</v>
      </c>
      <c r="AE4" s="5">
        <f t="shared" ref="AE4:AE39" si="32">AD4*0.19</f>
        <v>48.45</v>
      </c>
      <c r="AF4" s="5">
        <f t="shared" si="26"/>
        <v>9369.4699999999993</v>
      </c>
      <c r="AG4" s="3">
        <f t="shared" si="27"/>
        <v>8.0709530000000015E-2</v>
      </c>
      <c r="AH4" s="3">
        <f t="shared" si="28"/>
        <v>9.213416666666669</v>
      </c>
      <c r="AI4" s="10">
        <f t="shared" si="29"/>
        <v>9.213416666666669</v>
      </c>
      <c r="AJ4" s="3">
        <f t="shared" si="7"/>
        <v>8.0709530000000029E-2</v>
      </c>
      <c r="AK4" s="3">
        <v>5.819</v>
      </c>
      <c r="AL4" s="5">
        <f t="shared" si="30"/>
        <v>20580.930150000004</v>
      </c>
      <c r="AM4" s="3">
        <v>5562</v>
      </c>
      <c r="AN4" s="3">
        <f t="shared" si="8"/>
        <v>2349.4212500000003</v>
      </c>
      <c r="AP4" s="3">
        <f t="shared" si="9"/>
        <v>0.25075284407762666</v>
      </c>
      <c r="AQ4" s="3"/>
      <c r="AR4" s="5">
        <f t="shared" si="10"/>
        <v>2.0252100000000004</v>
      </c>
      <c r="AS4" s="3">
        <v>65</v>
      </c>
      <c r="AT4" s="3">
        <f t="shared" si="11"/>
        <v>0.36638626731059554</v>
      </c>
      <c r="AU4" s="3">
        <f t="shared" si="12"/>
        <v>7.4200913242009134</v>
      </c>
      <c r="AV4" s="3">
        <f t="shared" si="13"/>
        <v>0.15314945973582897</v>
      </c>
      <c r="AW4" s="3"/>
      <c r="AX4" s="3">
        <v>49313</v>
      </c>
      <c r="AY4" s="3">
        <v>2.6</v>
      </c>
      <c r="AZ4" s="3">
        <f t="shared" si="14"/>
        <v>2.5000000000000001E-2</v>
      </c>
      <c r="BA4" s="5">
        <f t="shared" si="15"/>
        <v>0.3899318637578979</v>
      </c>
      <c r="BB4" s="3">
        <v>2.5499999999999998</v>
      </c>
      <c r="BC4" s="3">
        <v>219.6</v>
      </c>
      <c r="BD4" s="3">
        <v>183.6</v>
      </c>
      <c r="BE4" s="3">
        <v>2.37</v>
      </c>
      <c r="BF4" s="5">
        <f t="shared" si="16"/>
        <v>0.77704918032786896</v>
      </c>
      <c r="BG4" s="3">
        <v>2.4700000000000002</v>
      </c>
      <c r="BH4" s="5">
        <f t="shared" si="17"/>
        <v>2470</v>
      </c>
      <c r="BI4" s="5">
        <f t="shared" si="18"/>
        <v>17.616680161943322</v>
      </c>
      <c r="BJ4" s="3" t="s">
        <v>61</v>
      </c>
      <c r="BS4" s="10">
        <v>7959</v>
      </c>
      <c r="BT4" s="40" t="s">
        <v>294</v>
      </c>
    </row>
    <row r="5" spans="1:72" ht="15.75" customHeight="1" x14ac:dyDescent="0.15">
      <c r="A5" s="2" t="s">
        <v>62</v>
      </c>
      <c r="B5" s="46">
        <v>155</v>
      </c>
      <c r="C5" s="4">
        <v>2</v>
      </c>
      <c r="D5" s="4">
        <v>0.2</v>
      </c>
      <c r="E5" s="4">
        <v>0.65</v>
      </c>
      <c r="F5" s="4">
        <v>0.23</v>
      </c>
      <c r="G5" s="4">
        <f t="shared" ref="G5:G7" si="33">F5*E5*D5*B5</f>
        <v>4.634500000000001</v>
      </c>
      <c r="H5" s="4"/>
      <c r="I5" s="3">
        <v>108</v>
      </c>
      <c r="J5" s="3">
        <v>174</v>
      </c>
      <c r="K5" s="5">
        <f t="shared" si="0"/>
        <v>62.068965517241381</v>
      </c>
      <c r="L5" s="3">
        <v>2177</v>
      </c>
      <c r="M5" s="5">
        <f t="shared" si="20"/>
        <v>4.9703196347031966</v>
      </c>
      <c r="N5" s="5">
        <f t="shared" si="21"/>
        <v>202.99110000000005</v>
      </c>
      <c r="O5" s="5">
        <f t="shared" si="1"/>
        <v>190.32957777777779</v>
      </c>
      <c r="P5" s="3">
        <v>1.07</v>
      </c>
      <c r="Q5" s="3">
        <v>1497</v>
      </c>
      <c r="R5" s="3">
        <f t="shared" si="2"/>
        <v>1398.1078124700148</v>
      </c>
      <c r="S5" s="22">
        <f t="shared" si="31"/>
        <v>15.960475739898191</v>
      </c>
      <c r="T5" s="3">
        <f t="shared" si="3"/>
        <v>0.17089041095890412</v>
      </c>
      <c r="U5" s="3">
        <f t="shared" si="22"/>
        <v>6485404.5904707443</v>
      </c>
      <c r="W5" s="5">
        <f t="shared" si="4"/>
        <v>26.35</v>
      </c>
      <c r="X5" s="3">
        <f t="shared" si="5"/>
        <v>4.2054955318019278</v>
      </c>
      <c r="Y5" s="3">
        <f t="shared" si="23"/>
        <v>3.6840140858584884E-2</v>
      </c>
      <c r="Z5" s="3"/>
      <c r="AA5" s="5">
        <f t="shared" si="24"/>
        <v>0.15960134845548113</v>
      </c>
      <c r="AB5" s="5">
        <f t="shared" si="6"/>
        <v>24.834588181610769</v>
      </c>
      <c r="AC5" s="5">
        <f t="shared" ref="AC5:AC16" si="34">B5*D5*(0.8*E5)*0.01</f>
        <v>0.16120000000000001</v>
      </c>
      <c r="AD5" s="3">
        <v>354</v>
      </c>
      <c r="AE5" s="5">
        <f t="shared" si="32"/>
        <v>67.260000000000005</v>
      </c>
      <c r="AF5" s="5">
        <f t="shared" si="26"/>
        <v>500.65000000000003</v>
      </c>
      <c r="AG5" s="3">
        <f t="shared" si="27"/>
        <v>5.305275000000001E-2</v>
      </c>
      <c r="AH5" s="3">
        <f t="shared" si="28"/>
        <v>6.0562500000000012</v>
      </c>
      <c r="AI5" s="10">
        <f t="shared" si="29"/>
        <v>6.0562500000000012</v>
      </c>
      <c r="AJ5" s="3">
        <f t="shared" si="7"/>
        <v>5.3052750000000003E-2</v>
      </c>
      <c r="AK5" s="3">
        <v>3.8250000000000002</v>
      </c>
      <c r="AL5" s="5">
        <f t="shared" si="30"/>
        <v>18780.673500000004</v>
      </c>
      <c r="AM5" s="3">
        <v>1830</v>
      </c>
      <c r="AN5" s="3">
        <f t="shared" si="8"/>
        <v>2143.9125000000004</v>
      </c>
      <c r="AP5" s="3">
        <f t="shared" si="9"/>
        <v>4.2822580645161299</v>
      </c>
      <c r="AQ5" s="3"/>
      <c r="AR5" s="5">
        <f t="shared" si="10"/>
        <v>2.0850600000000004</v>
      </c>
      <c r="AS5" s="3">
        <v>648</v>
      </c>
      <c r="AT5" s="3">
        <f t="shared" si="11"/>
        <v>3.547744560814845</v>
      </c>
      <c r="AU5" s="3">
        <f t="shared" si="12"/>
        <v>73.972602739726028</v>
      </c>
      <c r="AV5" s="3">
        <f t="shared" si="13"/>
        <v>1.0998008138526021</v>
      </c>
      <c r="AW5" s="3"/>
      <c r="AX5" s="3">
        <v>2635</v>
      </c>
      <c r="AY5" s="3">
        <v>4.9000000000000004</v>
      </c>
      <c r="AZ5" s="3">
        <f t="shared" si="14"/>
        <v>0.13224489795918368</v>
      </c>
      <c r="BA5" s="5">
        <f t="shared" si="15"/>
        <v>1.7552924323611556</v>
      </c>
      <c r="BB5" s="3">
        <v>2.5499999999999998</v>
      </c>
      <c r="BC5" s="3">
        <v>220</v>
      </c>
      <c r="BD5" s="3">
        <v>184.7</v>
      </c>
      <c r="BE5" s="3">
        <v>2.38</v>
      </c>
      <c r="BF5" s="5">
        <f t="shared" si="16"/>
        <v>0.78357575757575748</v>
      </c>
      <c r="BG5" s="3">
        <v>2.4700000000000002</v>
      </c>
      <c r="BH5" s="5">
        <f t="shared" si="17"/>
        <v>2470</v>
      </c>
      <c r="BI5" s="5">
        <f t="shared" si="18"/>
        <v>17.797004048582991</v>
      </c>
      <c r="BJ5" s="3" t="s">
        <v>63</v>
      </c>
      <c r="BS5" s="10">
        <v>1497</v>
      </c>
      <c r="BT5" s="40" t="s">
        <v>294</v>
      </c>
    </row>
    <row r="6" spans="1:72" ht="15.75" customHeight="1" x14ac:dyDescent="0.15">
      <c r="A6" s="2" t="s">
        <v>64</v>
      </c>
      <c r="B6" s="46">
        <v>117</v>
      </c>
      <c r="C6" s="4">
        <v>15</v>
      </c>
      <c r="D6" s="4">
        <v>0.20000000000000101</v>
      </c>
      <c r="E6" s="4">
        <v>0.65</v>
      </c>
      <c r="F6" s="4">
        <v>0.17</v>
      </c>
      <c r="G6" s="4">
        <f t="shared" si="33"/>
        <v>2.5857000000000134</v>
      </c>
      <c r="H6" s="4"/>
      <c r="I6" s="3">
        <v>81</v>
      </c>
      <c r="J6" s="3">
        <v>153</v>
      </c>
      <c r="K6" s="5">
        <f t="shared" si="0"/>
        <v>52.941176470588239</v>
      </c>
      <c r="L6" s="3">
        <v>2027</v>
      </c>
      <c r="M6" s="5">
        <f t="shared" si="20"/>
        <v>4.6278538812785621</v>
      </c>
      <c r="N6" s="5">
        <f t="shared" si="21"/>
        <v>113.25366</v>
      </c>
      <c r="O6" s="5">
        <f t="shared" si="1"/>
        <v>223.14502222222222</v>
      </c>
      <c r="P6" s="3">
        <v>3.33</v>
      </c>
      <c r="Q6" s="3">
        <v>4424</v>
      </c>
      <c r="R6" s="3">
        <f t="shared" si="2"/>
        <v>1327.6192003091387</v>
      </c>
      <c r="S6" s="22">
        <f t="shared" si="31"/>
        <v>15.155794030591968</v>
      </c>
      <c r="T6" s="3">
        <f t="shared" si="3"/>
        <v>0.50502283105022827</v>
      </c>
      <c r="U6" s="3">
        <f t="shared" si="22"/>
        <v>25390790.902475029</v>
      </c>
      <c r="W6" s="5">
        <f t="shared" si="4"/>
        <v>19.889999999999997</v>
      </c>
      <c r="X6" s="3">
        <f t="shared" si="5"/>
        <v>3.0144230472772562</v>
      </c>
      <c r="Y6" s="3">
        <f t="shared" si="23"/>
        <v>2.640634589414876E-2</v>
      </c>
      <c r="Z6" s="3"/>
      <c r="AA6" s="5">
        <f t="shared" si="24"/>
        <v>0.15155470323163683</v>
      </c>
      <c r="AB6" s="5">
        <f t="shared" si="6"/>
        <v>23.123431439653206</v>
      </c>
      <c r="AC6" s="5">
        <f t="shared" si="34"/>
        <v>0.12168000000000063</v>
      </c>
      <c r="AD6" s="3">
        <v>363</v>
      </c>
      <c r="AE6" s="5">
        <f t="shared" si="32"/>
        <v>68.97</v>
      </c>
      <c r="AF6" s="5">
        <f t="shared" si="26"/>
        <v>2321.9900000000002</v>
      </c>
      <c r="AG6" s="3">
        <f t="shared" si="27"/>
        <v>4.4980409999999998E-2</v>
      </c>
      <c r="AH6" s="3">
        <f t="shared" si="28"/>
        <v>5.1347499999999995</v>
      </c>
      <c r="AI6" s="10">
        <f t="shared" si="29"/>
        <v>5.1347499999999995</v>
      </c>
      <c r="AJ6" s="3">
        <f t="shared" si="7"/>
        <v>4.4980409999999992E-2</v>
      </c>
      <c r="AK6" s="3">
        <v>3.2429999999999999</v>
      </c>
      <c r="AL6" s="5">
        <f t="shared" si="30"/>
        <v>16327.88883</v>
      </c>
      <c r="AM6" s="3">
        <v>4314</v>
      </c>
      <c r="AN6" s="3">
        <f t="shared" si="8"/>
        <v>1863.91425</v>
      </c>
      <c r="AP6" s="3">
        <f t="shared" si="9"/>
        <v>0.80272277227722766</v>
      </c>
      <c r="AQ6" s="3"/>
      <c r="AR6" s="5">
        <f t="shared" si="10"/>
        <v>1.6138980000000001</v>
      </c>
      <c r="AS6" s="3">
        <v>286</v>
      </c>
      <c r="AT6" s="3">
        <f t="shared" si="11"/>
        <v>2.0229532366038012</v>
      </c>
      <c r="AU6" s="3">
        <f t="shared" si="12"/>
        <v>32.648401826484019</v>
      </c>
      <c r="AV6" s="3">
        <f t="shared" si="13"/>
        <v>0.47337105736528956</v>
      </c>
      <c r="AW6" s="3"/>
      <c r="AX6" s="3">
        <v>12221</v>
      </c>
      <c r="AY6" s="3">
        <v>16.899999999999999</v>
      </c>
      <c r="AZ6" s="3">
        <f t="shared" si="14"/>
        <v>1.6923076923076923E-2</v>
      </c>
      <c r="BA6" s="5">
        <f t="shared" si="15"/>
        <v>14.412393162393084</v>
      </c>
      <c r="BB6" s="3">
        <v>2.56</v>
      </c>
      <c r="BC6" s="3">
        <v>220.4</v>
      </c>
      <c r="BD6" s="3">
        <v>185.7</v>
      </c>
      <c r="BE6" s="3">
        <v>2.4</v>
      </c>
      <c r="BF6" s="5">
        <f t="shared" si="16"/>
        <v>0.78989904718693271</v>
      </c>
      <c r="BG6" s="3">
        <v>2.4700000000000002</v>
      </c>
      <c r="BH6" s="5">
        <f t="shared" si="17"/>
        <v>2470</v>
      </c>
      <c r="BI6" s="5">
        <f t="shared" si="18"/>
        <v>18.043724696356271</v>
      </c>
      <c r="BJ6" s="3" t="s">
        <v>65</v>
      </c>
      <c r="BS6" s="10">
        <v>4424</v>
      </c>
      <c r="BT6" s="40" t="s">
        <v>294</v>
      </c>
    </row>
    <row r="7" spans="1:72" ht="15.75" customHeight="1" x14ac:dyDescent="0.15">
      <c r="A7" s="2" t="s">
        <v>66</v>
      </c>
      <c r="B7" s="46">
        <v>179</v>
      </c>
      <c r="C7" s="4">
        <v>14</v>
      </c>
      <c r="D7" s="4">
        <v>0.2</v>
      </c>
      <c r="E7" s="4">
        <v>0.65</v>
      </c>
      <c r="F7" s="4">
        <v>0.23</v>
      </c>
      <c r="G7" s="4">
        <f t="shared" si="33"/>
        <v>5.352100000000001</v>
      </c>
      <c r="H7" s="4"/>
      <c r="I7" s="3">
        <v>213</v>
      </c>
      <c r="J7" s="3">
        <v>224</v>
      </c>
      <c r="K7" s="5">
        <f t="shared" si="0"/>
        <v>95.089285714285708</v>
      </c>
      <c r="L7" s="3">
        <v>1959</v>
      </c>
      <c r="M7" s="5">
        <f t="shared" si="20"/>
        <v>4.4726027397260273</v>
      </c>
      <c r="N7" s="5">
        <f t="shared" si="21"/>
        <v>234.42198000000005</v>
      </c>
      <c r="O7" s="5">
        <f t="shared" si="1"/>
        <v>124.23649953051645</v>
      </c>
      <c r="P7" s="3">
        <v>253.83</v>
      </c>
      <c r="Q7" s="3">
        <v>261100</v>
      </c>
      <c r="R7" s="3">
        <f t="shared" si="2"/>
        <v>1027.937150021156</v>
      </c>
      <c r="S7" s="22">
        <f>100*Q7/(P7*8765.81277)</f>
        <v>11.734692989139283</v>
      </c>
      <c r="T7" s="3">
        <f t="shared" si="3"/>
        <v>29.80593607305936</v>
      </c>
      <c r="U7" s="3">
        <f t="shared" si="22"/>
        <v>979491819.68647265</v>
      </c>
      <c r="W7" s="5">
        <f t="shared" si="4"/>
        <v>30.429999999999996</v>
      </c>
      <c r="X7" s="3">
        <f t="shared" ref="X7:X10" si="35">W6*AA6</f>
        <v>3.0144230472772562</v>
      </c>
      <c r="Y7" s="3">
        <f t="shared" si="23"/>
        <v>2.640634589414876E-2</v>
      </c>
      <c r="Z7" s="3"/>
      <c r="AA7" s="5">
        <f t="shared" si="24"/>
        <v>0.11734442351839679</v>
      </c>
      <c r="AB7" s="5">
        <f t="shared" si="6"/>
        <v>22.347707049965777</v>
      </c>
      <c r="AC7" s="5">
        <f t="shared" si="34"/>
        <v>0.18616000000000005</v>
      </c>
      <c r="AD7" s="3">
        <v>199</v>
      </c>
      <c r="AE7" s="5">
        <f t="shared" si="32"/>
        <v>37.81</v>
      </c>
      <c r="AF7" s="5">
        <f>AX7*0.19</f>
        <v>50350.95</v>
      </c>
      <c r="AG7" s="3">
        <f t="shared" si="27"/>
        <v>6.9308389999999997E-2</v>
      </c>
      <c r="AH7" s="3">
        <f t="shared" si="28"/>
        <v>7.9119166666666665</v>
      </c>
      <c r="AI7" s="10">
        <f t="shared" si="29"/>
        <v>7.9119166666666665</v>
      </c>
      <c r="AJ7" s="3">
        <f t="shared" si="7"/>
        <v>6.9308389999999997E-2</v>
      </c>
      <c r="AK7" s="3">
        <v>4.9969999999999999</v>
      </c>
      <c r="AL7" s="5">
        <f t="shared" si="30"/>
        <v>13792.369610000002</v>
      </c>
      <c r="AM7" s="3">
        <v>223800</v>
      </c>
      <c r="AN7" s="3">
        <f t="shared" si="8"/>
        <v>1574.4714166666668</v>
      </c>
      <c r="AP7" s="3">
        <f t="shared" si="9"/>
        <v>3.1269944592240403E-2</v>
      </c>
      <c r="AQ7" s="3"/>
      <c r="AR7" s="5">
        <f t="shared" si="10"/>
        <v>1.3535980000000001</v>
      </c>
      <c r="AS7" s="3">
        <v>387</v>
      </c>
      <c r="AT7" s="3">
        <f t="shared" si="11"/>
        <v>3.263752029168248</v>
      </c>
      <c r="AU7" s="3">
        <f t="shared" si="12"/>
        <v>44.178082191780824</v>
      </c>
      <c r="AV7" s="3">
        <f t="shared" si="13"/>
        <v>1.1684232264422327</v>
      </c>
      <c r="AW7" s="3"/>
      <c r="AX7" s="3">
        <v>265005</v>
      </c>
      <c r="AY7" s="3">
        <v>2.8</v>
      </c>
      <c r="AZ7" s="3">
        <f t="shared" si="14"/>
        <v>0.13821428571428571</v>
      </c>
      <c r="BA7" s="5">
        <f t="shared" si="15"/>
        <v>0.5630346668364915</v>
      </c>
      <c r="BB7" s="3">
        <v>2.57</v>
      </c>
      <c r="BC7" s="3">
        <v>221.1</v>
      </c>
      <c r="BD7" s="3">
        <v>186.8</v>
      </c>
      <c r="BE7" s="3">
        <v>2.41</v>
      </c>
      <c r="BF7" s="5">
        <f t="shared" si="16"/>
        <v>0.79226787885827332</v>
      </c>
      <c r="BG7" s="3">
        <v>2.4700000000000002</v>
      </c>
      <c r="BH7" s="5">
        <f t="shared" si="17"/>
        <v>2470</v>
      </c>
      <c r="BI7" s="5">
        <f t="shared" si="18"/>
        <v>18.226234817813765</v>
      </c>
      <c r="BJ7" s="3" t="s">
        <v>67</v>
      </c>
      <c r="BS7" s="10">
        <v>261100</v>
      </c>
      <c r="BT7" s="40" t="s">
        <v>294</v>
      </c>
    </row>
    <row r="8" spans="1:72" ht="15.75" customHeight="1" x14ac:dyDescent="0.15">
      <c r="A8" s="2" t="s">
        <v>68</v>
      </c>
      <c r="B8" s="46">
        <v>248</v>
      </c>
      <c r="C8" s="2" t="s">
        <v>69</v>
      </c>
      <c r="D8" s="4">
        <v>0.2</v>
      </c>
      <c r="E8" s="4">
        <v>0.65</v>
      </c>
      <c r="F8" s="4">
        <v>0.23</v>
      </c>
      <c r="G8" s="4">
        <f>B8*D8*E8*F8</f>
        <v>7.4152000000000005</v>
      </c>
      <c r="H8" s="4"/>
      <c r="I8" s="3">
        <v>151</v>
      </c>
      <c r="J8" s="3">
        <v>248</v>
      </c>
      <c r="K8" s="5">
        <f t="shared" si="0"/>
        <v>60.887096774193552</v>
      </c>
      <c r="L8" s="3">
        <v>3314</v>
      </c>
      <c r="M8" s="5">
        <f t="shared" si="20"/>
        <v>7.5662100456621015</v>
      </c>
      <c r="N8" s="5">
        <f t="shared" si="21"/>
        <v>324.78575999999998</v>
      </c>
      <c r="O8" s="5">
        <f t="shared" si="1"/>
        <v>194.02403178807947</v>
      </c>
      <c r="P8" s="3">
        <v>0.2</v>
      </c>
      <c r="Q8" s="3">
        <v>325</v>
      </c>
      <c r="R8" s="3">
        <f t="shared" si="2"/>
        <v>1623.8877481177274</v>
      </c>
      <c r="S8" s="22">
        <f t="shared" si="31"/>
        <v>18.537927316464913</v>
      </c>
      <c r="T8" s="3">
        <f t="shared" si="3"/>
        <v>3.7100456621004564E-2</v>
      </c>
      <c r="U8" s="3">
        <f t="shared" si="22"/>
        <v>879991.85533692047</v>
      </c>
      <c r="W8" s="5">
        <f t="shared" si="4"/>
        <v>42.16</v>
      </c>
      <c r="X8" s="3">
        <f t="shared" si="35"/>
        <v>3.5707908076648138</v>
      </c>
      <c r="Y8" s="3">
        <f t="shared" si="23"/>
        <v>3.1280127475143762E-2</v>
      </c>
      <c r="Z8" s="3"/>
      <c r="AA8" s="5">
        <f t="shared" si="24"/>
        <v>0.18537531371206933</v>
      </c>
      <c r="AB8" s="5">
        <f t="shared" si="6"/>
        <v>37.805156285649097</v>
      </c>
      <c r="AC8" s="5">
        <f t="shared" si="34"/>
        <v>0.25792000000000004</v>
      </c>
      <c r="AD8" s="3">
        <v>169</v>
      </c>
      <c r="AE8" s="5">
        <f t="shared" si="32"/>
        <v>32.11</v>
      </c>
      <c r="AF8" s="5">
        <f t="shared" si="26"/>
        <v>34.96</v>
      </c>
      <c r="AG8" s="3">
        <f t="shared" si="27"/>
        <v>6.6825659999999995E-2</v>
      </c>
      <c r="AH8" s="3">
        <f t="shared" si="28"/>
        <v>7.6284999999999989</v>
      </c>
      <c r="AI8" s="10">
        <f t="shared" si="29"/>
        <v>7.6284999999999989</v>
      </c>
      <c r="AJ8" s="3">
        <f t="shared" si="7"/>
        <v>6.6825659999999981E-2</v>
      </c>
      <c r="AK8" s="3">
        <v>4.8179999999999996</v>
      </c>
      <c r="AL8" s="5">
        <f t="shared" si="30"/>
        <v>11293.536539999999</v>
      </c>
      <c r="AM8" s="3">
        <v>215</v>
      </c>
      <c r="AN8" s="3">
        <f t="shared" si="8"/>
        <v>1289.2165</v>
      </c>
      <c r="AO8" s="3"/>
      <c r="AP8" s="3">
        <f t="shared" si="9"/>
        <v>36.876902173913045</v>
      </c>
      <c r="AQ8" s="3"/>
      <c r="AR8" s="5">
        <f t="shared" si="10"/>
        <v>1.5926559999999998</v>
      </c>
      <c r="AS8" s="3">
        <v>445</v>
      </c>
      <c r="AT8" s="3">
        <f t="shared" si="11"/>
        <v>3.1895831088440243</v>
      </c>
      <c r="AU8" s="3">
        <f t="shared" si="12"/>
        <v>50.799086757990871</v>
      </c>
      <c r="AV8" s="3">
        <f t="shared" si="13"/>
        <v>1.5820332219866358</v>
      </c>
      <c r="AW8" s="3"/>
      <c r="AX8" s="3">
        <v>184</v>
      </c>
      <c r="AY8" s="3">
        <v>6.6</v>
      </c>
      <c r="AZ8" s="3">
        <f t="shared" si="14"/>
        <v>6.7424242424242428E-2</v>
      </c>
      <c r="BA8" s="5">
        <f t="shared" si="15"/>
        <v>1.6188758333517905</v>
      </c>
      <c r="BS8" s="10">
        <v>325</v>
      </c>
      <c r="BT8" s="40" t="s">
        <v>294</v>
      </c>
    </row>
    <row r="9" spans="1:72" ht="15.75" customHeight="1" x14ac:dyDescent="0.15">
      <c r="A9" s="2" t="s">
        <v>70</v>
      </c>
      <c r="B9" s="46">
        <v>120</v>
      </c>
      <c r="C9" s="4">
        <v>3</v>
      </c>
      <c r="D9" s="4">
        <v>0.20000000000000101</v>
      </c>
      <c r="E9" s="4">
        <v>0.65</v>
      </c>
      <c r="F9" s="4">
        <v>0.23</v>
      </c>
      <c r="G9" s="4">
        <f t="shared" ref="G9:G16" si="36">F9*E9*D9*B9</f>
        <v>3.5880000000000187</v>
      </c>
      <c r="H9" s="4"/>
      <c r="I9" s="3">
        <v>62</v>
      </c>
      <c r="J9" s="3">
        <v>130</v>
      </c>
      <c r="K9" s="5">
        <f t="shared" si="0"/>
        <v>47.692307692307693</v>
      </c>
      <c r="L9" s="3">
        <v>1668</v>
      </c>
      <c r="M9" s="5">
        <f t="shared" si="20"/>
        <v>3.808219178082211</v>
      </c>
      <c r="N9" s="5">
        <f t="shared" si="21"/>
        <v>157.15440000000001</v>
      </c>
      <c r="O9" s="5">
        <f t="shared" si="1"/>
        <v>247.70367741935485</v>
      </c>
      <c r="P9" s="3">
        <v>2.0699999999999998</v>
      </c>
      <c r="Q9" s="3">
        <v>2233</v>
      </c>
      <c r="R9" s="3">
        <f t="shared" si="2"/>
        <v>1078.0056013517312</v>
      </c>
      <c r="S9" s="22">
        <f t="shared" si="31"/>
        <v>12.306262860695997</v>
      </c>
      <c r="T9" s="3">
        <f t="shared" si="3"/>
        <v>0.25490867579908677</v>
      </c>
      <c r="U9" s="3">
        <f t="shared" si="22"/>
        <v>12495523.323484644</v>
      </c>
      <c r="W9" s="5">
        <f t="shared" si="4"/>
        <v>20.400000000000002</v>
      </c>
      <c r="X9" s="3">
        <f t="shared" si="35"/>
        <v>7.8154232261008421</v>
      </c>
      <c r="Y9" s="3">
        <f t="shared" si="23"/>
        <v>6.846310746064338E-2</v>
      </c>
      <c r="Z9" s="3"/>
      <c r="AA9" s="5">
        <f t="shared" si="24"/>
        <v>0.12306000015430722</v>
      </c>
      <c r="AB9" s="5">
        <f t="shared" si="6"/>
        <v>19.028062970568104</v>
      </c>
      <c r="AC9" s="5">
        <f t="shared" si="34"/>
        <v>0.12480000000000063</v>
      </c>
      <c r="AD9" s="3">
        <v>303</v>
      </c>
      <c r="AE9" s="5">
        <f t="shared" si="32"/>
        <v>57.57</v>
      </c>
      <c r="AF9" s="5">
        <f t="shared" si="26"/>
        <v>601.54</v>
      </c>
      <c r="AG9" s="3">
        <f t="shared" si="27"/>
        <v>4.2927650000000005E-2</v>
      </c>
      <c r="AH9" s="3">
        <f t="shared" si="28"/>
        <v>4.9004166666666675</v>
      </c>
      <c r="AI9" s="10">
        <f t="shared" si="29"/>
        <v>4.9004166666666675</v>
      </c>
      <c r="AJ9" s="3">
        <f t="shared" si="7"/>
        <v>4.2927650000000005E-2</v>
      </c>
      <c r="AK9" s="3">
        <v>3.0950000000000002</v>
      </c>
      <c r="AL9" s="5">
        <f t="shared" si="30"/>
        <v>13007.077950000003</v>
      </c>
      <c r="AM9" s="3">
        <v>2281</v>
      </c>
      <c r="AN9" s="3">
        <f t="shared" si="8"/>
        <v>1484.8262500000003</v>
      </c>
      <c r="AO9" s="3"/>
      <c r="AP9" s="3">
        <f t="shared" si="9"/>
        <v>2.4683749210360082</v>
      </c>
      <c r="AQ9" s="3"/>
      <c r="AR9" s="5">
        <f t="shared" si="10"/>
        <v>1.38168</v>
      </c>
      <c r="AS9" s="3">
        <v>529</v>
      </c>
      <c r="AT9" s="3">
        <f t="shared" si="11"/>
        <v>4.3706305261624463</v>
      </c>
      <c r="AU9" s="3">
        <f t="shared" si="12"/>
        <v>60.388127853881279</v>
      </c>
      <c r="AV9" s="3">
        <f t="shared" si="13"/>
        <v>1.0489513262789869</v>
      </c>
      <c r="AW9" s="3"/>
      <c r="AX9" s="3">
        <v>3166</v>
      </c>
      <c r="AY9" s="3">
        <v>6.5</v>
      </c>
      <c r="AZ9" s="3">
        <f t="shared" si="14"/>
        <v>8.1384615384615389E-2</v>
      </c>
      <c r="BA9" s="5">
        <f t="shared" si="15"/>
        <v>4.143619974287029</v>
      </c>
      <c r="BB9" s="3">
        <v>8.9469999999999992</v>
      </c>
      <c r="BC9" s="3">
        <v>44.71</v>
      </c>
      <c r="BD9" s="3">
        <v>37.229999999999997</v>
      </c>
      <c r="BE9" s="3">
        <v>8.06</v>
      </c>
      <c r="BF9" s="5">
        <f>(BD9*BE9)/(BC9*BB9)</f>
        <v>0.75014629879973371</v>
      </c>
      <c r="BG9" s="3">
        <v>1.94</v>
      </c>
      <c r="BH9" s="5">
        <f>(1000)*BG9</f>
        <v>1940</v>
      </c>
      <c r="BI9" s="5">
        <f>(BC9*BB9*BF9)/BH9*100</f>
        <v>15.467721649484536</v>
      </c>
      <c r="BJ9" s="3" t="s">
        <v>71</v>
      </c>
      <c r="BK9" s="3" t="s">
        <v>72</v>
      </c>
      <c r="BS9" s="10">
        <v>2233</v>
      </c>
      <c r="BT9" s="40" t="s">
        <v>294</v>
      </c>
    </row>
    <row r="10" spans="1:72" ht="15.75" customHeight="1" x14ac:dyDescent="0.15">
      <c r="A10" s="2" t="s">
        <v>73</v>
      </c>
      <c r="B10" s="46">
        <v>122</v>
      </c>
      <c r="C10" s="4">
        <v>2</v>
      </c>
      <c r="D10" s="4">
        <v>0.20000000000000101</v>
      </c>
      <c r="E10" s="4">
        <v>0.65</v>
      </c>
      <c r="F10" s="4">
        <v>0.17</v>
      </c>
      <c r="G10" s="4">
        <f t="shared" si="36"/>
        <v>2.6962000000000144</v>
      </c>
      <c r="H10" s="4"/>
      <c r="I10" s="3">
        <v>48</v>
      </c>
      <c r="J10" s="3">
        <v>130</v>
      </c>
      <c r="K10" s="5">
        <f t="shared" si="0"/>
        <v>36.923076923076927</v>
      </c>
      <c r="L10" s="3">
        <v>1932</v>
      </c>
      <c r="M10" s="5">
        <f t="shared" si="20"/>
        <v>4.410958904109612</v>
      </c>
      <c r="N10" s="5">
        <f t="shared" si="21"/>
        <v>118.09356000000002</v>
      </c>
      <c r="O10" s="5">
        <f t="shared" si="1"/>
        <v>319.95058333333333</v>
      </c>
      <c r="P10" s="3">
        <v>1.3</v>
      </c>
      <c r="Q10" s="3">
        <v>1181</v>
      </c>
      <c r="R10" s="3">
        <f t="shared" si="2"/>
        <v>907.83973042699927</v>
      </c>
      <c r="S10" s="22">
        <f t="shared" si="31"/>
        <v>10.363688596802398</v>
      </c>
      <c r="T10" s="3">
        <f t="shared" si="3"/>
        <v>0.13481735159817351</v>
      </c>
      <c r="U10" s="3">
        <f t="shared" si="22"/>
        <v>6500354.4647142487</v>
      </c>
      <c r="W10" s="5">
        <f t="shared" si="4"/>
        <v>20.74</v>
      </c>
      <c r="X10" s="3">
        <f t="shared" si="35"/>
        <v>2.5104240031478677</v>
      </c>
      <c r="Y10" s="3">
        <f t="shared" si="23"/>
        <v>2.1991314267575317E-2</v>
      </c>
      <c r="Z10" s="3"/>
      <c r="AA10" s="5">
        <f t="shared" si="24"/>
        <v>0.10363467242317344</v>
      </c>
      <c r="AB10" s="5">
        <f t="shared" si="6"/>
        <v>22.039698836413415</v>
      </c>
      <c r="AC10" s="5">
        <f t="shared" si="34"/>
        <v>0.12688000000000066</v>
      </c>
      <c r="AD10" s="3">
        <v>385</v>
      </c>
      <c r="AE10" s="5">
        <f t="shared" si="32"/>
        <v>73.150000000000006</v>
      </c>
      <c r="AF10" s="5">
        <f t="shared" si="26"/>
        <v>404.32</v>
      </c>
      <c r="AG10" s="3">
        <f t="shared" si="27"/>
        <v>3.7296429999999998E-2</v>
      </c>
      <c r="AH10" s="3">
        <f t="shared" si="28"/>
        <v>4.2575833333333328</v>
      </c>
      <c r="AI10" s="10">
        <f t="shared" si="29"/>
        <v>4.2575833333333328</v>
      </c>
      <c r="AJ10" s="3">
        <f t="shared" si="7"/>
        <v>3.7296429999999992E-2</v>
      </c>
      <c r="AK10" s="3">
        <v>2.6890000000000001</v>
      </c>
      <c r="AL10" s="5">
        <f t="shared" si="30"/>
        <v>14359.125550000001</v>
      </c>
      <c r="AM10" s="3">
        <v>963</v>
      </c>
      <c r="AN10" s="3">
        <f t="shared" si="8"/>
        <v>1639.1695833333333</v>
      </c>
      <c r="AO10" s="3"/>
      <c r="AP10" s="3">
        <f t="shared" si="9"/>
        <v>4.0541392543859649</v>
      </c>
      <c r="AQ10" s="3"/>
      <c r="AR10" s="5">
        <f t="shared" si="10"/>
        <v>1.7848600000000003</v>
      </c>
      <c r="AS10" s="3">
        <v>413</v>
      </c>
      <c r="AT10" s="3">
        <f t="shared" si="11"/>
        <v>2.6414463163195534</v>
      </c>
      <c r="AU10" s="3">
        <f t="shared" si="12"/>
        <v>47.146118721461185</v>
      </c>
      <c r="AV10" s="3">
        <f t="shared" si="13"/>
        <v>0.64451290118197102</v>
      </c>
      <c r="AW10" s="3"/>
      <c r="AX10" s="3">
        <v>2128</v>
      </c>
      <c r="AY10" s="3">
        <v>6.2</v>
      </c>
      <c r="AZ10" s="3">
        <f t="shared" si="14"/>
        <v>6.6612903225806458E-2</v>
      </c>
      <c r="BA10" s="5">
        <f t="shared" si="15"/>
        <v>6.9029878857280238</v>
      </c>
      <c r="BS10" s="10">
        <v>1181</v>
      </c>
      <c r="BT10" s="40" t="s">
        <v>294</v>
      </c>
    </row>
    <row r="11" spans="1:72" ht="15.75" customHeight="1" x14ac:dyDescent="0.15">
      <c r="A11" s="2" t="s">
        <v>74</v>
      </c>
      <c r="B11" s="46">
        <v>118</v>
      </c>
      <c r="C11" s="4">
        <v>2</v>
      </c>
      <c r="D11" s="4">
        <v>0.20000000000000101</v>
      </c>
      <c r="E11" s="4">
        <v>0.65</v>
      </c>
      <c r="F11" s="4">
        <v>0.11</v>
      </c>
      <c r="G11" s="4">
        <f t="shared" si="36"/>
        <v>1.6874000000000087</v>
      </c>
      <c r="H11" s="4"/>
      <c r="I11" s="3">
        <v>36</v>
      </c>
      <c r="J11" s="3">
        <v>133</v>
      </c>
      <c r="K11" s="5">
        <f t="shared" si="0"/>
        <v>27.06766917293233</v>
      </c>
      <c r="L11" s="3">
        <v>1923</v>
      </c>
      <c r="M11" s="5">
        <f t="shared" si="20"/>
        <v>4.3904109589041322</v>
      </c>
      <c r="N11" s="5">
        <f t="shared" si="21"/>
        <v>73.908119999999997</v>
      </c>
      <c r="O11" s="5">
        <f t="shared" si="1"/>
        <v>436.44541111111118</v>
      </c>
      <c r="P11" s="3">
        <v>0.13</v>
      </c>
      <c r="Q11" s="3">
        <v>126</v>
      </c>
      <c r="R11" s="3">
        <f t="shared" si="2"/>
        <v>968.56736692465654</v>
      </c>
      <c r="S11" s="22">
        <f t="shared" si="31"/>
        <v>11.056941263311618</v>
      </c>
      <c r="T11" s="3">
        <f t="shared" si="3"/>
        <v>1.4383561643835616E-2</v>
      </c>
      <c r="U11" s="3">
        <f t="shared" si="22"/>
        <v>717027.00118821615</v>
      </c>
      <c r="W11" s="5">
        <f t="shared" si="4"/>
        <v>20.060000000000002</v>
      </c>
      <c r="X11" s="3">
        <f t="shared" ref="X11:X39" si="37">W11*AA11</f>
        <v>2.2179750434370562</v>
      </c>
      <c r="Y11" s="3">
        <f t="shared" si="23"/>
        <v>1.9429461380508609E-2</v>
      </c>
      <c r="Z11" s="3"/>
      <c r="AA11" s="5">
        <f t="shared" si="24"/>
        <v>0.11056705101879641</v>
      </c>
      <c r="AB11" s="5">
        <f t="shared" si="6"/>
        <v>21.937029431895962</v>
      </c>
      <c r="AC11" s="5">
        <f t="shared" si="34"/>
        <v>0.12272000000000062</v>
      </c>
      <c r="AD11" s="3">
        <v>430</v>
      </c>
      <c r="AE11" s="5">
        <f t="shared" si="32"/>
        <v>81.7</v>
      </c>
      <c r="AF11" s="5">
        <f t="shared" si="26"/>
        <v>108.87</v>
      </c>
      <c r="AG11" s="3">
        <f t="shared" si="27"/>
        <v>3.7185470000000005E-2</v>
      </c>
      <c r="AH11" s="3">
        <f t="shared" si="28"/>
        <v>4.2449166666666676</v>
      </c>
      <c r="AI11" s="10">
        <f t="shared" si="29"/>
        <v>4.2449166666666676</v>
      </c>
      <c r="AJ11" s="3">
        <f t="shared" si="7"/>
        <v>3.7185470000000005E-2</v>
      </c>
      <c r="AK11" s="3">
        <v>2.681</v>
      </c>
      <c r="AL11" s="5">
        <f t="shared" si="30"/>
        <v>15989.752100000002</v>
      </c>
      <c r="AM11" s="3">
        <v>72</v>
      </c>
      <c r="AN11" s="3">
        <f t="shared" si="8"/>
        <v>1825.3141666666668</v>
      </c>
      <c r="AO11" s="3"/>
      <c r="AP11" s="3">
        <f t="shared" si="9"/>
        <v>16.765997673065737</v>
      </c>
      <c r="AQ11" s="3"/>
      <c r="AR11" s="5">
        <f t="shared" si="10"/>
        <v>1.9281200000000001</v>
      </c>
      <c r="AS11" s="3">
        <v>135</v>
      </c>
      <c r="AT11" s="3">
        <f t="shared" si="11"/>
        <v>0.79927384727660045</v>
      </c>
      <c r="AU11" s="3">
        <f t="shared" si="12"/>
        <v>15.41095890410959</v>
      </c>
      <c r="AV11" s="3">
        <f t="shared" si="13"/>
        <v>0.18862862795727772</v>
      </c>
      <c r="AW11" s="3"/>
      <c r="AX11" s="3">
        <v>573</v>
      </c>
      <c r="AY11" s="3">
        <v>6.6</v>
      </c>
      <c r="AZ11" s="3">
        <f t="shared" si="14"/>
        <v>2.0454545454545454E-2</v>
      </c>
      <c r="BA11" s="5">
        <f t="shared" si="15"/>
        <v>16.808665822172088</v>
      </c>
      <c r="BB11" s="3">
        <v>1.02</v>
      </c>
      <c r="BC11" s="3">
        <v>164</v>
      </c>
      <c r="BD11" s="3">
        <v>113.6</v>
      </c>
      <c r="BE11" s="3">
        <v>0.88</v>
      </c>
      <c r="BF11" s="5">
        <f>(BD11*BE11)/(BC11*BB11)</f>
        <v>0.59760879961740787</v>
      </c>
      <c r="BG11" s="3">
        <v>1.43</v>
      </c>
      <c r="BH11" s="3">
        <f>1000*BG11</f>
        <v>1430</v>
      </c>
      <c r="BI11" s="5">
        <f>(BC11*BB11*BF11)/BH11*100</f>
        <v>6.9907692307692297</v>
      </c>
      <c r="BJ11" s="3" t="s">
        <v>75</v>
      </c>
      <c r="BS11" s="10">
        <v>126</v>
      </c>
      <c r="BT11" s="40" t="s">
        <v>294</v>
      </c>
    </row>
    <row r="12" spans="1:72" ht="15.75" customHeight="1" x14ac:dyDescent="0.15">
      <c r="A12" s="2" t="s">
        <v>76</v>
      </c>
      <c r="B12" s="46">
        <v>102</v>
      </c>
      <c r="C12" s="4">
        <v>8</v>
      </c>
      <c r="D12" s="4">
        <v>0.2</v>
      </c>
      <c r="E12" s="4">
        <v>0.65</v>
      </c>
      <c r="F12" s="4">
        <v>0.11</v>
      </c>
      <c r="G12" s="4">
        <f t="shared" si="36"/>
        <v>1.4586000000000001</v>
      </c>
      <c r="H12" s="4"/>
      <c r="I12" s="3">
        <v>22</v>
      </c>
      <c r="J12" s="3">
        <v>126</v>
      </c>
      <c r="K12" s="5">
        <f t="shared" si="0"/>
        <v>17.460317460317459</v>
      </c>
      <c r="L12" s="3">
        <v>1858</v>
      </c>
      <c r="M12" s="5">
        <f t="shared" si="20"/>
        <v>4.2420091324200913</v>
      </c>
      <c r="N12" s="5">
        <f t="shared" si="21"/>
        <v>63.886680000000005</v>
      </c>
      <c r="O12" s="5">
        <f t="shared" si="1"/>
        <v>676.59480000000008</v>
      </c>
      <c r="P12" s="3">
        <v>0.39</v>
      </c>
      <c r="Q12" s="3">
        <v>259</v>
      </c>
      <c r="R12" s="3">
        <f t="shared" si="2"/>
        <v>663.64801067059796</v>
      </c>
      <c r="S12" s="22">
        <f t="shared" si="31"/>
        <v>7.5760523470838859</v>
      </c>
      <c r="T12" s="3">
        <f t="shared" si="3"/>
        <v>2.9566210045662102E-2</v>
      </c>
      <c r="U12" s="3">
        <f t="shared" si="22"/>
        <v>1705087.0845249193</v>
      </c>
      <c r="W12" s="5">
        <f t="shared" si="4"/>
        <v>17.34</v>
      </c>
      <c r="X12" s="3">
        <f t="shared" si="37"/>
        <v>1.313659418382211</v>
      </c>
      <c r="Y12" s="3">
        <f t="shared" si="23"/>
        <v>1.1507656505028167E-2</v>
      </c>
      <c r="Z12" s="3"/>
      <c r="AA12" s="5">
        <f t="shared" si="24"/>
        <v>7.5758905327693832E-2</v>
      </c>
      <c r="AB12" s="5">
        <f t="shared" si="6"/>
        <v>21.195528177047684</v>
      </c>
      <c r="AC12" s="5">
        <f t="shared" si="34"/>
        <v>0.10608000000000002</v>
      </c>
      <c r="AD12" s="3">
        <v>370</v>
      </c>
      <c r="AE12" s="5">
        <f t="shared" si="32"/>
        <v>70.3</v>
      </c>
      <c r="AF12" s="5">
        <f t="shared" si="26"/>
        <v>375.06</v>
      </c>
      <c r="AG12" s="3">
        <f t="shared" si="27"/>
        <v>3.8697300000000004E-2</v>
      </c>
      <c r="AH12" s="3">
        <f t="shared" si="28"/>
        <v>4.4175000000000004</v>
      </c>
      <c r="AI12" s="10">
        <f t="shared" si="29"/>
        <v>4.4175000000000004</v>
      </c>
      <c r="AJ12" s="3">
        <f t="shared" si="7"/>
        <v>3.8697300000000004E-2</v>
      </c>
      <c r="AK12" s="3">
        <v>2.79</v>
      </c>
      <c r="AL12" s="5">
        <f t="shared" si="30"/>
        <v>14318.001000000002</v>
      </c>
      <c r="AM12" s="3">
        <v>178</v>
      </c>
      <c r="AN12" s="3">
        <f t="shared" si="8"/>
        <v>1634.4750000000001</v>
      </c>
      <c r="AO12" s="3"/>
      <c r="AP12" s="3">
        <f t="shared" si="9"/>
        <v>4.3579027355623108</v>
      </c>
      <c r="AQ12" s="3"/>
      <c r="AR12" s="5">
        <f t="shared" si="10"/>
        <v>1.4341199999999998</v>
      </c>
      <c r="AS12" s="3">
        <v>80</v>
      </c>
      <c r="AT12" s="3">
        <f t="shared" si="11"/>
        <v>0.63679609037766727</v>
      </c>
      <c r="AU12" s="3">
        <f t="shared" si="12"/>
        <v>9.1324200913242013</v>
      </c>
      <c r="AV12" s="3">
        <f t="shared" si="13"/>
        <v>0.12990640243704413</v>
      </c>
      <c r="AW12" s="3"/>
      <c r="AX12" s="3">
        <v>1974</v>
      </c>
      <c r="AY12" s="3">
        <v>15.8</v>
      </c>
      <c r="AZ12" s="3">
        <f t="shared" si="14"/>
        <v>5.0632911392405064E-3</v>
      </c>
      <c r="BA12" s="5">
        <f t="shared" si="15"/>
        <v>73.298960397890895</v>
      </c>
      <c r="BS12" s="10">
        <v>259</v>
      </c>
      <c r="BT12" s="40" t="s">
        <v>294</v>
      </c>
    </row>
    <row r="13" spans="1:72" ht="15.75" customHeight="1" x14ac:dyDescent="0.15">
      <c r="A13" s="2" t="s">
        <v>77</v>
      </c>
      <c r="B13" s="46">
        <v>140</v>
      </c>
      <c r="C13" s="4">
        <v>9</v>
      </c>
      <c r="D13" s="4">
        <v>0.2</v>
      </c>
      <c r="E13" s="4">
        <v>0.65</v>
      </c>
      <c r="F13" s="4">
        <v>0.23</v>
      </c>
      <c r="G13" s="4">
        <f t="shared" si="36"/>
        <v>4.1860000000000008</v>
      </c>
      <c r="H13" s="4"/>
      <c r="I13" s="3">
        <v>98</v>
      </c>
      <c r="J13" s="3">
        <v>174</v>
      </c>
      <c r="K13" s="5">
        <f t="shared" si="0"/>
        <v>56.321839080459768</v>
      </c>
      <c r="L13" s="3">
        <v>2166</v>
      </c>
      <c r="M13" s="5">
        <f t="shared" si="20"/>
        <v>4.9452054794520555</v>
      </c>
      <c r="N13" s="5">
        <f t="shared" si="21"/>
        <v>183.34680000000003</v>
      </c>
      <c r="O13" s="5">
        <f t="shared" si="1"/>
        <v>209.75096326530615</v>
      </c>
      <c r="P13" s="3">
        <v>11.72</v>
      </c>
      <c r="Q13" s="3">
        <v>13075</v>
      </c>
      <c r="R13" s="3">
        <f t="shared" si="2"/>
        <v>1114.850738075048</v>
      </c>
      <c r="S13" s="22">
        <f t="shared" si="31"/>
        <v>12.726878428079747</v>
      </c>
      <c r="T13" s="3">
        <f t="shared" si="3"/>
        <v>1.4925799086757991</v>
      </c>
      <c r="U13" s="3">
        <f t="shared" si="22"/>
        <v>62713441.540999964</v>
      </c>
      <c r="W13" s="5">
        <f t="shared" si="4"/>
        <v>23.8</v>
      </c>
      <c r="X13" s="3">
        <f t="shared" si="37"/>
        <v>3.0289323705691942</v>
      </c>
      <c r="Y13" s="3">
        <f t="shared" si="23"/>
        <v>2.6533447566186141E-2</v>
      </c>
      <c r="Z13" s="3"/>
      <c r="AA13" s="5">
        <f t="shared" si="24"/>
        <v>0.12726606599030227</v>
      </c>
      <c r="AB13" s="5">
        <f t="shared" si="6"/>
        <v>24.709103353867214</v>
      </c>
      <c r="AC13" s="5">
        <f t="shared" si="34"/>
        <v>0.14560000000000001</v>
      </c>
      <c r="AD13" s="3">
        <v>280</v>
      </c>
      <c r="AE13" s="5">
        <f t="shared" si="32"/>
        <v>53.2</v>
      </c>
      <c r="AF13" s="5">
        <f t="shared" si="26"/>
        <v>3445.46</v>
      </c>
      <c r="AG13" s="3">
        <f t="shared" si="27"/>
        <v>4.7796020000000015E-2</v>
      </c>
      <c r="AH13" s="3">
        <f t="shared" si="28"/>
        <v>5.4561666666666691</v>
      </c>
      <c r="AI13" s="10">
        <f t="shared" si="29"/>
        <v>5.4561666666666691</v>
      </c>
      <c r="AJ13" s="3">
        <f t="shared" si="7"/>
        <v>4.7796020000000015E-2</v>
      </c>
      <c r="AK13" s="3">
        <v>3.4460000000000002</v>
      </c>
      <c r="AL13" s="5">
        <f t="shared" si="30"/>
        <v>13382.885600000003</v>
      </c>
      <c r="AM13" s="3">
        <v>11729</v>
      </c>
      <c r="AN13" s="3">
        <f t="shared" si="8"/>
        <v>1527.7266666666671</v>
      </c>
      <c r="AO13" s="3"/>
      <c r="AP13" s="3">
        <f t="shared" si="9"/>
        <v>0.44340281607293863</v>
      </c>
      <c r="AQ13" s="3"/>
      <c r="AR13" s="5">
        <f t="shared" si="10"/>
        <v>1.4896</v>
      </c>
      <c r="AS13" s="3">
        <v>446</v>
      </c>
      <c r="AT13" s="3">
        <f t="shared" si="11"/>
        <v>3.4179136687118969</v>
      </c>
      <c r="AU13" s="3">
        <f t="shared" si="12"/>
        <v>50.913242009132418</v>
      </c>
      <c r="AV13" s="3">
        <f t="shared" si="13"/>
        <v>0.9570158272393311</v>
      </c>
      <c r="AW13" s="3"/>
      <c r="AX13" s="3">
        <v>18134</v>
      </c>
      <c r="AY13" s="3">
        <v>7.9</v>
      </c>
      <c r="AZ13" s="3">
        <f t="shared" si="14"/>
        <v>5.6455696202531644E-2</v>
      </c>
      <c r="BA13" s="5">
        <f t="shared" si="15"/>
        <v>3.7544554491648543</v>
      </c>
      <c r="BB13" s="3">
        <v>8.4499999999999993</v>
      </c>
      <c r="BC13" s="3">
        <v>37.4</v>
      </c>
      <c r="BD13" s="3">
        <v>29.7</v>
      </c>
      <c r="BE13" s="3">
        <v>7.85</v>
      </c>
      <c r="BF13" s="5">
        <f>(BD13*BE13)/(BC13*BB13)</f>
        <v>0.73773059519665851</v>
      </c>
      <c r="BG13" s="3">
        <v>1.63</v>
      </c>
      <c r="BH13" s="3">
        <f>1000*BG13</f>
        <v>1630</v>
      </c>
      <c r="BI13" s="5">
        <f>(BC13*BB13*BF13)/BH13*100</f>
        <v>14.303374233128832</v>
      </c>
      <c r="BJ13" s="3" t="s">
        <v>78</v>
      </c>
      <c r="BS13" s="10">
        <v>13075</v>
      </c>
      <c r="BT13" s="40" t="s">
        <v>294</v>
      </c>
    </row>
    <row r="14" spans="1:72" ht="15.75" customHeight="1" x14ac:dyDescent="0.15">
      <c r="A14" s="2" t="s">
        <v>79</v>
      </c>
      <c r="B14" s="46">
        <v>118</v>
      </c>
      <c r="C14" s="4">
        <v>6</v>
      </c>
      <c r="D14" s="4">
        <v>0.20000000000000101</v>
      </c>
      <c r="E14" s="4">
        <v>0.65</v>
      </c>
      <c r="F14" s="4">
        <v>0.23</v>
      </c>
      <c r="G14" s="4">
        <f t="shared" si="36"/>
        <v>3.5282000000000182</v>
      </c>
      <c r="H14" s="4"/>
      <c r="I14" s="3">
        <v>52</v>
      </c>
      <c r="J14" s="3">
        <v>125</v>
      </c>
      <c r="K14" s="5">
        <f t="shared" si="0"/>
        <v>41.6</v>
      </c>
      <c r="L14" s="3">
        <v>1644</v>
      </c>
      <c r="M14" s="5">
        <f t="shared" si="20"/>
        <v>3.7534246575342647</v>
      </c>
      <c r="N14" s="5">
        <f t="shared" si="21"/>
        <v>154.53516000000002</v>
      </c>
      <c r="O14" s="5">
        <f t="shared" si="1"/>
        <v>283.9798076923077</v>
      </c>
      <c r="P14" s="3">
        <v>53.78</v>
      </c>
      <c r="Q14" s="3">
        <v>50600</v>
      </c>
      <c r="R14" s="3">
        <f t="shared" si="2"/>
        <v>940.22622141210081</v>
      </c>
      <c r="S14" s="22">
        <f t="shared" si="31"/>
        <v>10.733405294654858</v>
      </c>
      <c r="T14" s="3">
        <f t="shared" si="3"/>
        <v>5.7762557077625569</v>
      </c>
      <c r="U14" s="3">
        <f t="shared" si="22"/>
        <v>287948938.57241058</v>
      </c>
      <c r="W14" s="5">
        <f t="shared" si="4"/>
        <v>20.060000000000002</v>
      </c>
      <c r="X14" s="3">
        <f t="shared" si="37"/>
        <v>2.1530751143295372</v>
      </c>
      <c r="Y14" s="3">
        <f t="shared" si="23"/>
        <v>1.8860938001526745E-2</v>
      </c>
      <c r="Z14" s="3"/>
      <c r="AA14" s="5">
        <f t="shared" si="24"/>
        <v>0.10733176043517133</v>
      </c>
      <c r="AB14" s="5">
        <f t="shared" si="6"/>
        <v>18.754277891854894</v>
      </c>
      <c r="AC14" s="5">
        <f t="shared" si="34"/>
        <v>0.12272000000000062</v>
      </c>
      <c r="AD14" s="3">
        <v>321</v>
      </c>
      <c r="AE14" s="5">
        <f t="shared" si="32"/>
        <v>60.99</v>
      </c>
      <c r="AF14" s="5">
        <f t="shared" si="26"/>
        <v>4991.3</v>
      </c>
      <c r="AG14" s="3">
        <f t="shared" si="27"/>
        <v>3.9668200000000001E-2</v>
      </c>
      <c r="AH14" s="3">
        <f t="shared" si="28"/>
        <v>4.5283333333333333</v>
      </c>
      <c r="AI14" s="10">
        <f t="shared" si="29"/>
        <v>4.5283333333333333</v>
      </c>
      <c r="AJ14" s="3">
        <f t="shared" si="7"/>
        <v>3.9668199999999994E-2</v>
      </c>
      <c r="AK14" s="3">
        <v>2.86</v>
      </c>
      <c r="AL14" s="5">
        <f t="shared" si="30"/>
        <v>12733.492200000001</v>
      </c>
      <c r="AM14" s="3">
        <v>47517</v>
      </c>
      <c r="AN14" s="3">
        <f t="shared" si="8"/>
        <v>1453.595</v>
      </c>
      <c r="AO14" s="3"/>
      <c r="AP14" s="3">
        <f t="shared" si="9"/>
        <v>0.29122573277502856</v>
      </c>
      <c r="AQ14" s="3"/>
      <c r="AR14" s="5">
        <f t="shared" si="10"/>
        <v>1.4393640000000003</v>
      </c>
      <c r="AS14" s="3">
        <v>1409</v>
      </c>
      <c r="AT14" s="3">
        <f t="shared" si="11"/>
        <v>11.174709723075431</v>
      </c>
      <c r="AU14" s="3">
        <f t="shared" si="12"/>
        <v>160.8447488584475</v>
      </c>
      <c r="AV14" s="3">
        <f t="shared" si="13"/>
        <v>2.6372314946458024</v>
      </c>
      <c r="AW14" s="3"/>
      <c r="AX14" s="3">
        <v>26270</v>
      </c>
      <c r="AY14" s="3">
        <v>7</v>
      </c>
      <c r="AZ14" s="3">
        <f t="shared" si="14"/>
        <v>0.20128571428571429</v>
      </c>
      <c r="BA14" s="5">
        <f t="shared" si="15"/>
        <v>4.5235207236856212</v>
      </c>
      <c r="BJ14" s="3" t="s">
        <v>80</v>
      </c>
      <c r="BS14" s="10">
        <v>50600</v>
      </c>
      <c r="BT14" s="40" t="s">
        <v>294</v>
      </c>
    </row>
    <row r="15" spans="1:72" ht="15.75" customHeight="1" x14ac:dyDescent="0.15">
      <c r="A15" s="2" t="s">
        <v>81</v>
      </c>
      <c r="B15" s="46">
        <v>173</v>
      </c>
      <c r="C15" s="4">
        <v>5</v>
      </c>
      <c r="D15" s="4">
        <v>0.2</v>
      </c>
      <c r="E15" s="4">
        <v>0.65</v>
      </c>
      <c r="F15" s="4">
        <v>0.23</v>
      </c>
      <c r="G15" s="4">
        <f t="shared" si="36"/>
        <v>5.1727000000000007</v>
      </c>
      <c r="H15" s="4"/>
      <c r="I15" s="3">
        <v>114</v>
      </c>
      <c r="J15" s="3">
        <v>198</v>
      </c>
      <c r="K15" s="5">
        <f t="shared" si="0"/>
        <v>57.575757575757578</v>
      </c>
      <c r="L15" s="3">
        <v>2773</v>
      </c>
      <c r="M15" s="5">
        <f t="shared" si="20"/>
        <v>6.3310502283105032</v>
      </c>
      <c r="N15" s="5">
        <f t="shared" si="21"/>
        <v>226.56426000000002</v>
      </c>
      <c r="O15" s="5">
        <f t="shared" si="1"/>
        <v>205.18288421052634</v>
      </c>
      <c r="P15" s="3">
        <v>3.25</v>
      </c>
      <c r="Q15" s="3">
        <v>4872</v>
      </c>
      <c r="R15" s="3">
        <f t="shared" si="2"/>
        <v>1498.0508608434686</v>
      </c>
      <c r="S15" s="22">
        <f t="shared" si="31"/>
        <v>17.101402487255303</v>
      </c>
      <c r="T15" s="3">
        <f t="shared" si="3"/>
        <v>0.55616438356164388</v>
      </c>
      <c r="U15" s="3">
        <f t="shared" si="22"/>
        <v>18910723.684516963</v>
      </c>
      <c r="W15" s="5">
        <f t="shared" si="4"/>
        <v>29.409999999999997</v>
      </c>
      <c r="X15" s="3">
        <f t="shared" si="37"/>
        <v>5.0294150476491328</v>
      </c>
      <c r="Y15" s="3">
        <f t="shared" si="23"/>
        <v>4.4057675817406397E-2</v>
      </c>
      <c r="Z15" s="3"/>
      <c r="AA15" s="5">
        <f t="shared" si="24"/>
        <v>0.17101037224240509</v>
      </c>
      <c r="AB15" s="5">
        <f t="shared" si="6"/>
        <v>31.633584302988822</v>
      </c>
      <c r="AC15" s="5">
        <f t="shared" si="34"/>
        <v>0.17992000000000002</v>
      </c>
      <c r="AD15" s="3">
        <v>197</v>
      </c>
      <c r="AE15" s="5">
        <f t="shared" si="32"/>
        <v>37.43</v>
      </c>
      <c r="AF15" s="5">
        <f t="shared" si="26"/>
        <v>417.81</v>
      </c>
      <c r="AG15" s="3">
        <f t="shared" si="27"/>
        <v>6.1707630000000013E-2</v>
      </c>
      <c r="AH15" s="3">
        <f t="shared" si="28"/>
        <v>7.0442500000000008</v>
      </c>
      <c r="AI15" s="10">
        <f t="shared" si="29"/>
        <v>7.0442500000000008</v>
      </c>
      <c r="AJ15" s="3">
        <f t="shared" si="7"/>
        <v>6.1707629999999999E-2</v>
      </c>
      <c r="AK15" s="3">
        <v>4.4489999999999998</v>
      </c>
      <c r="AL15" s="5">
        <f t="shared" si="30"/>
        <v>12156.403110000001</v>
      </c>
      <c r="AM15" s="3">
        <v>3959</v>
      </c>
      <c r="AN15" s="3">
        <f t="shared" si="8"/>
        <v>1387.7172500000001</v>
      </c>
      <c r="AO15" s="3"/>
      <c r="AP15" s="3">
        <f t="shared" si="9"/>
        <v>3.3214074579354254</v>
      </c>
      <c r="AQ15" s="3"/>
      <c r="AR15" s="5">
        <f t="shared" si="10"/>
        <v>1.2950780000000002</v>
      </c>
      <c r="AS15" s="3">
        <v>936</v>
      </c>
      <c r="AT15" s="3">
        <f t="shared" si="11"/>
        <v>8.2504154242827941</v>
      </c>
      <c r="AU15" s="3">
        <f t="shared" si="12"/>
        <v>106.84931506849315</v>
      </c>
      <c r="AV15" s="3">
        <f t="shared" si="13"/>
        <v>2.8546437368018478</v>
      </c>
      <c r="AW15" s="3"/>
      <c r="AX15" s="3">
        <v>2199</v>
      </c>
      <c r="AY15" s="3">
        <v>5.8</v>
      </c>
      <c r="AZ15" s="3">
        <f t="shared" si="14"/>
        <v>0.16137931034482758</v>
      </c>
      <c r="BA15" s="5">
        <f t="shared" si="15"/>
        <v>1.9394126858313838</v>
      </c>
      <c r="BB15" s="3">
        <v>8.6</v>
      </c>
      <c r="BC15" s="3">
        <v>37.5</v>
      </c>
      <c r="BD15" s="3">
        <v>29.9</v>
      </c>
      <c r="BE15" s="3">
        <v>8</v>
      </c>
      <c r="BF15" s="5">
        <f>(BD15*BE15)/(BC15*BB15)</f>
        <v>0.74170542635658909</v>
      </c>
      <c r="BG15" s="3">
        <v>1.63</v>
      </c>
      <c r="BH15" s="3">
        <f>1000*BG15</f>
        <v>1630</v>
      </c>
      <c r="BI15" s="5">
        <f>(BC15*BB15*BF15)/BH15*100</f>
        <v>14.674846625766872</v>
      </c>
      <c r="BJ15" s="3" t="s">
        <v>82</v>
      </c>
      <c r="BS15" s="10">
        <v>4872</v>
      </c>
      <c r="BT15" s="40" t="s">
        <v>294</v>
      </c>
    </row>
    <row r="16" spans="1:72" ht="15.75" customHeight="1" x14ac:dyDescent="0.15">
      <c r="A16" s="2" t="s">
        <v>83</v>
      </c>
      <c r="B16" s="46">
        <v>138</v>
      </c>
      <c r="C16" s="4">
        <v>4</v>
      </c>
      <c r="D16" s="4">
        <v>0.20000000000000101</v>
      </c>
      <c r="E16" s="4">
        <v>0.65</v>
      </c>
      <c r="F16" s="4">
        <v>0.23</v>
      </c>
      <c r="G16" s="4">
        <f t="shared" si="36"/>
        <v>4.1262000000000212</v>
      </c>
      <c r="H16" s="4"/>
      <c r="I16" s="3">
        <v>67</v>
      </c>
      <c r="J16" s="3">
        <v>148</v>
      </c>
      <c r="K16" s="5">
        <f t="shared" si="0"/>
        <v>45.270270270270267</v>
      </c>
      <c r="L16" s="3">
        <v>1988</v>
      </c>
      <c r="M16" s="5">
        <f t="shared" si="20"/>
        <v>4.538812785388151</v>
      </c>
      <c r="N16" s="5">
        <f t="shared" si="21"/>
        <v>180.72756000000001</v>
      </c>
      <c r="O16" s="5">
        <f t="shared" si="1"/>
        <v>260.95625074626867</v>
      </c>
      <c r="P16" s="3">
        <v>1.95</v>
      </c>
      <c r="Q16" s="3">
        <v>2371</v>
      </c>
      <c r="R16" s="3">
        <f t="shared" si="2"/>
        <v>1215.06519945945</v>
      </c>
      <c r="S16" s="22">
        <f t="shared" si="31"/>
        <v>13.870903563657061</v>
      </c>
      <c r="T16" s="3">
        <f t="shared" si="3"/>
        <v>0.27066210045662098</v>
      </c>
      <c r="U16" s="3">
        <f t="shared" si="22"/>
        <v>11537173.93250729</v>
      </c>
      <c r="W16" s="5">
        <f t="shared" si="4"/>
        <v>23.459999999999997</v>
      </c>
      <c r="X16" s="3">
        <f t="shared" si="37"/>
        <v>3.2540444725249649</v>
      </c>
      <c r="Y16" s="3">
        <f t="shared" si="23"/>
        <v>2.8505429579318689E-2</v>
      </c>
      <c r="Z16" s="3"/>
      <c r="AA16" s="5">
        <f t="shared" si="24"/>
        <v>0.13870607299765411</v>
      </c>
      <c r="AB16" s="5">
        <f t="shared" si="6"/>
        <v>22.678530686744239</v>
      </c>
      <c r="AC16" s="5">
        <f t="shared" si="34"/>
        <v>0.14352000000000073</v>
      </c>
      <c r="AD16" s="3">
        <v>413</v>
      </c>
      <c r="AE16" s="5">
        <f t="shared" si="32"/>
        <v>78.47</v>
      </c>
      <c r="AF16" s="5">
        <f t="shared" si="26"/>
        <v>785.84</v>
      </c>
      <c r="AG16" s="3">
        <f t="shared" si="27"/>
        <v>5.0015219999999999E-2</v>
      </c>
      <c r="AH16" s="3">
        <f t="shared" si="28"/>
        <v>5.7095000000000002</v>
      </c>
      <c r="AI16" s="10">
        <f t="shared" si="29"/>
        <v>5.7095000000000002</v>
      </c>
      <c r="AJ16" s="3">
        <f t="shared" si="7"/>
        <v>5.0015219999999999E-2</v>
      </c>
      <c r="AK16" s="3">
        <v>3.6059999999999999</v>
      </c>
      <c r="AL16" s="5">
        <f t="shared" si="30"/>
        <v>20656.28586</v>
      </c>
      <c r="AM16" s="3">
        <v>1384</v>
      </c>
      <c r="AN16" s="3">
        <f t="shared" si="8"/>
        <v>2358.0234999999998</v>
      </c>
      <c r="AO16" s="3"/>
      <c r="AP16" s="3">
        <f t="shared" si="9"/>
        <v>3.0006407156673109</v>
      </c>
      <c r="AQ16" s="3"/>
      <c r="AR16" s="5">
        <f t="shared" si="10"/>
        <v>2.1657720000000005</v>
      </c>
      <c r="AS16" s="3">
        <v>354</v>
      </c>
      <c r="AT16" s="3">
        <f t="shared" si="11"/>
        <v>1.8658916499109592</v>
      </c>
      <c r="AU16" s="3">
        <f t="shared" si="12"/>
        <v>40.410958904109592</v>
      </c>
      <c r="AV16" s="3">
        <f t="shared" si="13"/>
        <v>0.51498609537542495</v>
      </c>
      <c r="AW16" s="3"/>
      <c r="AX16" s="3">
        <v>4136</v>
      </c>
      <c r="AY16" s="3">
        <v>4.0999999999999996</v>
      </c>
      <c r="AZ16" s="3">
        <f t="shared" si="14"/>
        <v>8.634146341463414E-2</v>
      </c>
      <c r="BA16" s="5">
        <f t="shared" si="15"/>
        <v>2.3814311458557036</v>
      </c>
      <c r="BS16" s="10">
        <v>2371</v>
      </c>
      <c r="BT16" s="40" t="s">
        <v>294</v>
      </c>
    </row>
    <row r="17" spans="1:72" ht="15.75" customHeight="1" x14ac:dyDescent="0.15">
      <c r="A17" s="2" t="s">
        <v>84</v>
      </c>
      <c r="B17" s="46">
        <v>210</v>
      </c>
      <c r="C17" s="4">
        <v>5</v>
      </c>
      <c r="D17" s="4">
        <v>0.2</v>
      </c>
      <c r="E17" s="4">
        <v>0.6</v>
      </c>
      <c r="F17" s="4">
        <v>0.34</v>
      </c>
      <c r="G17" s="4">
        <f t="shared" ref="G17:G18" si="38">F17*E17*$D$3*B17</f>
        <v>8.568000000000044</v>
      </c>
      <c r="H17" s="4"/>
      <c r="I17" s="3">
        <v>178</v>
      </c>
      <c r="J17" s="3">
        <v>235</v>
      </c>
      <c r="K17" s="5">
        <f t="shared" si="0"/>
        <v>75.744680851063833</v>
      </c>
      <c r="L17" s="3">
        <v>2433</v>
      </c>
      <c r="M17" s="5">
        <f t="shared" si="20"/>
        <v>5.5547945205479463</v>
      </c>
      <c r="N17" s="5">
        <f t="shared" si="21"/>
        <v>375.27840000000191</v>
      </c>
      <c r="O17" s="5">
        <f t="shared" si="1"/>
        <v>155.96553932584271</v>
      </c>
      <c r="P17" s="3">
        <v>38.979999999999997</v>
      </c>
      <c r="Q17" s="3">
        <v>58683</v>
      </c>
      <c r="R17" s="3">
        <f>(8760*AA17)</f>
        <v>1504.4339065049946</v>
      </c>
      <c r="S17" s="22">
        <f t="shared" si="31"/>
        <v>17.174269861658612</v>
      </c>
      <c r="T17" s="3">
        <f t="shared" si="3"/>
        <v>6.6989726027397261</v>
      </c>
      <c r="U17" s="3">
        <f t="shared" si="22"/>
        <v>187646291.39326963</v>
      </c>
      <c r="W17" s="5">
        <f t="shared" si="4"/>
        <v>35.700000000000003</v>
      </c>
      <c r="X17" s="3">
        <f t="shared" si="37"/>
        <v>6.1310833860991218</v>
      </c>
      <c r="Y17" s="3">
        <f t="shared" si="23"/>
        <v>5.370829046222831E-2</v>
      </c>
      <c r="Z17" s="3"/>
      <c r="AA17" s="5">
        <f t="shared" si="24"/>
        <v>0.17173903042294458</v>
      </c>
      <c r="AB17" s="5">
        <f t="shared" si="6"/>
        <v>27.754962354551676</v>
      </c>
      <c r="AC17" s="5">
        <f t="shared" ref="AC17:AC18" si="39">B17*D17*(0.8*E17)*0.02</f>
        <v>0.4032</v>
      </c>
      <c r="AD17" s="3">
        <v>173</v>
      </c>
      <c r="AE17" s="5">
        <f t="shared" si="32"/>
        <v>32.869999999999997</v>
      </c>
      <c r="AF17" s="5">
        <f t="shared" si="26"/>
        <v>39183.89</v>
      </c>
      <c r="AG17" s="3">
        <f t="shared" si="27"/>
        <v>7.3316819999999991E-2</v>
      </c>
      <c r="AH17" s="3">
        <f t="shared" si="28"/>
        <v>8.3694999999999986</v>
      </c>
      <c r="AI17" s="10">
        <f t="shared" si="29"/>
        <v>8.3694999999999986</v>
      </c>
      <c r="AJ17" s="3">
        <f t="shared" si="7"/>
        <v>7.3316819999999991E-2</v>
      </c>
      <c r="AK17" s="3">
        <v>5.2859999999999996</v>
      </c>
      <c r="AL17" s="5">
        <f t="shared" si="30"/>
        <v>12683.809859999999</v>
      </c>
      <c r="AM17" s="3">
        <v>46267</v>
      </c>
      <c r="AN17" s="3">
        <f t="shared" si="8"/>
        <v>1447.9234999999999</v>
      </c>
      <c r="AO17" s="3"/>
      <c r="AP17" s="3">
        <f t="shared" si="9"/>
        <v>3.695201012456905E-2</v>
      </c>
      <c r="AQ17" s="3"/>
      <c r="AR17" s="5">
        <f t="shared" si="10"/>
        <v>1.3805399999999999</v>
      </c>
      <c r="AS17" s="3">
        <v>84</v>
      </c>
      <c r="AT17" s="3">
        <f t="shared" si="11"/>
        <v>0.69458625580500466</v>
      </c>
      <c r="AU17" s="3">
        <f t="shared" si="12"/>
        <v>9.5890410958904102</v>
      </c>
      <c r="AV17" s="3">
        <f t="shared" si="13"/>
        <v>0.29172622743810195</v>
      </c>
      <c r="AW17" s="3"/>
      <c r="AX17" s="3">
        <v>206231</v>
      </c>
      <c r="AY17" s="3">
        <v>0.8</v>
      </c>
      <c r="AZ17" s="3">
        <f t="shared" si="14"/>
        <v>0.105</v>
      </c>
      <c r="BA17" s="5">
        <f t="shared" si="15"/>
        <v>0.13101319647709203</v>
      </c>
      <c r="BS17" s="10">
        <v>58683</v>
      </c>
      <c r="BT17" s="40" t="s">
        <v>294</v>
      </c>
    </row>
    <row r="18" spans="1:72" ht="15.75" customHeight="1" x14ac:dyDescent="0.15">
      <c r="A18" s="2" t="s">
        <v>85</v>
      </c>
      <c r="B18" s="46">
        <v>203</v>
      </c>
      <c r="C18" s="4">
        <v>6</v>
      </c>
      <c r="D18" s="4">
        <v>0.2</v>
      </c>
      <c r="E18" s="4">
        <v>0.6</v>
      </c>
      <c r="F18" s="4">
        <v>0.34</v>
      </c>
      <c r="G18" s="4">
        <f t="shared" si="38"/>
        <v>8.2824000000000435</v>
      </c>
      <c r="H18" s="4"/>
      <c r="I18" s="3">
        <v>198</v>
      </c>
      <c r="J18" s="3">
        <v>218</v>
      </c>
      <c r="K18" s="5">
        <f t="shared" si="0"/>
        <v>90.825688073394488</v>
      </c>
      <c r="L18" s="3">
        <v>2521</v>
      </c>
      <c r="M18" s="5">
        <f t="shared" si="20"/>
        <v>5.7557077625570772</v>
      </c>
      <c r="N18" s="5">
        <f t="shared" si="21"/>
        <v>362.76912000000192</v>
      </c>
      <c r="O18" s="5">
        <f t="shared" si="1"/>
        <v>130.06848888888891</v>
      </c>
      <c r="P18" s="3">
        <v>0.42</v>
      </c>
      <c r="Q18" s="3">
        <v>473</v>
      </c>
      <c r="R18" s="3">
        <f t="shared" si="2"/>
        <v>1125.4196408200517</v>
      </c>
      <c r="S18" s="22">
        <f t="shared" si="31"/>
        <v>12.847530579762498</v>
      </c>
      <c r="T18" s="3">
        <f t="shared" si="3"/>
        <v>5.399543378995434E-2</v>
      </c>
      <c r="U18" s="3">
        <f t="shared" si="22"/>
        <v>1564631.5210070803</v>
      </c>
      <c r="W18" s="5">
        <f t="shared" si="4"/>
        <v>34.51</v>
      </c>
      <c r="X18" s="3">
        <f t="shared" si="37"/>
        <v>4.433588105559358</v>
      </c>
      <c r="Y18" s="3">
        <f t="shared" si="23"/>
        <v>3.8838231804699967E-2</v>
      </c>
      <c r="Z18" s="3"/>
      <c r="AA18" s="5">
        <f t="shared" si="24"/>
        <v>0.12847256173744881</v>
      </c>
      <c r="AB18" s="5">
        <f t="shared" si="6"/>
        <v>28.758840976500117</v>
      </c>
      <c r="AC18" s="5">
        <f t="shared" si="39"/>
        <v>0.38976</v>
      </c>
      <c r="AD18" s="3">
        <v>169</v>
      </c>
      <c r="AE18" s="5">
        <f>AD18*0.19</f>
        <v>32.11</v>
      </c>
      <c r="AF18" s="5">
        <f t="shared" si="26"/>
        <v>7605.51</v>
      </c>
      <c r="AG18" s="3">
        <f t="shared" si="27"/>
        <v>6.8656500000000009E-2</v>
      </c>
      <c r="AH18" s="3">
        <f t="shared" si="28"/>
        <v>7.8375000000000004</v>
      </c>
      <c r="AI18" s="10">
        <f t="shared" si="29"/>
        <v>7.8375000000000004</v>
      </c>
      <c r="AJ18" s="3">
        <f t="shared" si="7"/>
        <v>6.8656499999999995E-2</v>
      </c>
      <c r="AK18" s="3">
        <v>4.95</v>
      </c>
      <c r="AL18" s="5">
        <f t="shared" si="30"/>
        <v>11602.9485</v>
      </c>
      <c r="AM18" s="3">
        <v>63</v>
      </c>
      <c r="AN18" s="3">
        <f t="shared" si="8"/>
        <v>1324.5374999999999</v>
      </c>
      <c r="AO18" s="3"/>
      <c r="AP18" s="3">
        <f t="shared" si="9"/>
        <v>0.17415498763396536</v>
      </c>
      <c r="AQ18" s="3"/>
      <c r="AR18" s="5">
        <f t="shared" si="10"/>
        <v>1.3036660000000002</v>
      </c>
      <c r="AS18" s="3">
        <v>1</v>
      </c>
      <c r="AT18" s="3">
        <f t="shared" si="11"/>
        <v>8.7564798914409447E-3</v>
      </c>
      <c r="AU18" s="3">
        <f t="shared" si="12"/>
        <v>0.11415525114155251</v>
      </c>
      <c r="AV18" s="3">
        <f t="shared" si="13"/>
        <v>3.5551308359250237E-3</v>
      </c>
      <c r="AW18" s="3"/>
      <c r="AX18" s="3">
        <v>40029</v>
      </c>
      <c r="AY18" s="3">
        <v>0.7</v>
      </c>
      <c r="AZ18" s="3">
        <f t="shared" si="14"/>
        <v>1.4285714285714286E-3</v>
      </c>
      <c r="BA18" s="5">
        <f t="shared" si="15"/>
        <v>0.11034328177456923</v>
      </c>
      <c r="BS18" s="10">
        <v>473</v>
      </c>
      <c r="BT18" s="40" t="s">
        <v>294</v>
      </c>
    </row>
    <row r="19" spans="1:72" ht="15.75" customHeight="1" x14ac:dyDescent="0.15">
      <c r="A19" s="2" t="s">
        <v>86</v>
      </c>
      <c r="B19" s="46">
        <v>104</v>
      </c>
      <c r="C19" s="4">
        <v>6</v>
      </c>
      <c r="D19" s="4">
        <v>0.2</v>
      </c>
      <c r="E19" s="4">
        <v>0.65</v>
      </c>
      <c r="F19" s="4">
        <v>0.17</v>
      </c>
      <c r="G19" s="4">
        <f t="shared" ref="G19:G23" si="40">F19*E19*D19*B19</f>
        <v>2.2984000000000004</v>
      </c>
      <c r="H19" s="4"/>
      <c r="I19" s="3">
        <v>42</v>
      </c>
      <c r="J19" s="3">
        <v>112</v>
      </c>
      <c r="K19" s="5">
        <f t="shared" si="0"/>
        <v>37.5</v>
      </c>
      <c r="L19" s="3">
        <v>1453</v>
      </c>
      <c r="M19" s="5">
        <f t="shared" si="20"/>
        <v>3.317351598173516</v>
      </c>
      <c r="N19" s="5">
        <f t="shared" si="21"/>
        <v>100.66992000000002</v>
      </c>
      <c r="O19" s="5">
        <f t="shared" si="1"/>
        <v>315.0282666666667</v>
      </c>
      <c r="P19" s="3">
        <v>3.5999999999999997E-2</v>
      </c>
      <c r="Q19" s="3">
        <v>21</v>
      </c>
      <c r="R19" s="3">
        <f t="shared" si="2"/>
        <v>582.93406342687661</v>
      </c>
      <c r="S19" s="22">
        <f t="shared" si="31"/>
        <v>6.6546405751412525</v>
      </c>
      <c r="T19" s="3">
        <f t="shared" si="3"/>
        <v>2.3972602739726029E-3</v>
      </c>
      <c r="U19" s="3">
        <f t="shared" si="22"/>
        <v>135591.64445546397</v>
      </c>
      <c r="W19" s="5">
        <f t="shared" si="4"/>
        <v>17.68</v>
      </c>
      <c r="X19" s="3">
        <f t="shared" si="37"/>
        <v>1.176515324359267</v>
      </c>
      <c r="Y19" s="3">
        <f t="shared" si="23"/>
        <v>1.0306274241387178E-2</v>
      </c>
      <c r="Z19" s="3"/>
      <c r="AA19" s="5">
        <f t="shared" si="24"/>
        <v>6.65449844094608E-2</v>
      </c>
      <c r="AB19" s="5">
        <f t="shared" si="6"/>
        <v>16.575404973762264</v>
      </c>
      <c r="AC19" s="5">
        <f t="shared" ref="AC19:AC24" si="41">B19*D19*(0.8*E19)*0.01</f>
        <v>0.10816000000000001</v>
      </c>
      <c r="AD19" s="3">
        <v>284</v>
      </c>
      <c r="AE19" s="5">
        <f t="shared" si="32"/>
        <v>53.96</v>
      </c>
      <c r="AF19" s="5">
        <f t="shared" si="26"/>
        <v>244.91</v>
      </c>
      <c r="AG19" s="3">
        <f t="shared" si="27"/>
        <v>3.4591780000000009E-2</v>
      </c>
      <c r="AH19" s="3">
        <f t="shared" si="28"/>
        <v>3.9488333333333343</v>
      </c>
      <c r="AI19" s="10">
        <f t="shared" si="29"/>
        <v>3.9488333333333343</v>
      </c>
      <c r="AJ19" s="3">
        <f t="shared" si="7"/>
        <v>3.4591780000000003E-2</v>
      </c>
      <c r="AK19" s="3">
        <v>2.4940000000000002</v>
      </c>
      <c r="AL19" s="5">
        <f t="shared" si="30"/>
        <v>9824.0655200000019</v>
      </c>
      <c r="AM19" s="3">
        <v>24</v>
      </c>
      <c r="AN19" s="3">
        <f t="shared" si="8"/>
        <v>1121.4686666666669</v>
      </c>
      <c r="AO19" s="3"/>
      <c r="AP19" s="3">
        <f t="shared" si="9"/>
        <v>4.579105249547454</v>
      </c>
      <c r="AQ19" s="3"/>
      <c r="AR19" s="5">
        <f t="shared" si="10"/>
        <v>1.1223680000000003</v>
      </c>
      <c r="AS19" s="3">
        <v>13</v>
      </c>
      <c r="AT19" s="3">
        <f t="shared" si="11"/>
        <v>0.13222207554386639</v>
      </c>
      <c r="AU19" s="3">
        <f t="shared" si="12"/>
        <v>1.4840182648401827</v>
      </c>
      <c r="AV19" s="3">
        <f t="shared" si="13"/>
        <v>2.7502191713124215E-2</v>
      </c>
      <c r="AW19" s="3"/>
      <c r="AX19" s="3">
        <v>1289</v>
      </c>
      <c r="AY19" s="3">
        <v>6.4</v>
      </c>
      <c r="AZ19" s="3">
        <f t="shared" si="14"/>
        <v>2.0312500000000001E-3</v>
      </c>
      <c r="BA19" s="5">
        <f t="shared" si="15"/>
        <v>8.7998172641837797</v>
      </c>
      <c r="BS19" s="10">
        <v>21</v>
      </c>
      <c r="BT19" s="40" t="s">
        <v>294</v>
      </c>
    </row>
    <row r="20" spans="1:72" ht="15.75" customHeight="1" x14ac:dyDescent="0.15">
      <c r="A20" s="2" t="s">
        <v>87</v>
      </c>
      <c r="B20" s="46">
        <v>161</v>
      </c>
      <c r="C20" s="4">
        <v>8</v>
      </c>
      <c r="D20" s="4">
        <v>0.2</v>
      </c>
      <c r="E20" s="4">
        <v>0.65</v>
      </c>
      <c r="F20" s="4">
        <v>0.23</v>
      </c>
      <c r="G20" s="4">
        <f t="shared" si="40"/>
        <v>4.8139000000000012</v>
      </c>
      <c r="H20" s="4"/>
      <c r="I20" s="3">
        <v>102</v>
      </c>
      <c r="J20" s="3">
        <v>179</v>
      </c>
      <c r="K20" s="5">
        <f t="shared" si="0"/>
        <v>56.983240223463682</v>
      </c>
      <c r="L20" s="3">
        <v>2372</v>
      </c>
      <c r="M20" s="5">
        <f t="shared" si="20"/>
        <v>5.4155251141552512</v>
      </c>
      <c r="N20" s="5">
        <f t="shared" si="21"/>
        <v>210.84882000000005</v>
      </c>
      <c r="O20" s="5">
        <f t="shared" si="1"/>
        <v>207.31639607843141</v>
      </c>
      <c r="P20" s="3">
        <v>21.59</v>
      </c>
      <c r="Q20" s="3">
        <v>25953</v>
      </c>
      <c r="R20" s="3">
        <f t="shared" si="2"/>
        <v>1201.2615164256781</v>
      </c>
      <c r="S20" s="22">
        <f t="shared" si="31"/>
        <v>13.713323907627149</v>
      </c>
      <c r="T20" s="3">
        <f t="shared" si="3"/>
        <v>2.9626712328767124</v>
      </c>
      <c r="U20" s="3">
        <f t="shared" si="22"/>
        <v>108245203.97795808</v>
      </c>
      <c r="W20" s="5">
        <f t="shared" si="4"/>
        <v>27.369999999999997</v>
      </c>
      <c r="X20" s="3">
        <f t="shared" si="37"/>
        <v>3.7532565872797727</v>
      </c>
      <c r="Y20" s="3">
        <f t="shared" si="23"/>
        <v>3.2878527704570802E-2</v>
      </c>
      <c r="Z20" s="3"/>
      <c r="AA20" s="5">
        <f t="shared" si="24"/>
        <v>0.1371303100942555</v>
      </c>
      <c r="AB20" s="5">
        <f t="shared" si="6"/>
        <v>27.059091946155601</v>
      </c>
      <c r="AC20" s="5">
        <f t="shared" si="41"/>
        <v>0.16744000000000003</v>
      </c>
      <c r="AD20" s="3">
        <v>218</v>
      </c>
      <c r="AE20" s="5">
        <f t="shared" si="32"/>
        <v>41.42</v>
      </c>
      <c r="AF20" s="5">
        <f t="shared" si="26"/>
        <v>2448.5300000000002</v>
      </c>
      <c r="AG20" s="3">
        <f t="shared" si="27"/>
        <v>5.9419079999999999E-2</v>
      </c>
      <c r="AH20" s="3">
        <f t="shared" si="28"/>
        <v>6.7830000000000004</v>
      </c>
      <c r="AI20" s="10">
        <f t="shared" si="29"/>
        <v>6.7830000000000004</v>
      </c>
      <c r="AJ20" s="3">
        <f t="shared" si="7"/>
        <v>5.9419079999999999E-2</v>
      </c>
      <c r="AK20" s="3">
        <v>4.2839999999999998</v>
      </c>
      <c r="AL20" s="5">
        <f t="shared" si="30"/>
        <v>12953.35944</v>
      </c>
      <c r="AM20" s="3">
        <v>24326</v>
      </c>
      <c r="AN20" s="3">
        <f t="shared" si="8"/>
        <v>1478.694</v>
      </c>
      <c r="AO20" s="3"/>
      <c r="AP20" s="3">
        <f t="shared" si="9"/>
        <v>0.60391091797935903</v>
      </c>
      <c r="AQ20" s="3"/>
      <c r="AR20" s="5">
        <f t="shared" si="10"/>
        <v>1.3337240000000001</v>
      </c>
      <c r="AS20" s="3">
        <v>995</v>
      </c>
      <c r="AT20" s="3">
        <f t="shared" si="11"/>
        <v>8.5163403287220394</v>
      </c>
      <c r="AU20" s="3">
        <f t="shared" si="12"/>
        <v>113.58447488584476</v>
      </c>
      <c r="AV20" s="3">
        <f t="shared" si="13"/>
        <v>2.7422615858484973</v>
      </c>
      <c r="AW20" s="3"/>
      <c r="AX20" s="3">
        <v>12887</v>
      </c>
      <c r="AY20" s="3">
        <v>5.6</v>
      </c>
      <c r="AZ20" s="3">
        <f t="shared" si="14"/>
        <v>0.17767857142857144</v>
      </c>
      <c r="BA20" s="5">
        <f t="shared" si="15"/>
        <v>1.9935128879238182</v>
      </c>
      <c r="BS20" s="10">
        <v>25953</v>
      </c>
      <c r="BT20" s="40" t="s">
        <v>294</v>
      </c>
    </row>
    <row r="21" spans="1:72" ht="15.75" customHeight="1" x14ac:dyDescent="0.15">
      <c r="A21" s="2" t="s">
        <v>88</v>
      </c>
      <c r="B21" s="46">
        <v>150</v>
      </c>
      <c r="C21" s="4">
        <v>6</v>
      </c>
      <c r="D21" s="4">
        <v>0.2</v>
      </c>
      <c r="E21" s="4">
        <v>0.65</v>
      </c>
      <c r="F21" s="4">
        <v>0.23</v>
      </c>
      <c r="G21" s="4">
        <f t="shared" si="40"/>
        <v>4.4850000000000012</v>
      </c>
      <c r="H21" s="4"/>
      <c r="I21" s="3">
        <v>171</v>
      </c>
      <c r="J21" s="3">
        <v>184</v>
      </c>
      <c r="K21" s="5">
        <f t="shared" si="0"/>
        <v>92.934782608695656</v>
      </c>
      <c r="L21" s="3">
        <v>1834</v>
      </c>
      <c r="M21" s="5">
        <f t="shared" si="20"/>
        <v>4.1872146118721458</v>
      </c>
      <c r="N21" s="5">
        <f t="shared" si="21"/>
        <v>196.44300000000007</v>
      </c>
      <c r="O21" s="5">
        <f t="shared" si="1"/>
        <v>127.11666900584795</v>
      </c>
      <c r="P21" s="3">
        <v>67</v>
      </c>
      <c r="Q21" s="3">
        <v>82922</v>
      </c>
      <c r="R21" s="3">
        <f t="shared" si="2"/>
        <v>1236.7946714068264</v>
      </c>
      <c r="S21" s="22">
        <f t="shared" si="31"/>
        <v>14.118962194589242</v>
      </c>
      <c r="T21" s="3">
        <f t="shared" si="3"/>
        <v>9.4659817351598168</v>
      </c>
      <c r="U21" s="3">
        <f t="shared" si="22"/>
        <v>371214970.00626737</v>
      </c>
      <c r="W21" s="5">
        <f t="shared" si="4"/>
        <v>25.499999999999996</v>
      </c>
      <c r="X21" s="3">
        <f t="shared" si="37"/>
        <v>3.6002584612869941</v>
      </c>
      <c r="Y21" s="3">
        <f t="shared" si="23"/>
        <v>3.1538264120874064E-2</v>
      </c>
      <c r="Z21" s="3"/>
      <c r="AA21" s="5">
        <f t="shared" si="24"/>
        <v>0.14118660632498017</v>
      </c>
      <c r="AB21" s="5">
        <f t="shared" si="6"/>
        <v>20.921743098334474</v>
      </c>
      <c r="AC21" s="5">
        <f t="shared" si="41"/>
        <v>0.15600000000000003</v>
      </c>
      <c r="AD21" s="3">
        <v>139</v>
      </c>
      <c r="AE21" s="5">
        <f t="shared" si="32"/>
        <v>26.41</v>
      </c>
      <c r="AF21" s="5">
        <f t="shared" si="26"/>
        <v>3370.79</v>
      </c>
      <c r="AG21" s="3">
        <f t="shared" si="27"/>
        <v>5.0251009999999999E-2</v>
      </c>
      <c r="AH21" s="3">
        <f t="shared" si="28"/>
        <v>5.7364166666666669</v>
      </c>
      <c r="AI21" s="10">
        <f t="shared" si="29"/>
        <v>5.7364166666666669</v>
      </c>
      <c r="AJ21" s="3">
        <f t="shared" si="7"/>
        <v>5.0251009999999999E-2</v>
      </c>
      <c r="AK21" s="3">
        <v>3.6230000000000002</v>
      </c>
      <c r="AL21" s="5">
        <f t="shared" si="30"/>
        <v>6984.8903900000005</v>
      </c>
      <c r="AM21" s="3">
        <v>75274</v>
      </c>
      <c r="AN21" s="3">
        <f t="shared" si="8"/>
        <v>797.36191666666673</v>
      </c>
      <c r="AO21" s="3"/>
      <c r="AP21" s="3">
        <f t="shared" si="9"/>
        <v>0.23655045750897172</v>
      </c>
      <c r="AQ21" s="3"/>
      <c r="AR21" s="5">
        <f t="shared" si="10"/>
        <v>0.79230000000000012</v>
      </c>
      <c r="AS21" s="3">
        <v>1469</v>
      </c>
      <c r="AT21" s="3">
        <f t="shared" si="11"/>
        <v>21.165475694426434</v>
      </c>
      <c r="AU21" s="3">
        <f t="shared" si="12"/>
        <v>167.69406392694063</v>
      </c>
      <c r="AV21" s="3">
        <f t="shared" si="13"/>
        <v>6.3496427083279299</v>
      </c>
      <c r="AW21" s="3"/>
      <c r="AX21" s="3">
        <v>17741</v>
      </c>
      <c r="AY21" s="3">
        <v>8.1999999999999993</v>
      </c>
      <c r="AZ21" s="3">
        <f t="shared" si="14"/>
        <v>0.17914634146341463</v>
      </c>
      <c r="BA21" s="5">
        <f t="shared" si="15"/>
        <v>1.9176638176638168</v>
      </c>
      <c r="BS21" s="10">
        <v>82922</v>
      </c>
      <c r="BT21" s="40" t="s">
        <v>294</v>
      </c>
    </row>
    <row r="22" spans="1:72" ht="15.75" customHeight="1" x14ac:dyDescent="0.15">
      <c r="A22" s="2" t="s">
        <v>89</v>
      </c>
      <c r="B22" s="46">
        <v>120</v>
      </c>
      <c r="C22" s="4">
        <v>2</v>
      </c>
      <c r="D22" s="4">
        <v>0.20000000000000101</v>
      </c>
      <c r="E22" s="4">
        <v>0.65</v>
      </c>
      <c r="F22" s="4">
        <v>0.17</v>
      </c>
      <c r="G22" s="4">
        <f t="shared" si="40"/>
        <v>2.6520000000000139</v>
      </c>
      <c r="H22" s="4"/>
      <c r="I22" s="3">
        <v>55</v>
      </c>
      <c r="J22" s="3">
        <v>134</v>
      </c>
      <c r="K22" s="5">
        <f t="shared" si="0"/>
        <v>41.044776119402989</v>
      </c>
      <c r="L22" s="3">
        <v>1691</v>
      </c>
      <c r="M22" s="5">
        <f t="shared" si="20"/>
        <v>3.8607305936073262</v>
      </c>
      <c r="N22" s="5">
        <f t="shared" si="21"/>
        <v>116.1576</v>
      </c>
      <c r="O22" s="5">
        <f t="shared" si="1"/>
        <v>287.82128</v>
      </c>
      <c r="P22" s="3">
        <v>0.14799999999999999</v>
      </c>
      <c r="Q22" s="3">
        <v>90</v>
      </c>
      <c r="R22" s="3">
        <f t="shared" si="2"/>
        <v>607.69188079249682</v>
      </c>
      <c r="S22" s="22">
        <f t="shared" si="31"/>
        <v>6.9372700976375983</v>
      </c>
      <c r="T22" s="3">
        <f t="shared" si="3"/>
        <v>1.0273972602739725E-2</v>
      </c>
      <c r="U22" s="3">
        <f t="shared" si="22"/>
        <v>503626.10797743755</v>
      </c>
      <c r="W22" s="5">
        <f t="shared" si="4"/>
        <v>20.399999999999999</v>
      </c>
      <c r="X22" s="3">
        <f t="shared" si="37"/>
        <v>1.415172873078417</v>
      </c>
      <c r="Y22" s="3">
        <f t="shared" si="23"/>
        <v>1.2396914368166933E-2</v>
      </c>
      <c r="Z22" s="3"/>
      <c r="AA22" s="5">
        <f t="shared" si="24"/>
        <v>6.9371219268549861E-2</v>
      </c>
      <c r="AB22" s="5">
        <f t="shared" si="6"/>
        <v>19.290440337668262</v>
      </c>
      <c r="AC22" s="5">
        <f t="shared" si="41"/>
        <v>0.12480000000000063</v>
      </c>
      <c r="AD22" s="3">
        <v>408</v>
      </c>
      <c r="AE22" s="5">
        <f t="shared" si="32"/>
        <v>77.52</v>
      </c>
      <c r="AF22" s="5">
        <f t="shared" si="26"/>
        <v>165.87</v>
      </c>
      <c r="AG22" s="3">
        <f t="shared" si="27"/>
        <v>3.9682070000000007E-2</v>
      </c>
      <c r="AH22" s="3">
        <f t="shared" si="28"/>
        <v>4.5299166666666668</v>
      </c>
      <c r="AI22" s="10">
        <f t="shared" si="29"/>
        <v>4.5299166666666668</v>
      </c>
      <c r="AJ22" s="3">
        <f t="shared" si="7"/>
        <v>3.968207E-2</v>
      </c>
      <c r="AK22" s="3">
        <v>2.8610000000000002</v>
      </c>
      <c r="AL22" s="5">
        <f t="shared" si="30"/>
        <v>16190.28456</v>
      </c>
      <c r="AM22" s="3">
        <v>90</v>
      </c>
      <c r="AN22" s="3">
        <f t="shared" si="8"/>
        <v>1848.2060000000001</v>
      </c>
      <c r="AO22" s="3"/>
      <c r="AP22" s="3">
        <f t="shared" si="9"/>
        <v>11.142497136311571</v>
      </c>
      <c r="AQ22" s="3"/>
      <c r="AR22" s="5">
        <f t="shared" si="10"/>
        <v>1.8604799999999999</v>
      </c>
      <c r="AS22" s="3">
        <v>81</v>
      </c>
      <c r="AT22" s="3">
        <f t="shared" si="11"/>
        <v>0.49699944866194495</v>
      </c>
      <c r="AU22" s="3">
        <f t="shared" si="12"/>
        <v>9.2465753424657535</v>
      </c>
      <c r="AV22" s="3">
        <f t="shared" si="13"/>
        <v>0.11927986767886679</v>
      </c>
      <c r="AW22" s="3"/>
      <c r="AX22" s="3">
        <v>873</v>
      </c>
      <c r="AY22" s="3">
        <v>3.5</v>
      </c>
      <c r="AZ22" s="3">
        <f t="shared" si="14"/>
        <v>2.3142857142857142E-2</v>
      </c>
      <c r="BA22" s="5">
        <f t="shared" si="15"/>
        <v>3.7299353832441864</v>
      </c>
      <c r="BS22" s="10">
        <v>90</v>
      </c>
      <c r="BT22" s="40" t="s">
        <v>294</v>
      </c>
    </row>
    <row r="23" spans="1:72" ht="15.75" customHeight="1" x14ac:dyDescent="0.15">
      <c r="A23" s="2" t="s">
        <v>90</v>
      </c>
      <c r="B23" s="46">
        <v>117</v>
      </c>
      <c r="C23" s="4">
        <v>1</v>
      </c>
      <c r="D23" s="4">
        <v>0.20000000000000101</v>
      </c>
      <c r="E23" s="4">
        <v>0.65</v>
      </c>
      <c r="F23" s="4">
        <v>0.23</v>
      </c>
      <c r="G23" s="4">
        <f t="shared" si="40"/>
        <v>3.4983000000000182</v>
      </c>
      <c r="H23" s="4"/>
      <c r="I23" s="3">
        <v>49</v>
      </c>
      <c r="J23" s="3">
        <v>125</v>
      </c>
      <c r="K23" s="5">
        <f t="shared" si="0"/>
        <v>39.200000000000003</v>
      </c>
      <c r="L23" s="3">
        <v>1634</v>
      </c>
      <c r="M23" s="5">
        <f t="shared" si="20"/>
        <v>3.7305936073059542</v>
      </c>
      <c r="N23" s="5">
        <f t="shared" si="21"/>
        <v>153.22554000000002</v>
      </c>
      <c r="O23" s="5">
        <f t="shared" si="1"/>
        <v>301.36632653061224</v>
      </c>
      <c r="P23" s="3">
        <v>0.19500000000000001</v>
      </c>
      <c r="Q23" s="3">
        <v>206</v>
      </c>
      <c r="R23" s="3">
        <f t="shared" si="2"/>
        <v>1055.6871829972447</v>
      </c>
      <c r="S23" s="22">
        <f t="shared" si="31"/>
        <v>12.051480953662399</v>
      </c>
      <c r="T23" s="3">
        <f t="shared" si="3"/>
        <v>2.3515981735159817E-2</v>
      </c>
      <c r="U23" s="3">
        <f t="shared" si="22"/>
        <v>1182301.7463629874</v>
      </c>
      <c r="W23" s="5">
        <f t="shared" si="4"/>
        <v>19.889999999999997</v>
      </c>
      <c r="X23" s="3">
        <f t="shared" si="37"/>
        <v>2.3969883641341547</v>
      </c>
      <c r="Y23" s="3">
        <f t="shared" si="23"/>
        <v>2.0997618069815194E-2</v>
      </c>
      <c r="Z23" s="3"/>
      <c r="AA23" s="5">
        <f t="shared" si="24"/>
        <v>0.12051223550196857</v>
      </c>
      <c r="AB23" s="5">
        <f t="shared" si="6"/>
        <v>18.640200775724388</v>
      </c>
      <c r="AC23" s="5">
        <f t="shared" si="41"/>
        <v>0.12168000000000063</v>
      </c>
      <c r="AD23" s="3">
        <v>408</v>
      </c>
      <c r="AE23" s="5">
        <f t="shared" si="32"/>
        <v>77.52</v>
      </c>
      <c r="AF23" s="5">
        <f t="shared" si="26"/>
        <v>26.03</v>
      </c>
      <c r="AG23" s="3">
        <f t="shared" si="27"/>
        <v>4.226189000000001E-2</v>
      </c>
      <c r="AH23" s="3">
        <f t="shared" si="28"/>
        <v>4.8244166666666679</v>
      </c>
      <c r="AI23" s="10">
        <f t="shared" si="29"/>
        <v>4.8244166666666679</v>
      </c>
      <c r="AJ23" s="3">
        <f t="shared" si="7"/>
        <v>4.226189000000001E-2</v>
      </c>
      <c r="AK23" s="3">
        <v>3.0470000000000002</v>
      </c>
      <c r="AL23" s="5">
        <f t="shared" si="30"/>
        <v>17242.851120000003</v>
      </c>
      <c r="AM23" s="3">
        <v>120</v>
      </c>
      <c r="AN23" s="3">
        <f t="shared" si="8"/>
        <v>1968.3620000000005</v>
      </c>
      <c r="AO23" s="3"/>
      <c r="AP23" s="3">
        <f t="shared" si="9"/>
        <v>75.6189781021898</v>
      </c>
      <c r="AQ23" s="3"/>
      <c r="AR23" s="5">
        <f t="shared" si="10"/>
        <v>1.813968</v>
      </c>
      <c r="AS23" s="3">
        <v>484</v>
      </c>
      <c r="AT23" s="3">
        <f t="shared" si="11"/>
        <v>3.0458718980991626</v>
      </c>
      <c r="AU23" s="3">
        <f t="shared" si="12"/>
        <v>55.251141552511413</v>
      </c>
      <c r="AV23" s="3">
        <f t="shared" si="13"/>
        <v>0.71273402415520404</v>
      </c>
      <c r="AW23" s="3"/>
      <c r="AX23" s="3">
        <v>137</v>
      </c>
      <c r="AY23" s="3">
        <v>13.3</v>
      </c>
      <c r="AZ23" s="3">
        <f t="shared" si="14"/>
        <v>3.6390977443609022E-2</v>
      </c>
      <c r="BA23" s="5">
        <f t="shared" si="15"/>
        <v>11.09795603345526</v>
      </c>
      <c r="BS23" s="10">
        <v>206</v>
      </c>
      <c r="BT23" s="40" t="s">
        <v>294</v>
      </c>
    </row>
    <row r="24" spans="1:72" ht="15.75" customHeight="1" x14ac:dyDescent="0.15">
      <c r="A24" s="2" t="s">
        <v>91</v>
      </c>
      <c r="B24" s="46">
        <v>238</v>
      </c>
      <c r="C24" s="2" t="s">
        <v>69</v>
      </c>
      <c r="D24" s="4">
        <v>0.2</v>
      </c>
      <c r="E24" s="4">
        <v>0.65</v>
      </c>
      <c r="F24" s="4">
        <v>0.23</v>
      </c>
      <c r="G24" s="4">
        <f>B24*D24*E24*F24</f>
        <v>7.116200000000001</v>
      </c>
      <c r="H24" s="4"/>
      <c r="I24" s="3">
        <v>151</v>
      </c>
      <c r="J24" s="3">
        <v>238</v>
      </c>
      <c r="K24" s="5">
        <f t="shared" si="0"/>
        <v>63.445378151260499</v>
      </c>
      <c r="L24" s="3">
        <v>3054</v>
      </c>
      <c r="M24" s="5">
        <f t="shared" si="20"/>
        <v>6.9726027397260264</v>
      </c>
      <c r="N24" s="5">
        <f t="shared" si="21"/>
        <v>311.68956000000003</v>
      </c>
      <c r="O24" s="5">
        <f t="shared" si="1"/>
        <v>186.20048211920533</v>
      </c>
      <c r="P24" s="3">
        <v>0.184</v>
      </c>
      <c r="Q24" s="3">
        <v>190</v>
      </c>
      <c r="R24" s="3">
        <f t="shared" si="2"/>
        <v>1031.9019135196261</v>
      </c>
      <c r="S24" s="22">
        <f t="shared" si="31"/>
        <v>11.779953813138242</v>
      </c>
      <c r="T24" s="3">
        <f t="shared" si="3"/>
        <v>2.1689497716894976E-2</v>
      </c>
      <c r="U24" s="3">
        <f t="shared" si="22"/>
        <v>536072.60793116607</v>
      </c>
      <c r="W24" s="5">
        <f t="shared" si="4"/>
        <v>40.459999999999994</v>
      </c>
      <c r="X24" s="3">
        <f t="shared" si="37"/>
        <v>4.7660675138132493</v>
      </c>
      <c r="Y24" s="3">
        <f t="shared" si="23"/>
        <v>4.1750751421004068E-2</v>
      </c>
      <c r="AA24" s="5">
        <f t="shared" si="24"/>
        <v>0.11779702209128153</v>
      </c>
      <c r="AB24" s="5">
        <f t="shared" si="6"/>
        <v>34.839151266255989</v>
      </c>
      <c r="AC24" s="5">
        <f t="shared" si="41"/>
        <v>0.24752000000000002</v>
      </c>
      <c r="AD24" s="3">
        <v>276</v>
      </c>
      <c r="AE24" s="5">
        <f t="shared" si="32"/>
        <v>52.44</v>
      </c>
      <c r="AF24" s="5">
        <f t="shared" si="26"/>
        <v>11.78</v>
      </c>
      <c r="AG24" s="3">
        <f t="shared" si="27"/>
        <v>6.9779970000000011E-2</v>
      </c>
      <c r="AH24" s="3">
        <f t="shared" si="28"/>
        <v>7.9657500000000008</v>
      </c>
      <c r="AI24" s="10">
        <f t="shared" si="29"/>
        <v>7.9657500000000008</v>
      </c>
      <c r="AJ24" s="3">
        <f t="shared" si="7"/>
        <v>6.9779969999999997E-2</v>
      </c>
      <c r="AK24" s="3">
        <v>5.0309999999999997</v>
      </c>
      <c r="AL24" s="5">
        <f t="shared" si="30"/>
        <v>19259.271720000001</v>
      </c>
      <c r="AM24" s="3">
        <v>0</v>
      </c>
      <c r="AN24" s="3">
        <f t="shared" si="8"/>
        <v>2198.547</v>
      </c>
      <c r="AO24" s="3"/>
      <c r="AP24" s="3">
        <f t="shared" si="9"/>
        <v>186.63387096774196</v>
      </c>
      <c r="AQ24" s="3"/>
      <c r="AR24" s="5">
        <f t="shared" si="10"/>
        <v>2.4961440000000001</v>
      </c>
      <c r="AS24" s="3">
        <v>0</v>
      </c>
      <c r="AT24" s="3">
        <f t="shared" si="11"/>
        <v>0</v>
      </c>
      <c r="AU24" s="3">
        <f t="shared" si="12"/>
        <v>0</v>
      </c>
      <c r="AV24" s="3">
        <f t="shared" si="13"/>
        <v>0</v>
      </c>
      <c r="AW24" s="3"/>
      <c r="AX24" s="3">
        <v>62</v>
      </c>
      <c r="AY24" s="3">
        <v>5.2</v>
      </c>
      <c r="AZ24" s="3">
        <f t="shared" si="14"/>
        <v>0</v>
      </c>
      <c r="BA24" s="5">
        <f t="shared" si="15"/>
        <v>1.3676936366253958</v>
      </c>
      <c r="BS24" s="10">
        <v>190</v>
      </c>
      <c r="BT24" s="40" t="s">
        <v>294</v>
      </c>
    </row>
    <row r="25" spans="1:72" ht="15.75" customHeight="1" x14ac:dyDescent="0.15">
      <c r="A25" s="2" t="s">
        <v>92</v>
      </c>
      <c r="B25" s="46">
        <v>226</v>
      </c>
      <c r="C25" s="4">
        <v>7</v>
      </c>
      <c r="D25" s="4">
        <v>0.2</v>
      </c>
      <c r="E25" s="4">
        <v>0.6</v>
      </c>
      <c r="F25" s="4">
        <v>0.34</v>
      </c>
      <c r="G25" s="4">
        <f>F25*E25*$D$3*B25</f>
        <v>9.2208000000000485</v>
      </c>
      <c r="H25" s="4"/>
      <c r="I25" s="3">
        <v>230</v>
      </c>
      <c r="J25" s="3">
        <v>258</v>
      </c>
      <c r="K25" s="5">
        <f t="shared" si="0"/>
        <v>89.147286821705436</v>
      </c>
      <c r="L25" s="3">
        <v>2596</v>
      </c>
      <c r="M25" s="5">
        <f t="shared" si="20"/>
        <v>5.9269406392694073</v>
      </c>
      <c r="N25" s="5">
        <f t="shared" si="21"/>
        <v>403.8710400000021</v>
      </c>
      <c r="O25" s="5">
        <f t="shared" si="1"/>
        <v>132.51732521739129</v>
      </c>
      <c r="P25" s="3">
        <v>5.63</v>
      </c>
      <c r="Q25" s="3">
        <v>11874</v>
      </c>
      <c r="R25" s="3">
        <f t="shared" si="2"/>
        <v>2107.6150426178328</v>
      </c>
      <c r="S25" s="22">
        <f t="shared" si="31"/>
        <v>24.060046340287407</v>
      </c>
      <c r="T25" s="3">
        <f t="shared" si="3"/>
        <v>1.3554794520547946</v>
      </c>
      <c r="U25" s="3">
        <f t="shared" si="22"/>
        <v>35280568.767693765</v>
      </c>
      <c r="W25" s="5">
        <f t="shared" si="4"/>
        <v>38.42</v>
      </c>
      <c r="X25" s="3">
        <f t="shared" si="37"/>
        <v>9.2436723672804959</v>
      </c>
      <c r="Y25" s="3">
        <f t="shared" si="23"/>
        <v>8.0974569937377144E-2</v>
      </c>
      <c r="Z25" s="3"/>
      <c r="AA25" s="5">
        <f t="shared" si="24"/>
        <v>0.2405953244997526</v>
      </c>
      <c r="AB25" s="5">
        <f t="shared" si="6"/>
        <v>29.614419347478893</v>
      </c>
      <c r="AC25" s="5">
        <f>B25*D25*(0.8*E25)*0.02</f>
        <v>0.43392000000000003</v>
      </c>
      <c r="AD25" s="3">
        <v>150</v>
      </c>
      <c r="AE25" s="5">
        <f t="shared" si="32"/>
        <v>28.5</v>
      </c>
      <c r="AF25" s="5">
        <f t="shared" si="26"/>
        <v>3613.42</v>
      </c>
      <c r="AG25" s="3">
        <f t="shared" si="27"/>
        <v>8.3136780000000021E-2</v>
      </c>
      <c r="AH25" s="3">
        <f t="shared" si="28"/>
        <v>9.4905000000000026</v>
      </c>
      <c r="AI25" s="10">
        <f t="shared" si="29"/>
        <v>9.4905000000000026</v>
      </c>
      <c r="AJ25" s="3">
        <f t="shared" si="7"/>
        <v>8.3136780000000021E-2</v>
      </c>
      <c r="AK25" s="3">
        <v>5.9939999999999998</v>
      </c>
      <c r="AL25" s="5">
        <f t="shared" si="30"/>
        <v>12470.517000000002</v>
      </c>
      <c r="AM25" s="3">
        <v>12439</v>
      </c>
      <c r="AN25" s="3">
        <f t="shared" si="8"/>
        <v>1423.5750000000003</v>
      </c>
      <c r="AO25" s="3"/>
      <c r="AP25" s="3">
        <f t="shared" si="9"/>
        <v>0.39396887159533078</v>
      </c>
      <c r="AQ25" s="3"/>
      <c r="AR25" s="5">
        <f t="shared" si="10"/>
        <v>1.2882</v>
      </c>
      <c r="AS25" s="3">
        <v>241</v>
      </c>
      <c r="AT25" s="3">
        <f t="shared" si="11"/>
        <v>2.1356478438995619</v>
      </c>
      <c r="AU25" s="3">
        <f t="shared" si="12"/>
        <v>27.511415525114156</v>
      </c>
      <c r="AV25" s="3">
        <f t="shared" si="13"/>
        <v>0.965312825442602</v>
      </c>
      <c r="AW25" s="3"/>
      <c r="AX25" s="3">
        <v>19018</v>
      </c>
      <c r="AY25" s="3">
        <v>2.2999999999999998</v>
      </c>
      <c r="AZ25" s="3">
        <f t="shared" si="14"/>
        <v>0.10478260869565217</v>
      </c>
      <c r="BA25" s="5">
        <f t="shared" si="15"/>
        <v>0.29744949273476062</v>
      </c>
      <c r="BS25" s="10">
        <v>11874</v>
      </c>
      <c r="BT25" s="40" t="s">
        <v>294</v>
      </c>
    </row>
    <row r="26" spans="1:72" ht="15.75" customHeight="1" x14ac:dyDescent="0.15">
      <c r="A26" s="2" t="s">
        <v>93</v>
      </c>
      <c r="B26" s="46">
        <v>119</v>
      </c>
      <c r="C26" s="4">
        <v>5</v>
      </c>
      <c r="D26" s="4">
        <v>0.20000000000000101</v>
      </c>
      <c r="E26" s="4">
        <v>0.65</v>
      </c>
      <c r="F26" s="4">
        <v>0.17</v>
      </c>
      <c r="G26" s="4">
        <f t="shared" ref="G26:G35" si="42">F26*E26*D26*B26</f>
        <v>2.6299000000000139</v>
      </c>
      <c r="H26" s="4"/>
      <c r="I26" s="3">
        <v>43</v>
      </c>
      <c r="J26" s="3">
        <v>120</v>
      </c>
      <c r="K26" s="5">
        <f t="shared" si="0"/>
        <v>35.833333333333336</v>
      </c>
      <c r="L26" s="3">
        <v>1662</v>
      </c>
      <c r="M26" s="5">
        <f t="shared" si="20"/>
        <v>3.7945205479452251</v>
      </c>
      <c r="N26" s="5">
        <f t="shared" si="21"/>
        <v>115.18962000000002</v>
      </c>
      <c r="O26" s="5">
        <f t="shared" si="1"/>
        <v>329.68074418604652</v>
      </c>
      <c r="P26" s="3">
        <v>10.210000000000001</v>
      </c>
      <c r="Q26" s="3">
        <v>8056</v>
      </c>
      <c r="R26" s="3">
        <f t="shared" si="2"/>
        <v>788.49030054012883</v>
      </c>
      <c r="S26" s="22">
        <f t="shared" si="31"/>
        <v>9.0012230821331336</v>
      </c>
      <c r="T26" s="3">
        <f t="shared" si="3"/>
        <v>0.91963470319634699</v>
      </c>
      <c r="U26" s="3">
        <f>(Q26*10^9)/(B26*365*24*0.2*0.85)</f>
        <v>45458957.152562879</v>
      </c>
      <c r="W26" s="5">
        <f t="shared" si="4"/>
        <v>20.23</v>
      </c>
      <c r="X26" s="3">
        <f t="shared" si="37"/>
        <v>1.8209085365213251</v>
      </c>
      <c r="Y26" s="3">
        <f t="shared" si="23"/>
        <v>1.5951158779926807E-2</v>
      </c>
      <c r="Z26" s="3"/>
      <c r="AA26" s="5">
        <f t="shared" si="24"/>
        <v>9.0010308280836629E-2</v>
      </c>
      <c r="AB26" s="5">
        <f t="shared" si="6"/>
        <v>18.9596167008898</v>
      </c>
      <c r="AC26" s="5">
        <f t="shared" ref="AC26:AC35" si="43">B26*D26*(0.8*E26)*0.01</f>
        <v>0.12376000000000063</v>
      </c>
      <c r="AD26" s="3">
        <v>163</v>
      </c>
      <c r="AE26" s="5">
        <f t="shared" si="32"/>
        <v>30.97</v>
      </c>
      <c r="AF26" s="5">
        <f t="shared" si="26"/>
        <v>837.52</v>
      </c>
      <c r="AG26" s="3">
        <f t="shared" si="27"/>
        <v>3.8281200000000008E-2</v>
      </c>
      <c r="AH26" s="3">
        <f t="shared" si="28"/>
        <v>4.370000000000001</v>
      </c>
      <c r="AI26" s="10">
        <f t="shared" si="29"/>
        <v>4.370000000000001</v>
      </c>
      <c r="AJ26" s="3">
        <f t="shared" si="7"/>
        <v>3.8281200000000008E-2</v>
      </c>
      <c r="AK26" s="3">
        <v>2.76</v>
      </c>
      <c r="AL26" s="5">
        <f t="shared" si="30"/>
        <v>6239.8356000000003</v>
      </c>
      <c r="AM26" s="3">
        <v>5189</v>
      </c>
      <c r="AN26" s="3">
        <f t="shared" si="8"/>
        <v>712.31000000000006</v>
      </c>
      <c r="AO26" s="3"/>
      <c r="AP26" s="3">
        <f t="shared" si="9"/>
        <v>0.8504990925589837</v>
      </c>
      <c r="AQ26" s="3"/>
      <c r="AR26" s="5">
        <f t="shared" si="10"/>
        <v>0.73708600000000002</v>
      </c>
      <c r="AS26" s="3">
        <v>752</v>
      </c>
      <c r="AT26" s="3">
        <f t="shared" si="11"/>
        <v>11.646503780894967</v>
      </c>
      <c r="AU26" s="3">
        <f t="shared" si="12"/>
        <v>85.844748858447488</v>
      </c>
      <c r="AV26" s="3">
        <f t="shared" si="13"/>
        <v>2.7718678998530026</v>
      </c>
      <c r="AW26" s="3"/>
      <c r="AX26" s="3">
        <v>4408</v>
      </c>
      <c r="AY26" s="3">
        <v>7</v>
      </c>
      <c r="AZ26" s="3">
        <f t="shared" si="14"/>
        <v>0.10742857142857143</v>
      </c>
      <c r="BA26" s="5">
        <f t="shared" si="15"/>
        <v>7.8731439961020291</v>
      </c>
      <c r="BS26" s="10">
        <v>8056</v>
      </c>
      <c r="BT26" s="40" t="s">
        <v>294</v>
      </c>
    </row>
    <row r="27" spans="1:72" ht="15.75" customHeight="1" x14ac:dyDescent="0.15">
      <c r="A27" s="2" t="s">
        <v>94</v>
      </c>
      <c r="B27" s="46">
        <v>118</v>
      </c>
      <c r="C27" s="4">
        <v>3</v>
      </c>
      <c r="D27" s="4">
        <v>0.20000000000000101</v>
      </c>
      <c r="E27" s="4">
        <v>0.65</v>
      </c>
      <c r="F27" s="4">
        <v>0.17</v>
      </c>
      <c r="G27" s="4">
        <f t="shared" si="42"/>
        <v>2.6078000000000139</v>
      </c>
      <c r="H27" s="4"/>
      <c r="I27" s="3">
        <v>59</v>
      </c>
      <c r="J27" s="3">
        <v>134</v>
      </c>
      <c r="K27" s="5">
        <f t="shared" si="0"/>
        <v>44.029850746268657</v>
      </c>
      <c r="L27" s="3">
        <v>1571</v>
      </c>
      <c r="M27" s="5">
        <f t="shared" si="20"/>
        <v>3.5867579908675977</v>
      </c>
      <c r="N27" s="5">
        <f t="shared" si="21"/>
        <v>114.22164000000002</v>
      </c>
      <c r="O27" s="5">
        <f t="shared" si="1"/>
        <v>268.30797288135597</v>
      </c>
      <c r="P27" s="3">
        <v>3.94</v>
      </c>
      <c r="Q27" s="3">
        <v>1990</v>
      </c>
      <c r="R27" s="3">
        <f t="shared" si="2"/>
        <v>504.73043635365531</v>
      </c>
      <c r="S27" s="22">
        <f t="shared" si="31"/>
        <v>5.7618860382296271</v>
      </c>
      <c r="T27" s="3">
        <f t="shared" si="3"/>
        <v>0.2271689497716895</v>
      </c>
      <c r="U27" s="3">
        <f t="shared" si="22"/>
        <v>11324474.066385319</v>
      </c>
      <c r="W27" s="5">
        <f t="shared" si="4"/>
        <v>20.059999999999999</v>
      </c>
      <c r="X27" s="3">
        <f t="shared" si="37"/>
        <v>1.1558096521979822</v>
      </c>
      <c r="Y27" s="3">
        <f t="shared" si="23"/>
        <v>1.0124892553254322E-2</v>
      </c>
      <c r="Z27" s="3"/>
      <c r="AA27" s="5">
        <f t="shared" si="24"/>
        <v>5.7617629720736904E-2</v>
      </c>
      <c r="AB27" s="5">
        <f t="shared" si="6"/>
        <v>17.921514944102213</v>
      </c>
      <c r="AC27" s="5">
        <f t="shared" si="43"/>
        <v>0.12272000000000062</v>
      </c>
      <c r="AD27" s="3">
        <v>267</v>
      </c>
      <c r="AE27" s="5">
        <f t="shared" si="32"/>
        <v>50.730000000000004</v>
      </c>
      <c r="AF27" s="5">
        <f t="shared" si="26"/>
        <v>2158.02</v>
      </c>
      <c r="AG27" s="3">
        <f t="shared" si="27"/>
        <v>4.2192540000000001E-2</v>
      </c>
      <c r="AH27" s="3">
        <f t="shared" si="28"/>
        <v>4.8165000000000004</v>
      </c>
      <c r="AI27" s="10">
        <f t="shared" si="29"/>
        <v>4.8165000000000004</v>
      </c>
      <c r="AJ27" s="3">
        <f t="shared" si="7"/>
        <v>4.2192540000000001E-2</v>
      </c>
      <c r="AK27" s="3">
        <v>3.0419999999999998</v>
      </c>
      <c r="AL27" s="5">
        <f t="shared" si="30"/>
        <v>11265.40818</v>
      </c>
      <c r="AM27" s="3">
        <v>713</v>
      </c>
      <c r="AN27" s="3">
        <f t="shared" si="8"/>
        <v>1286.0055</v>
      </c>
      <c r="AO27" s="3"/>
      <c r="AP27" s="3">
        <f t="shared" si="9"/>
        <v>0.59591917591125199</v>
      </c>
      <c r="AQ27" s="3"/>
      <c r="AR27" s="5">
        <f t="shared" si="10"/>
        <v>1.197228</v>
      </c>
      <c r="AS27" s="3">
        <v>47</v>
      </c>
      <c r="AT27" s="3">
        <f t="shared" si="11"/>
        <v>0.44814327794312936</v>
      </c>
      <c r="AU27" s="3">
        <f t="shared" si="12"/>
        <v>5.365296803652968</v>
      </c>
      <c r="AV27" s="3">
        <f t="shared" si="13"/>
        <v>0.10576181359457851</v>
      </c>
      <c r="AW27" s="3"/>
      <c r="AX27" s="3">
        <v>11358</v>
      </c>
      <c r="AY27" s="3">
        <v>3.9</v>
      </c>
      <c r="AZ27" s="3">
        <f t="shared" si="14"/>
        <v>1.2051282051282051E-2</v>
      </c>
      <c r="BA27" s="5">
        <f t="shared" si="15"/>
        <v>3.9848422464028825</v>
      </c>
      <c r="BS27" s="10">
        <v>1990</v>
      </c>
      <c r="BT27" s="40" t="s">
        <v>294</v>
      </c>
    </row>
    <row r="28" spans="1:72" ht="15.75" customHeight="1" x14ac:dyDescent="0.15">
      <c r="A28" s="2" t="s">
        <v>95</v>
      </c>
      <c r="B28" s="46">
        <v>185</v>
      </c>
      <c r="C28" s="4">
        <v>6</v>
      </c>
      <c r="D28" s="4">
        <v>0.2</v>
      </c>
      <c r="E28" s="4">
        <v>0.65</v>
      </c>
      <c r="F28" s="4">
        <v>0.23</v>
      </c>
      <c r="G28" s="4">
        <f t="shared" si="42"/>
        <v>5.5315000000000012</v>
      </c>
      <c r="H28" s="4"/>
      <c r="I28" s="3">
        <v>138</v>
      </c>
      <c r="J28" s="3">
        <v>215</v>
      </c>
      <c r="K28" s="5">
        <f t="shared" si="0"/>
        <v>64.186046511627907</v>
      </c>
      <c r="L28" s="3">
        <v>2770</v>
      </c>
      <c r="M28" s="5">
        <f t="shared" si="20"/>
        <v>6.3242009132420094</v>
      </c>
      <c r="N28" s="5">
        <f t="shared" si="21"/>
        <v>242.27970000000005</v>
      </c>
      <c r="O28" s="5">
        <f t="shared" si="1"/>
        <v>184.05184057971016</v>
      </c>
      <c r="P28" s="3">
        <v>1.02</v>
      </c>
      <c r="Q28" s="3">
        <v>1695</v>
      </c>
      <c r="R28" s="3">
        <f t="shared" si="2"/>
        <v>1660.6272899303458</v>
      </c>
      <c r="S28" s="22">
        <f t="shared" si="31"/>
        <v>18.957337436746926</v>
      </c>
      <c r="T28" s="3">
        <f t="shared" si="3"/>
        <v>0.1934931506849315</v>
      </c>
      <c r="U28" s="3">
        <f t="shared" si="22"/>
        <v>6152405.427183832</v>
      </c>
      <c r="W28" s="5">
        <f t="shared" si="4"/>
        <v>31.45</v>
      </c>
      <c r="X28" s="3">
        <f t="shared" si="37"/>
        <v>5.9619552817704768</v>
      </c>
      <c r="Y28" s="3">
        <f t="shared" si="23"/>
        <v>5.2226728268309375E-2</v>
      </c>
      <c r="Z28" s="3"/>
      <c r="AA28" s="5">
        <f t="shared" si="24"/>
        <v>0.18956932533451437</v>
      </c>
      <c r="AB28" s="5">
        <f t="shared" si="6"/>
        <v>31.59936116814967</v>
      </c>
      <c r="AC28" s="5">
        <f t="shared" si="43"/>
        <v>0.19240000000000002</v>
      </c>
      <c r="AD28" s="3">
        <v>298</v>
      </c>
      <c r="AE28" s="5">
        <f t="shared" si="32"/>
        <v>56.62</v>
      </c>
      <c r="AF28" s="5">
        <f t="shared" si="26"/>
        <v>452.39</v>
      </c>
      <c r="AG28" s="3">
        <f t="shared" si="27"/>
        <v>6.4023920000000012E-2</v>
      </c>
      <c r="AH28" s="3">
        <f t="shared" si="28"/>
        <v>7.3086666666666682</v>
      </c>
      <c r="AI28" s="10">
        <f t="shared" si="29"/>
        <v>7.3086666666666682</v>
      </c>
      <c r="AJ28" s="3">
        <f t="shared" si="7"/>
        <v>6.4023920000000012E-2</v>
      </c>
      <c r="AK28" s="3">
        <v>4.6159999999999997</v>
      </c>
      <c r="AL28" s="5">
        <f t="shared" si="30"/>
        <v>19079.12816</v>
      </c>
      <c r="AM28" s="3">
        <v>1275</v>
      </c>
      <c r="AN28" s="3">
        <f t="shared" si="8"/>
        <v>2177.9826666666668</v>
      </c>
      <c r="AO28" s="3"/>
      <c r="AP28" s="3">
        <f t="shared" si="9"/>
        <v>4.8143917121657571</v>
      </c>
      <c r="AQ28" s="3"/>
      <c r="AR28" s="5">
        <f t="shared" si="10"/>
        <v>2.0949400000000002</v>
      </c>
      <c r="AS28" s="3">
        <v>309</v>
      </c>
      <c r="AT28" s="3">
        <f t="shared" si="11"/>
        <v>1.6837700651445731</v>
      </c>
      <c r="AU28" s="3">
        <f t="shared" si="12"/>
        <v>35.273972602739725</v>
      </c>
      <c r="AV28" s="3">
        <f t="shared" si="13"/>
        <v>0.62299492410349222</v>
      </c>
      <c r="AW28" s="3"/>
      <c r="AX28" s="3">
        <v>2381</v>
      </c>
      <c r="AY28" s="3">
        <v>5.0999999999999996</v>
      </c>
      <c r="AZ28" s="3">
        <f t="shared" si="14"/>
        <v>6.0588235294117644E-2</v>
      </c>
      <c r="BA28" s="5">
        <f t="shared" si="15"/>
        <v>1.6024195909592878</v>
      </c>
      <c r="BS28" s="10">
        <v>1695</v>
      </c>
      <c r="BT28" s="40" t="s">
        <v>294</v>
      </c>
    </row>
    <row r="29" spans="1:72" ht="15.75" customHeight="1" x14ac:dyDescent="0.15">
      <c r="A29" s="2" t="s">
        <v>96</v>
      </c>
      <c r="B29" s="46">
        <v>140</v>
      </c>
      <c r="C29" s="4">
        <v>5</v>
      </c>
      <c r="D29" s="4">
        <v>0.2</v>
      </c>
      <c r="E29" s="4">
        <v>0.65</v>
      </c>
      <c r="F29" s="4">
        <v>0.23</v>
      </c>
      <c r="G29" s="4">
        <f t="shared" si="42"/>
        <v>4.1860000000000008</v>
      </c>
      <c r="H29" s="4"/>
      <c r="I29" s="3">
        <v>100</v>
      </c>
      <c r="J29" s="3">
        <v>158</v>
      </c>
      <c r="K29" s="5">
        <f t="shared" si="0"/>
        <v>63.291139240506332</v>
      </c>
      <c r="L29" s="3">
        <v>2115</v>
      </c>
      <c r="M29" s="5">
        <f t="shared" si="20"/>
        <v>4.8287671232876717</v>
      </c>
      <c r="N29" s="5">
        <f t="shared" si="21"/>
        <v>183.34680000000003</v>
      </c>
      <c r="O29" s="5">
        <f t="shared" si="1"/>
        <v>186.654248</v>
      </c>
      <c r="P29" s="3">
        <v>1.39</v>
      </c>
      <c r="Q29" s="3">
        <v>1703</v>
      </c>
      <c r="R29" s="3">
        <f t="shared" si="2"/>
        <v>1224.3412662067472</v>
      </c>
      <c r="S29" s="22">
        <f t="shared" si="31"/>
        <v>13.976796998313118</v>
      </c>
      <c r="T29" s="3">
        <f t="shared" si="3"/>
        <v>0.19440639269406393</v>
      </c>
      <c r="U29" s="3">
        <f t="shared" si="22"/>
        <v>8168335.8274816778</v>
      </c>
      <c r="W29" s="5">
        <f t="shared" si="4"/>
        <v>23.8</v>
      </c>
      <c r="X29" s="3">
        <f t="shared" si="37"/>
        <v>3.3264066364977838</v>
      </c>
      <c r="Y29" s="3">
        <f t="shared" si="23"/>
        <v>2.9139322135720583E-2</v>
      </c>
      <c r="Z29" s="3"/>
      <c r="AA29" s="5">
        <f t="shared" si="24"/>
        <v>0.13976498472679763</v>
      </c>
      <c r="AB29" s="5">
        <f t="shared" si="6"/>
        <v>24.127310061601641</v>
      </c>
      <c r="AC29" s="5">
        <f t="shared" si="43"/>
        <v>0.14560000000000001</v>
      </c>
      <c r="AD29" s="3">
        <v>225</v>
      </c>
      <c r="AE29" s="5">
        <f t="shared" si="32"/>
        <v>42.75</v>
      </c>
      <c r="AF29" s="5">
        <f t="shared" si="26"/>
        <v>1407.9</v>
      </c>
      <c r="AG29" s="3">
        <f t="shared" si="27"/>
        <v>4.6922209999999999E-2</v>
      </c>
      <c r="AH29" s="3">
        <f t="shared" si="28"/>
        <v>5.356416666666667</v>
      </c>
      <c r="AI29" s="10">
        <f t="shared" si="29"/>
        <v>5.356416666666667</v>
      </c>
      <c r="AJ29" s="3">
        <f t="shared" si="7"/>
        <v>4.6922210000000006E-2</v>
      </c>
      <c r="AK29" s="3">
        <v>3.383</v>
      </c>
      <c r="AL29" s="5">
        <f t="shared" si="30"/>
        <v>10557.49725</v>
      </c>
      <c r="AM29" s="3">
        <v>1734</v>
      </c>
      <c r="AN29" s="3">
        <f t="shared" si="8"/>
        <v>1205.1937499999999</v>
      </c>
      <c r="AO29" s="3"/>
      <c r="AP29" s="3">
        <f t="shared" si="9"/>
        <v>0.85602226720647756</v>
      </c>
      <c r="AQ29" s="3"/>
      <c r="AR29" s="5">
        <f t="shared" si="10"/>
        <v>1.1970000000000001</v>
      </c>
      <c r="AS29" s="3">
        <v>222</v>
      </c>
      <c r="AT29" s="3">
        <f t="shared" si="11"/>
        <v>2.1171650587656354</v>
      </c>
      <c r="AU29" s="3">
        <f t="shared" si="12"/>
        <v>25.342465753424658</v>
      </c>
      <c r="AV29" s="3">
        <f t="shared" si="13"/>
        <v>0.59280621645437792</v>
      </c>
      <c r="AW29" s="3"/>
      <c r="AX29" s="3">
        <v>7410</v>
      </c>
      <c r="AY29" s="3">
        <v>2.5</v>
      </c>
      <c r="AZ29" s="3">
        <f t="shared" si="14"/>
        <v>8.8800000000000004E-2</v>
      </c>
      <c r="BA29" s="5">
        <f t="shared" si="15"/>
        <v>1.0210457477305301</v>
      </c>
      <c r="BS29" s="10">
        <v>1703</v>
      </c>
      <c r="BT29" s="40" t="s">
        <v>294</v>
      </c>
    </row>
    <row r="30" spans="1:72" ht="15.75" customHeight="1" x14ac:dyDescent="0.15">
      <c r="A30" s="2" t="s">
        <v>97</v>
      </c>
      <c r="B30" s="46">
        <v>113</v>
      </c>
      <c r="C30" s="4">
        <v>16</v>
      </c>
      <c r="D30" s="4">
        <v>0.20000000000000101</v>
      </c>
      <c r="E30" s="4">
        <v>0.65</v>
      </c>
      <c r="F30" s="4">
        <v>0.17</v>
      </c>
      <c r="G30" s="4">
        <f t="shared" si="42"/>
        <v>2.497300000000013</v>
      </c>
      <c r="H30" s="4"/>
      <c r="I30" s="3">
        <v>78</v>
      </c>
      <c r="J30" s="3">
        <v>166</v>
      </c>
      <c r="K30" s="5">
        <f t="shared" si="0"/>
        <v>46.987951807228917</v>
      </c>
      <c r="L30" s="3">
        <v>1987</v>
      </c>
      <c r="M30" s="5">
        <f t="shared" si="20"/>
        <v>4.5365296803653203</v>
      </c>
      <c r="N30" s="5">
        <f t="shared" si="21"/>
        <v>109.38174000000001</v>
      </c>
      <c r="O30" s="5">
        <f t="shared" si="1"/>
        <v>251.41678974358976</v>
      </c>
      <c r="P30" s="3">
        <v>1.43</v>
      </c>
      <c r="Q30" s="3">
        <v>1862</v>
      </c>
      <c r="R30" s="3">
        <f t="shared" si="2"/>
        <v>1301.2066646563567</v>
      </c>
      <c r="S30" s="22">
        <f t="shared" si="31"/>
        <v>14.854274626469143</v>
      </c>
      <c r="T30" s="3">
        <f t="shared" si="3"/>
        <v>0.21255707762557077</v>
      </c>
      <c r="U30" s="3">
        <f t="shared" si="22"/>
        <v>11064918.148129661</v>
      </c>
      <c r="W30" s="5">
        <f t="shared" si="4"/>
        <v>19.21</v>
      </c>
      <c r="X30" s="3">
        <f t="shared" si="37"/>
        <v>2.8534452086813484</v>
      </c>
      <c r="Y30" s="3">
        <f t="shared" si="23"/>
        <v>2.4996180028048612E-2</v>
      </c>
      <c r="Z30" s="3"/>
      <c r="AA30" s="5">
        <f t="shared" si="24"/>
        <v>0.1485395735909083</v>
      </c>
      <c r="AB30" s="5">
        <f t="shared" si="6"/>
        <v>22.667122975131189</v>
      </c>
      <c r="AC30" s="5">
        <f t="shared" si="43"/>
        <v>0.11752000000000061</v>
      </c>
      <c r="AD30" s="3">
        <v>364</v>
      </c>
      <c r="AE30" s="5">
        <f t="shared" si="32"/>
        <v>69.16</v>
      </c>
      <c r="AF30" s="5">
        <f t="shared" si="26"/>
        <v>9091.1200000000008</v>
      </c>
      <c r="AG30" s="3">
        <f t="shared" si="27"/>
        <v>4.0223000000000002E-2</v>
      </c>
      <c r="AH30" s="3">
        <f t="shared" si="28"/>
        <v>4.5916666666666668</v>
      </c>
      <c r="AI30" s="10">
        <f t="shared" si="29"/>
        <v>4.5916666666666668</v>
      </c>
      <c r="AJ30" s="3">
        <f t="shared" si="7"/>
        <v>4.0222999999999995E-2</v>
      </c>
      <c r="AK30" s="3">
        <v>2.9</v>
      </c>
      <c r="AL30" s="5">
        <f t="shared" si="30"/>
        <v>14641.172</v>
      </c>
      <c r="AM30" s="3">
        <v>985</v>
      </c>
      <c r="AN30" s="3">
        <f t="shared" si="8"/>
        <v>1671.3666666666666</v>
      </c>
      <c r="AO30" s="3"/>
      <c r="AP30" s="3">
        <f t="shared" si="9"/>
        <v>0.18384606810455328</v>
      </c>
      <c r="AQ30" s="3"/>
      <c r="AR30" s="5">
        <f t="shared" si="10"/>
        <v>1.5630160000000002</v>
      </c>
      <c r="AS30" s="3">
        <v>17</v>
      </c>
      <c r="AT30" s="3">
        <f t="shared" si="11"/>
        <v>0.12415991067310844</v>
      </c>
      <c r="AU30" s="3">
        <f t="shared" si="12"/>
        <v>1.9406392694063928</v>
      </c>
      <c r="AV30" s="3">
        <f t="shared" si="13"/>
        <v>2.8060139812122509E-2</v>
      </c>
      <c r="AW30" s="3"/>
      <c r="AX30" s="3">
        <v>47848</v>
      </c>
      <c r="AY30" s="3">
        <v>6.7</v>
      </c>
      <c r="AZ30" s="3">
        <f t="shared" si="14"/>
        <v>2.5373134328358208E-3</v>
      </c>
      <c r="BA30" s="5">
        <f t="shared" si="15"/>
        <v>6.7631317463886287</v>
      </c>
      <c r="BS30" s="10">
        <v>1862</v>
      </c>
      <c r="BT30" s="40" t="s">
        <v>294</v>
      </c>
    </row>
    <row r="31" spans="1:72" ht="15.75" customHeight="1" x14ac:dyDescent="0.15">
      <c r="A31" s="2" t="s">
        <v>98</v>
      </c>
      <c r="B31" s="46">
        <v>124</v>
      </c>
      <c r="C31" s="4">
        <v>4</v>
      </c>
      <c r="D31" s="4">
        <v>0.20000000000000101</v>
      </c>
      <c r="E31" s="4">
        <v>0.65</v>
      </c>
      <c r="F31" s="4">
        <v>0.23</v>
      </c>
      <c r="G31" s="4">
        <f t="shared" si="42"/>
        <v>3.7076000000000193</v>
      </c>
      <c r="H31" s="4"/>
      <c r="I31" s="3">
        <v>66</v>
      </c>
      <c r="J31" s="3">
        <v>140</v>
      </c>
      <c r="K31" s="5">
        <f t="shared" si="0"/>
        <v>47.142857142857139</v>
      </c>
      <c r="L31" s="3">
        <v>2038</v>
      </c>
      <c r="M31" s="5">
        <f t="shared" si="20"/>
        <v>4.6529680365297041</v>
      </c>
      <c r="N31" s="5">
        <f t="shared" si="21"/>
        <v>162.39288000000002</v>
      </c>
      <c r="O31" s="5">
        <f t="shared" si="1"/>
        <v>250.59066666666672</v>
      </c>
      <c r="P31" s="3">
        <v>0.59</v>
      </c>
      <c r="Q31" s="3">
        <v>656</v>
      </c>
      <c r="R31" s="3">
        <f t="shared" si="2"/>
        <v>1111.1033770693396</v>
      </c>
      <c r="S31" s="22">
        <f t="shared" si="31"/>
        <v>12.684099420705069</v>
      </c>
      <c r="T31" s="3">
        <f t="shared" si="3"/>
        <v>7.4885844748858441E-2</v>
      </c>
      <c r="U31" s="3">
        <f t="shared" si="22"/>
        <v>3552459.4283139682</v>
      </c>
      <c r="W31" s="5">
        <f t="shared" si="4"/>
        <v>21.079999999999995</v>
      </c>
      <c r="X31" s="3">
        <f t="shared" si="37"/>
        <v>2.673751048929415</v>
      </c>
      <c r="Y31" s="3">
        <f t="shared" si="23"/>
        <v>2.3422059188621676E-2</v>
      </c>
      <c r="Z31" s="3"/>
      <c r="AA31" s="5">
        <f t="shared" si="24"/>
        <v>0.12683828505357758</v>
      </c>
      <c r="AB31" s="5">
        <f t="shared" si="6"/>
        <v>23.248916267396762</v>
      </c>
      <c r="AC31" s="5">
        <f t="shared" si="43"/>
        <v>0.12896000000000066</v>
      </c>
      <c r="AD31" s="3">
        <v>337</v>
      </c>
      <c r="AE31" s="5">
        <f t="shared" si="32"/>
        <v>64.03</v>
      </c>
      <c r="AF31" s="5">
        <f t="shared" si="26"/>
        <v>300.39</v>
      </c>
      <c r="AG31" s="3">
        <f t="shared" si="27"/>
        <v>4.5451990000000005E-2</v>
      </c>
      <c r="AH31" s="3">
        <f t="shared" si="28"/>
        <v>5.1885833333333338</v>
      </c>
      <c r="AI31" s="10">
        <f t="shared" si="29"/>
        <v>5.1885833333333338</v>
      </c>
      <c r="AJ31" s="3">
        <f t="shared" si="7"/>
        <v>4.5451990000000005E-2</v>
      </c>
      <c r="AK31" s="3">
        <v>3.2770000000000001</v>
      </c>
      <c r="AL31" s="5">
        <f t="shared" si="30"/>
        <v>15317.32063</v>
      </c>
      <c r="AM31" s="3">
        <v>589</v>
      </c>
      <c r="AN31" s="3">
        <f t="shared" si="8"/>
        <v>1748.5525833333334</v>
      </c>
      <c r="AO31" s="3"/>
      <c r="AP31" s="3">
        <f t="shared" si="9"/>
        <v>5.8209413873076112</v>
      </c>
      <c r="AQ31" s="3"/>
      <c r="AR31" s="5">
        <f t="shared" si="10"/>
        <v>1.5879440000000002</v>
      </c>
      <c r="AS31" s="3">
        <v>267</v>
      </c>
      <c r="AT31" s="3">
        <f t="shared" si="11"/>
        <v>1.9194286482895186</v>
      </c>
      <c r="AU31" s="3">
        <f t="shared" si="12"/>
        <v>30.479452054794521</v>
      </c>
      <c r="AV31" s="3">
        <f t="shared" si="13"/>
        <v>0.4760183047758007</v>
      </c>
      <c r="AW31" s="3"/>
      <c r="AX31" s="3">
        <v>1581</v>
      </c>
      <c r="AY31" s="3">
        <v>5</v>
      </c>
      <c r="AZ31" s="3">
        <f t="shared" si="14"/>
        <v>5.3400000000000003E-2</v>
      </c>
      <c r="BA31" s="5">
        <f t="shared" si="15"/>
        <v>3.2155950349323255</v>
      </c>
      <c r="BS31" s="10">
        <v>656</v>
      </c>
      <c r="BT31" s="40" t="s">
        <v>294</v>
      </c>
    </row>
    <row r="32" spans="1:72" ht="15.75" customHeight="1" x14ac:dyDescent="0.15">
      <c r="A32" s="2" t="s">
        <v>99</v>
      </c>
      <c r="B32" s="46">
        <v>141</v>
      </c>
      <c r="C32" s="4">
        <v>2</v>
      </c>
      <c r="D32" s="4">
        <v>0.2</v>
      </c>
      <c r="E32" s="4">
        <v>0.65</v>
      </c>
      <c r="F32" s="4">
        <v>0.23</v>
      </c>
      <c r="G32" s="4">
        <f t="shared" si="42"/>
        <v>4.2159000000000013</v>
      </c>
      <c r="H32" s="4"/>
      <c r="I32" s="3">
        <v>82</v>
      </c>
      <c r="J32" s="3">
        <v>156</v>
      </c>
      <c r="K32" s="5">
        <f t="shared" si="0"/>
        <v>52.564102564102569</v>
      </c>
      <c r="L32" s="3">
        <v>1974</v>
      </c>
      <c r="M32" s="5">
        <f t="shared" si="20"/>
        <v>4.506849315068493</v>
      </c>
      <c r="N32" s="5">
        <f t="shared" si="21"/>
        <v>184.65642000000008</v>
      </c>
      <c r="O32" s="5">
        <f t="shared" si="1"/>
        <v>224.74577560975609</v>
      </c>
      <c r="P32" s="3">
        <v>0.26700000000000002</v>
      </c>
      <c r="Q32" s="3">
        <v>288</v>
      </c>
      <c r="R32" s="3">
        <f t="shared" si="2"/>
        <v>1077.9133885517847</v>
      </c>
      <c r="S32" s="22">
        <f t="shared" si="31"/>
        <v>12.305210180678527</v>
      </c>
      <c r="T32" s="3">
        <f t="shared" si="3"/>
        <v>3.287671232876712E-2</v>
      </c>
      <c r="U32" s="3">
        <f t="shared" si="22"/>
        <v>1371577.4855555748</v>
      </c>
      <c r="W32" s="5">
        <f t="shared" si="4"/>
        <v>23.969999999999995</v>
      </c>
      <c r="X32" s="3">
        <f t="shared" si="37"/>
        <v>2.9494958816879309</v>
      </c>
      <c r="Y32" s="3">
        <f t="shared" si="23"/>
        <v>2.5837583923586274E-2</v>
      </c>
      <c r="Z32" s="3"/>
      <c r="AA32" s="5">
        <f t="shared" si="24"/>
        <v>0.12304947357897085</v>
      </c>
      <c r="AB32" s="5">
        <f t="shared" si="6"/>
        <v>22.518822724161534</v>
      </c>
      <c r="AC32" s="5">
        <f t="shared" si="43"/>
        <v>0.14664000000000002</v>
      </c>
      <c r="AD32" s="3">
        <v>293</v>
      </c>
      <c r="AE32" s="5">
        <f t="shared" si="32"/>
        <v>55.67</v>
      </c>
      <c r="AF32" s="5">
        <f t="shared" si="26"/>
        <v>103.74</v>
      </c>
      <c r="AG32" s="3">
        <f t="shared" si="27"/>
        <v>4.8281470000000007E-2</v>
      </c>
      <c r="AH32" s="3">
        <f t="shared" si="28"/>
        <v>5.5115833333333342</v>
      </c>
      <c r="AI32" s="10">
        <f t="shared" si="29"/>
        <v>5.5115833333333342</v>
      </c>
      <c r="AJ32" s="3">
        <f t="shared" si="7"/>
        <v>4.8281470000000007E-2</v>
      </c>
      <c r="AK32" s="3">
        <v>3.4809999999999999</v>
      </c>
      <c r="AL32" s="5">
        <f t="shared" si="30"/>
        <v>14146.470710000001</v>
      </c>
      <c r="AM32" s="3">
        <v>268</v>
      </c>
      <c r="AN32" s="3">
        <f t="shared" si="8"/>
        <v>1614.8939166666667</v>
      </c>
      <c r="AO32" s="3"/>
      <c r="AP32" s="3">
        <f t="shared" si="9"/>
        <v>15.56674297924298</v>
      </c>
      <c r="AQ32" s="3"/>
      <c r="AR32" s="5">
        <f t="shared" si="10"/>
        <v>1.5698940000000001</v>
      </c>
      <c r="AS32" s="3">
        <v>319</v>
      </c>
      <c r="AT32" s="3">
        <f t="shared" si="11"/>
        <v>2.3196168094250473</v>
      </c>
      <c r="AU32" s="3">
        <f t="shared" si="12"/>
        <v>36.415525114155251</v>
      </c>
      <c r="AV32" s="3">
        <f t="shared" si="13"/>
        <v>0.65413194025786325</v>
      </c>
      <c r="AW32" s="3"/>
      <c r="AX32" s="3">
        <v>546</v>
      </c>
      <c r="AY32" s="3">
        <v>6.6</v>
      </c>
      <c r="AZ32" s="3">
        <f t="shared" si="14"/>
        <v>4.8333333333333332E-2</v>
      </c>
      <c r="BA32" s="5">
        <f t="shared" si="15"/>
        <v>3.3657577671983923</v>
      </c>
      <c r="BS32" s="10">
        <v>288</v>
      </c>
      <c r="BT32" s="40" t="s">
        <v>294</v>
      </c>
    </row>
    <row r="33" spans="1:72" ht="15.75" customHeight="1" x14ac:dyDescent="0.15">
      <c r="A33" s="2" t="s">
        <v>100</v>
      </c>
      <c r="B33" s="46">
        <v>166</v>
      </c>
      <c r="C33" s="4">
        <v>2</v>
      </c>
      <c r="D33" s="4">
        <v>0.2</v>
      </c>
      <c r="E33" s="4">
        <v>0.65</v>
      </c>
      <c r="F33" s="4">
        <v>0.23</v>
      </c>
      <c r="G33" s="4">
        <f t="shared" si="42"/>
        <v>4.9634000000000009</v>
      </c>
      <c r="H33" s="4"/>
      <c r="I33" s="3">
        <v>163</v>
      </c>
      <c r="J33" s="3">
        <v>187</v>
      </c>
      <c r="K33" s="5">
        <f t="shared" si="0"/>
        <v>87.165775401069524</v>
      </c>
      <c r="L33" s="3">
        <v>2196</v>
      </c>
      <c r="M33" s="5">
        <f t="shared" si="20"/>
        <v>5.0136986301369877</v>
      </c>
      <c r="N33" s="5">
        <f t="shared" si="21"/>
        <v>217.39692000000002</v>
      </c>
      <c r="O33" s="5">
        <f t="shared" si="1"/>
        <v>135.52979877300612</v>
      </c>
      <c r="P33" s="3">
        <v>14.58</v>
      </c>
      <c r="Q33" s="3">
        <v>16569</v>
      </c>
      <c r="R33" s="3">
        <f t="shared" si="2"/>
        <v>1135.6419161575448</v>
      </c>
      <c r="S33" s="22">
        <f t="shared" si="31"/>
        <v>12.964225713052956</v>
      </c>
      <c r="T33" s="3">
        <f t="shared" si="3"/>
        <v>1.8914383561643835</v>
      </c>
      <c r="U33" s="3">
        <f t="shared" si="22"/>
        <v>67024746.852033444</v>
      </c>
      <c r="W33" s="5">
        <f t="shared" si="4"/>
        <v>28.219999999999995</v>
      </c>
      <c r="X33" s="3">
        <f t="shared" si="37"/>
        <v>3.6584263554755605</v>
      </c>
      <c r="Y33" s="3">
        <f t="shared" si="23"/>
        <v>3.2047814873965907E-2</v>
      </c>
      <c r="Z33" s="3"/>
      <c r="AA33" s="5">
        <f t="shared" si="24"/>
        <v>0.12963948814583845</v>
      </c>
      <c r="AB33" s="5">
        <f t="shared" si="6"/>
        <v>25.051334702258725</v>
      </c>
      <c r="AC33" s="5">
        <f t="shared" si="43"/>
        <v>0.17264000000000004</v>
      </c>
      <c r="AD33" s="3">
        <v>268</v>
      </c>
      <c r="AE33" s="5">
        <f t="shared" si="32"/>
        <v>50.92</v>
      </c>
      <c r="AF33" s="5">
        <f t="shared" si="26"/>
        <v>942.4</v>
      </c>
      <c r="AG33" s="3">
        <f t="shared" si="27"/>
        <v>5.6658950000000007E-2</v>
      </c>
      <c r="AH33" s="3">
        <f t="shared" si="28"/>
        <v>6.4679166666666674</v>
      </c>
      <c r="AI33" s="10">
        <f t="shared" si="29"/>
        <v>6.4679166666666674</v>
      </c>
      <c r="AJ33" s="3">
        <f t="shared" si="7"/>
        <v>5.665895E-2</v>
      </c>
      <c r="AK33" s="3">
        <v>4.085</v>
      </c>
      <c r="AL33" s="5">
        <f t="shared" si="30"/>
        <v>15184.598600000001</v>
      </c>
      <c r="AM33" s="3">
        <v>12132</v>
      </c>
      <c r="AN33" s="3">
        <f t="shared" si="8"/>
        <v>1733.4016666666669</v>
      </c>
      <c r="AO33" s="3"/>
      <c r="AP33" s="3">
        <f t="shared" si="9"/>
        <v>1.8393481182795701</v>
      </c>
      <c r="AQ33" s="3"/>
      <c r="AR33" s="5">
        <f t="shared" si="10"/>
        <v>1.6905440000000003</v>
      </c>
      <c r="AS33" s="3">
        <v>587</v>
      </c>
      <c r="AT33" s="3">
        <f t="shared" si="11"/>
        <v>3.9637615122760081</v>
      </c>
      <c r="AU33" s="3">
        <f t="shared" si="12"/>
        <v>67.009132420091319</v>
      </c>
      <c r="AV33" s="3">
        <f t="shared" si="13"/>
        <v>1.3159688220756347</v>
      </c>
      <c r="AW33" s="3"/>
      <c r="AX33" s="3">
        <v>4960</v>
      </c>
      <c r="AY33" s="3">
        <v>9.4</v>
      </c>
      <c r="AZ33" s="3">
        <f t="shared" si="14"/>
        <v>6.2446808510638295E-2</v>
      </c>
      <c r="BA33" s="5">
        <f t="shared" si="15"/>
        <v>2.4189790895119136</v>
      </c>
      <c r="BS33" s="10">
        <v>16569</v>
      </c>
      <c r="BT33" s="40" t="s">
        <v>294</v>
      </c>
    </row>
    <row r="34" spans="1:72" ht="15.75" customHeight="1" x14ac:dyDescent="0.15">
      <c r="A34" s="2" t="s">
        <v>101</v>
      </c>
      <c r="B34" s="46">
        <v>178</v>
      </c>
      <c r="C34" s="4">
        <v>9</v>
      </c>
      <c r="D34" s="4">
        <v>0.2</v>
      </c>
      <c r="E34" s="4">
        <v>0.65</v>
      </c>
      <c r="F34" s="4">
        <v>0.23</v>
      </c>
      <c r="G34" s="4">
        <f t="shared" si="42"/>
        <v>5.3222000000000014</v>
      </c>
      <c r="H34" s="4"/>
      <c r="I34" s="3">
        <v>164</v>
      </c>
      <c r="J34" s="3">
        <v>235</v>
      </c>
      <c r="K34" s="5">
        <f t="shared" si="0"/>
        <v>69.787234042553195</v>
      </c>
      <c r="L34" s="3">
        <v>2799</v>
      </c>
      <c r="M34" s="5">
        <f t="shared" si="20"/>
        <v>6.3904109589041092</v>
      </c>
      <c r="N34" s="5">
        <f t="shared" si="21"/>
        <v>233.11236000000005</v>
      </c>
      <c r="O34" s="5">
        <f t="shared" si="1"/>
        <v>169.27967073170734</v>
      </c>
      <c r="P34" s="3">
        <v>11.79</v>
      </c>
      <c r="Q34" s="3">
        <v>20805</v>
      </c>
      <c r="R34" s="3">
        <f t="shared" si="2"/>
        <v>1763.4232191343028</v>
      </c>
      <c r="S34" s="22">
        <f t="shared" si="31"/>
        <v>20.130832012477462</v>
      </c>
      <c r="T34" s="3">
        <f t="shared" si="3"/>
        <v>2.375</v>
      </c>
      <c r="U34" s="3">
        <f t="shared" si="22"/>
        <v>78486450.760079324</v>
      </c>
      <c r="W34" s="5">
        <f t="shared" si="4"/>
        <v>30.259999999999994</v>
      </c>
      <c r="X34" s="3">
        <f t="shared" si="37"/>
        <v>6.0914596587904102</v>
      </c>
      <c r="Y34" s="3">
        <f t="shared" si="23"/>
        <v>5.3361186611003981E-2</v>
      </c>
      <c r="Z34" s="3"/>
      <c r="AA34" s="5">
        <f t="shared" si="24"/>
        <v>0.20130402044912132</v>
      </c>
      <c r="AB34" s="5">
        <f t="shared" si="6"/>
        <v>31.930184804928132</v>
      </c>
      <c r="AC34" s="5">
        <f t="shared" si="43"/>
        <v>0.18512000000000001</v>
      </c>
      <c r="AD34" s="3">
        <v>185</v>
      </c>
      <c r="AE34" s="5">
        <f t="shared" si="32"/>
        <v>35.15</v>
      </c>
      <c r="AF34" s="5">
        <f t="shared" si="26"/>
        <v>1631.72</v>
      </c>
      <c r="AG34" s="3">
        <f t="shared" si="27"/>
        <v>6.7505290000000009E-2</v>
      </c>
      <c r="AH34" s="3">
        <f t="shared" si="28"/>
        <v>7.7060833333333338</v>
      </c>
      <c r="AI34" s="10">
        <f t="shared" si="29"/>
        <v>7.7060833333333338</v>
      </c>
      <c r="AJ34" s="3">
        <f t="shared" si="7"/>
        <v>6.7505290000000009E-2</v>
      </c>
      <c r="AK34" s="3">
        <v>4.867</v>
      </c>
      <c r="AL34" s="5">
        <f t="shared" si="30"/>
        <v>12488.478650000001</v>
      </c>
      <c r="AM34" s="3">
        <v>15041</v>
      </c>
      <c r="AN34" s="3">
        <f t="shared" si="8"/>
        <v>1425.6254166666668</v>
      </c>
      <c r="AO34" s="3"/>
      <c r="AP34" s="3">
        <f t="shared" si="9"/>
        <v>0.87369488433473064</v>
      </c>
      <c r="AQ34" s="3"/>
      <c r="AR34" s="5">
        <f t="shared" si="10"/>
        <v>1.2513400000000001</v>
      </c>
      <c r="AS34" s="3">
        <v>797</v>
      </c>
      <c r="AT34" s="3">
        <f t="shared" si="11"/>
        <v>7.270744574601415</v>
      </c>
      <c r="AU34" s="3">
        <f t="shared" si="12"/>
        <v>90.981735159817347</v>
      </c>
      <c r="AV34" s="3">
        <f t="shared" si="13"/>
        <v>2.5883850685581038</v>
      </c>
      <c r="AW34" s="3"/>
      <c r="AX34" s="3">
        <v>8588</v>
      </c>
      <c r="AY34" s="3">
        <v>6.2</v>
      </c>
      <c r="AZ34" s="3">
        <f t="shared" si="14"/>
        <v>0.12854838709677419</v>
      </c>
      <c r="BA34" s="5">
        <f t="shared" si="15"/>
        <v>1.7274337857487869</v>
      </c>
      <c r="BS34" s="10">
        <v>20805</v>
      </c>
      <c r="BT34" s="40" t="s">
        <v>294</v>
      </c>
    </row>
    <row r="35" spans="1:72" ht="15.75" customHeight="1" x14ac:dyDescent="0.15">
      <c r="A35" s="2" t="s">
        <v>102</v>
      </c>
      <c r="B35" s="46">
        <v>104</v>
      </c>
      <c r="C35" s="4">
        <v>10</v>
      </c>
      <c r="D35" s="4">
        <v>0.2</v>
      </c>
      <c r="E35" s="4">
        <v>0.65</v>
      </c>
      <c r="F35" s="4">
        <v>0.11</v>
      </c>
      <c r="G35" s="4">
        <f t="shared" si="42"/>
        <v>1.4872000000000003</v>
      </c>
      <c r="H35" s="4"/>
      <c r="I35" s="3">
        <v>34</v>
      </c>
      <c r="J35" s="3">
        <v>129</v>
      </c>
      <c r="K35" s="5">
        <f t="shared" si="0"/>
        <v>26.356589147286826</v>
      </c>
      <c r="L35" s="3">
        <v>1782</v>
      </c>
      <c r="M35" s="5">
        <f t="shared" si="20"/>
        <v>4.0684931506849313</v>
      </c>
      <c r="N35" s="5">
        <f t="shared" si="21"/>
        <v>65.139360000000011</v>
      </c>
      <c r="O35" s="5">
        <f t="shared" si="1"/>
        <v>448.22036470588233</v>
      </c>
      <c r="P35" s="3">
        <v>1.42</v>
      </c>
      <c r="Q35" s="3">
        <v>1056</v>
      </c>
      <c r="R35" s="3">
        <f t="shared" si="2"/>
        <v>743.15296295225153</v>
      </c>
      <c r="S35" s="22">
        <f t="shared" si="31"/>
        <v>8.483662511890337</v>
      </c>
      <c r="T35" s="3">
        <f t="shared" si="3"/>
        <v>0.12054794520547946</v>
      </c>
      <c r="U35" s="3">
        <f t="shared" si="22"/>
        <v>6818322.6926176166</v>
      </c>
      <c r="W35" s="5">
        <f t="shared" si="4"/>
        <v>17.68</v>
      </c>
      <c r="X35" s="3">
        <f t="shared" si="37"/>
        <v>1.4998794960040875</v>
      </c>
      <c r="Y35" s="3">
        <f t="shared" si="23"/>
        <v>1.3138944384995806E-2</v>
      </c>
      <c r="Z35" s="3"/>
      <c r="AA35" s="5">
        <f t="shared" si="24"/>
        <v>8.4834813122403138E-2</v>
      </c>
      <c r="AB35" s="5">
        <f t="shared" si="6"/>
        <v>20.328542094455852</v>
      </c>
      <c r="AC35" s="5">
        <f t="shared" si="43"/>
        <v>0.10816000000000001</v>
      </c>
      <c r="AD35" s="3">
        <v>517</v>
      </c>
      <c r="AE35" s="5">
        <f t="shared" si="32"/>
        <v>98.23</v>
      </c>
      <c r="AF35" s="5">
        <f t="shared" si="26"/>
        <v>912.95</v>
      </c>
      <c r="AG35" s="3">
        <f t="shared" si="27"/>
        <v>3.6880330000000003E-2</v>
      </c>
      <c r="AH35" s="3">
        <f t="shared" si="28"/>
        <v>4.2100833333333343</v>
      </c>
      <c r="AI35" s="10">
        <f t="shared" si="29"/>
        <v>4.2100833333333343</v>
      </c>
      <c r="AJ35" s="3">
        <f t="shared" si="7"/>
        <v>3.688033000000001E-2</v>
      </c>
      <c r="AK35" s="3">
        <v>2.6589999999999998</v>
      </c>
      <c r="AL35" s="5">
        <f t="shared" si="30"/>
        <v>19067.13061</v>
      </c>
      <c r="AM35" s="3">
        <v>586</v>
      </c>
      <c r="AN35" s="3">
        <f t="shared" si="8"/>
        <v>2176.6130833333332</v>
      </c>
      <c r="AO35" s="3"/>
      <c r="AP35" s="3">
        <f t="shared" si="9"/>
        <v>2.3841536593825872</v>
      </c>
      <c r="AQ35" s="3"/>
      <c r="AR35" s="5">
        <f t="shared" si="10"/>
        <v>2.0431840000000001</v>
      </c>
      <c r="AS35" s="3">
        <v>145</v>
      </c>
      <c r="AT35" s="3">
        <f t="shared" si="11"/>
        <v>0.81013317525612549</v>
      </c>
      <c r="AU35" s="3">
        <f t="shared" si="12"/>
        <v>16.552511415525114</v>
      </c>
      <c r="AV35" s="3">
        <f t="shared" si="13"/>
        <v>0.1685077004532741</v>
      </c>
      <c r="AW35" s="3"/>
      <c r="AX35" s="3">
        <v>4805</v>
      </c>
      <c r="AY35" s="3">
        <v>15.2</v>
      </c>
      <c r="AZ35" s="3">
        <f t="shared" si="14"/>
        <v>9.5394736842105265E-3</v>
      </c>
      <c r="BA35" s="5">
        <f t="shared" si="15"/>
        <v>45.60955076456348</v>
      </c>
      <c r="BS35" s="10">
        <v>1056</v>
      </c>
      <c r="BT35" s="40" t="s">
        <v>294</v>
      </c>
    </row>
    <row r="36" spans="1:72" ht="15.75" customHeight="1" x14ac:dyDescent="0.15">
      <c r="A36" s="2" t="s">
        <v>103</v>
      </c>
      <c r="B36" s="46">
        <v>190</v>
      </c>
      <c r="C36" s="2" t="s">
        <v>69</v>
      </c>
      <c r="D36" s="4">
        <v>0.2</v>
      </c>
      <c r="E36" s="4">
        <v>0.6</v>
      </c>
      <c r="F36" s="4">
        <v>0.34</v>
      </c>
      <c r="G36" s="4">
        <f>F36*E36*$D$3*B36</f>
        <v>7.7520000000000397</v>
      </c>
      <c r="H36" s="4"/>
      <c r="I36" s="3">
        <v>150</v>
      </c>
      <c r="J36" s="3">
        <v>190</v>
      </c>
      <c r="K36" s="5">
        <f t="shared" si="0"/>
        <v>78.94736842105263</v>
      </c>
      <c r="L36" s="3">
        <v>1886</v>
      </c>
      <c r="M36" s="5">
        <f t="shared" si="20"/>
        <v>4.3059360730593603</v>
      </c>
      <c r="N36" s="5">
        <f t="shared" si="21"/>
        <v>339.53760000000176</v>
      </c>
      <c r="O36" s="5">
        <f t="shared" si="1"/>
        <v>149.63842666666667</v>
      </c>
      <c r="P36" s="3">
        <v>5.82</v>
      </c>
      <c r="Q36" s="3">
        <v>6086</v>
      </c>
      <c r="R36" s="3">
        <f t="shared" si="2"/>
        <v>1044.9887216541886</v>
      </c>
      <c r="S36" s="22">
        <f t="shared" si="31"/>
        <v>11.929349790960133</v>
      </c>
      <c r="T36" s="3">
        <f t="shared" si="3"/>
        <v>0.69474885844748857</v>
      </c>
      <c r="U36" s="3">
        <f t="shared" si="22"/>
        <v>21509252.58351358</v>
      </c>
      <c r="W36" s="5">
        <f t="shared" si="4"/>
        <v>32.299999999999997</v>
      </c>
      <c r="X36" s="3">
        <f t="shared" si="37"/>
        <v>3.8530976837249189</v>
      </c>
      <c r="Y36" s="3">
        <f t="shared" si="23"/>
        <v>3.3753135709430289E-2</v>
      </c>
      <c r="Z36" s="3"/>
      <c r="AA36" s="5">
        <f t="shared" si="24"/>
        <v>0.11929094996052382</v>
      </c>
      <c r="AB36" s="5">
        <f t="shared" si="6"/>
        <v>21.514944102213096</v>
      </c>
      <c r="AC36" s="5">
        <f>B36*D36*(0.8*E36)*0.02</f>
        <v>0.36479999999999996</v>
      </c>
      <c r="AD36" s="3">
        <v>295</v>
      </c>
      <c r="AE36" s="5">
        <f t="shared" si="32"/>
        <v>56.05</v>
      </c>
      <c r="AF36" s="5">
        <f t="shared" si="26"/>
        <v>1297.51</v>
      </c>
      <c r="AG36" s="3">
        <f t="shared" si="27"/>
        <v>5.516099E-2</v>
      </c>
      <c r="AH36" s="3">
        <f t="shared" si="28"/>
        <v>6.2969166666666663</v>
      </c>
      <c r="AI36" s="10">
        <f t="shared" si="29"/>
        <v>6.2969166666666663</v>
      </c>
      <c r="AJ36" s="3">
        <f t="shared" si="7"/>
        <v>5.5160989999999993E-2</v>
      </c>
      <c r="AK36" s="3">
        <v>3.9769999999999999</v>
      </c>
      <c r="AL36" s="5">
        <f t="shared" si="30"/>
        <v>16272.492049999999</v>
      </c>
      <c r="AM36" s="3">
        <v>4144</v>
      </c>
      <c r="AN36" s="3">
        <f t="shared" si="8"/>
        <v>1857.5904166666664</v>
      </c>
      <c r="AO36" s="3"/>
      <c r="AP36" s="3">
        <f t="shared" si="9"/>
        <v>1.4316578806072142</v>
      </c>
      <c r="AQ36" s="3"/>
      <c r="AR36" s="5">
        <f t="shared" si="10"/>
        <v>2.1299000000000001</v>
      </c>
      <c r="AS36" s="3">
        <v>432</v>
      </c>
      <c r="AT36" s="3">
        <f t="shared" si="11"/>
        <v>2.3153701344265305</v>
      </c>
      <c r="AU36" s="3">
        <f t="shared" si="12"/>
        <v>49.315068493150683</v>
      </c>
      <c r="AV36" s="3">
        <f t="shared" si="13"/>
        <v>0.87984065108208176</v>
      </c>
      <c r="AW36" s="3"/>
      <c r="AX36" s="3">
        <v>6829</v>
      </c>
      <c r="AY36" s="3">
        <v>9.6999999999999993</v>
      </c>
      <c r="AZ36" s="3">
        <f t="shared" si="14"/>
        <v>4.4536082474226801E-2</v>
      </c>
      <c r="BA36" s="5">
        <f t="shared" si="15"/>
        <v>1.7983251633986836</v>
      </c>
      <c r="BS36" s="10">
        <v>6086</v>
      </c>
      <c r="BT36" s="40" t="s">
        <v>294</v>
      </c>
    </row>
    <row r="37" spans="1:72" ht="15.75" customHeight="1" x14ac:dyDescent="0.15">
      <c r="A37" s="2" t="s">
        <v>104</v>
      </c>
      <c r="B37" s="46">
        <v>181</v>
      </c>
      <c r="C37" s="4">
        <v>7</v>
      </c>
      <c r="D37" s="4">
        <v>0.2</v>
      </c>
      <c r="E37" s="4">
        <v>0.65</v>
      </c>
      <c r="F37" s="4">
        <v>0.23</v>
      </c>
      <c r="G37" s="4">
        <f t="shared" ref="G37:G40" si="44">F37*E37*D37*B37</f>
        <v>5.411900000000001</v>
      </c>
      <c r="H37" s="4"/>
      <c r="I37" s="3">
        <v>137</v>
      </c>
      <c r="J37" s="3">
        <v>214</v>
      </c>
      <c r="K37" s="5">
        <f t="shared" si="0"/>
        <v>64.018691588785046</v>
      </c>
      <c r="L37" s="3">
        <v>2333</v>
      </c>
      <c r="M37" s="5">
        <f t="shared" si="20"/>
        <v>5.3264840182648401</v>
      </c>
      <c r="N37" s="5">
        <f t="shared" si="21"/>
        <v>237.04122000000004</v>
      </c>
      <c r="O37" s="5">
        <f t="shared" si="1"/>
        <v>184.53298102189783</v>
      </c>
      <c r="P37" s="3">
        <v>6.67</v>
      </c>
      <c r="Q37" s="3">
        <v>10835</v>
      </c>
      <c r="R37" s="3">
        <f t="shared" si="2"/>
        <v>1623.3259140450309</v>
      </c>
      <c r="S37" s="22">
        <f t="shared" si="31"/>
        <v>18.531513548508578</v>
      </c>
      <c r="T37" s="3">
        <f t="shared" si="3"/>
        <v>1.2368721461187215</v>
      </c>
      <c r="U37" s="3">
        <f>(Q37*10^9)/(B37*365*24*0.2*0.85)</f>
        <v>40197339.815363064</v>
      </c>
      <c r="W37" s="5">
        <f t="shared" si="4"/>
        <v>30.77</v>
      </c>
      <c r="X37" s="3">
        <f t="shared" si="37"/>
        <v>5.7020249286718725</v>
      </c>
      <c r="Y37" s="3">
        <f t="shared" si="23"/>
        <v>4.99497383751656E-2</v>
      </c>
      <c r="Z37" s="3"/>
      <c r="AA37" s="5">
        <f t="shared" si="24"/>
        <v>0.1853111774024008</v>
      </c>
      <c r="AB37" s="5">
        <f t="shared" si="6"/>
        <v>26.614191193246633</v>
      </c>
      <c r="AC37" s="5">
        <f t="shared" ref="AC37:AC39" si="45">B37*D37*(0.8*E37)*0.01</f>
        <v>0.18824000000000002</v>
      </c>
      <c r="AD37" s="3">
        <v>192</v>
      </c>
      <c r="AE37" s="5">
        <f t="shared" si="32"/>
        <v>36.480000000000004</v>
      </c>
      <c r="AF37" s="5">
        <f t="shared" si="26"/>
        <v>2596.16</v>
      </c>
      <c r="AG37" s="3">
        <f t="shared" si="27"/>
        <v>6.6007330000000017E-2</v>
      </c>
      <c r="AH37" s="3">
        <f t="shared" si="28"/>
        <v>7.5350833333333354</v>
      </c>
      <c r="AI37" s="10">
        <f t="shared" si="29"/>
        <v>7.5350833333333354</v>
      </c>
      <c r="AJ37" s="3">
        <f t="shared" si="7"/>
        <v>6.6007330000000017E-2</v>
      </c>
      <c r="AK37" s="3">
        <v>4.7590000000000003</v>
      </c>
      <c r="AL37" s="5">
        <f t="shared" si="30"/>
        <v>12673.407360000003</v>
      </c>
      <c r="AM37" s="3">
        <v>10919</v>
      </c>
      <c r="AN37" s="3">
        <f t="shared" si="8"/>
        <v>1446.7360000000003</v>
      </c>
      <c r="AO37" s="3"/>
      <c r="AP37" s="3">
        <f t="shared" si="9"/>
        <v>0.55725995316159271</v>
      </c>
      <c r="AQ37" s="3"/>
      <c r="AR37" s="5">
        <f t="shared" si="10"/>
        <v>1.3205760000000002</v>
      </c>
      <c r="AS37" s="3">
        <v>324</v>
      </c>
      <c r="AT37" s="3">
        <f t="shared" si="11"/>
        <v>2.8007703736750487</v>
      </c>
      <c r="AU37" s="3">
        <f t="shared" si="12"/>
        <v>36.986301369863014</v>
      </c>
      <c r="AV37" s="3">
        <f t="shared" si="13"/>
        <v>1.0138788752703676</v>
      </c>
      <c r="AW37" s="3"/>
      <c r="AX37" s="3">
        <v>13664</v>
      </c>
      <c r="AY37" s="3">
        <v>2.7</v>
      </c>
      <c r="AZ37" s="3">
        <f t="shared" si="14"/>
        <v>0.12</v>
      </c>
      <c r="BA37" s="5">
        <f t="shared" si="15"/>
        <v>0.81437324587354998</v>
      </c>
      <c r="BS37" s="10">
        <v>10835</v>
      </c>
      <c r="BT37" s="40" t="s">
        <v>294</v>
      </c>
    </row>
    <row r="38" spans="1:72" ht="15.75" customHeight="1" x14ac:dyDescent="0.15">
      <c r="A38" s="2" t="s">
        <v>105</v>
      </c>
      <c r="B38" s="46">
        <v>108</v>
      </c>
      <c r="C38" s="4">
        <v>7</v>
      </c>
      <c r="D38" s="4">
        <v>0.20000000000000101</v>
      </c>
      <c r="E38" s="4">
        <v>0.65</v>
      </c>
      <c r="F38" s="4">
        <v>0.17</v>
      </c>
      <c r="G38" s="4">
        <f t="shared" si="44"/>
        <v>2.3868000000000125</v>
      </c>
      <c r="H38" s="4"/>
      <c r="I38" s="3">
        <v>40</v>
      </c>
      <c r="J38" s="3">
        <v>113</v>
      </c>
      <c r="K38" s="5">
        <f t="shared" si="0"/>
        <v>35.398230088495573</v>
      </c>
      <c r="L38" s="3">
        <v>1530</v>
      </c>
      <c r="M38" s="5">
        <f t="shared" si="20"/>
        <v>3.4931506849315253</v>
      </c>
      <c r="N38" s="5">
        <f t="shared" si="21"/>
        <v>104.54184000000001</v>
      </c>
      <c r="O38" s="5">
        <f t="shared" si="1"/>
        <v>333.73307000000005</v>
      </c>
      <c r="P38" s="3">
        <v>13.56</v>
      </c>
      <c r="Q38" s="3">
        <v>12801</v>
      </c>
      <c r="R38" s="3">
        <f t="shared" si="2"/>
        <v>943.38039771522722</v>
      </c>
      <c r="S38" s="22">
        <f t="shared" si="31"/>
        <v>10.769412642526317</v>
      </c>
      <c r="T38" s="3">
        <f t="shared" si="3"/>
        <v>1.4613013698630137</v>
      </c>
      <c r="U38" s="3">
        <f t="shared" si="22"/>
        <v>79591577.879249111</v>
      </c>
      <c r="W38" s="5">
        <f t="shared" si="4"/>
        <v>18.36</v>
      </c>
      <c r="X38" s="3">
        <f t="shared" si="37"/>
        <v>1.9772219294579418</v>
      </c>
      <c r="Y38" s="3">
        <f t="shared" si="23"/>
        <v>1.7320464102051569E-2</v>
      </c>
      <c r="Z38" s="3"/>
      <c r="AA38" s="5">
        <f t="shared" si="24"/>
        <v>0.10769182622319945</v>
      </c>
      <c r="AB38" s="5">
        <f t="shared" si="6"/>
        <v>17.453798767967147</v>
      </c>
      <c r="AC38" s="5">
        <f t="shared" si="45"/>
        <v>0.11232000000000056</v>
      </c>
      <c r="AD38" s="3">
        <v>266</v>
      </c>
      <c r="AE38" s="5">
        <f t="shared" si="32"/>
        <v>50.54</v>
      </c>
      <c r="AF38" s="5">
        <f t="shared" si="26"/>
        <v>3153.2400000000002</v>
      </c>
      <c r="AG38" s="3">
        <f t="shared" si="27"/>
        <v>3.6727760000000012E-2</v>
      </c>
      <c r="AH38" s="3">
        <f t="shared" si="28"/>
        <v>4.1926666666666677</v>
      </c>
      <c r="AI38" s="10">
        <f t="shared" si="29"/>
        <v>4.1926666666666677</v>
      </c>
      <c r="AJ38" s="3">
        <f t="shared" si="7"/>
        <v>3.6727760000000005E-2</v>
      </c>
      <c r="AK38" s="3">
        <v>2.6480000000000001</v>
      </c>
      <c r="AL38" s="5">
        <f t="shared" si="30"/>
        <v>9769.5841600000022</v>
      </c>
      <c r="AM38" s="3">
        <v>12676</v>
      </c>
      <c r="AN38" s="3">
        <f t="shared" si="8"/>
        <v>1115.2493333333337</v>
      </c>
      <c r="AO38" s="3"/>
      <c r="AP38" s="3">
        <f t="shared" si="9"/>
        <v>0.35368361854262076</v>
      </c>
      <c r="AQ38" s="3"/>
      <c r="AR38" s="5">
        <f t="shared" si="10"/>
        <v>1.091664</v>
      </c>
      <c r="AS38" s="3">
        <v>465</v>
      </c>
      <c r="AT38" s="3">
        <f t="shared" si="11"/>
        <v>4.8625027280208855</v>
      </c>
      <c r="AU38" s="3">
        <f t="shared" si="12"/>
        <v>53.082191780821915</v>
      </c>
      <c r="AV38" s="3">
        <f t="shared" si="13"/>
        <v>1.0503005892525112</v>
      </c>
      <c r="AW38" s="3"/>
      <c r="AX38" s="3">
        <v>16596</v>
      </c>
      <c r="AY38" s="3">
        <v>6.1</v>
      </c>
      <c r="AZ38" s="3">
        <f t="shared" si="14"/>
        <v>7.6229508196721307E-2</v>
      </c>
      <c r="BA38" s="5">
        <f t="shared" si="15"/>
        <v>7.9200871721551449</v>
      </c>
      <c r="BS38" s="10">
        <v>12801</v>
      </c>
      <c r="BT38" s="40" t="s">
        <v>294</v>
      </c>
    </row>
    <row r="39" spans="1:72" ht="15.75" customHeight="1" x14ac:dyDescent="0.15">
      <c r="A39" s="2" t="s">
        <v>106</v>
      </c>
      <c r="B39" s="46">
        <v>160</v>
      </c>
      <c r="C39" s="4">
        <v>23</v>
      </c>
      <c r="D39" s="4">
        <v>0.2</v>
      </c>
      <c r="E39" s="4">
        <v>0.65</v>
      </c>
      <c r="F39" s="4">
        <v>0.23</v>
      </c>
      <c r="G39" s="4">
        <f t="shared" si="44"/>
        <v>4.7840000000000007</v>
      </c>
      <c r="H39" s="4"/>
      <c r="I39" s="3">
        <v>201</v>
      </c>
      <c r="J39" s="3">
        <v>239</v>
      </c>
      <c r="K39" s="5">
        <f t="shared" si="0"/>
        <v>84.10041841004184</v>
      </c>
      <c r="L39" s="3">
        <v>2911</v>
      </c>
      <c r="M39" s="5">
        <f t="shared" si="20"/>
        <v>6.6461187214611872</v>
      </c>
      <c r="N39" s="5">
        <f t="shared" si="21"/>
        <v>209.53920000000002</v>
      </c>
      <c r="O39" s="5">
        <f t="shared" si="1"/>
        <v>140.46969353233831</v>
      </c>
      <c r="P39" s="3">
        <v>73.81</v>
      </c>
      <c r="Q39" s="3">
        <v>133971</v>
      </c>
      <c r="R39" s="3">
        <f t="shared" si="2"/>
        <v>1813.8369035096775</v>
      </c>
      <c r="S39" s="22">
        <f>100*Q39/(P39*8765.81277)</f>
        <v>20.706342984703937</v>
      </c>
      <c r="T39" s="3">
        <f t="shared" si="3"/>
        <v>15.293493150684931</v>
      </c>
      <c r="U39" s="3">
        <f t="shared" si="22"/>
        <v>562260777.59871078</v>
      </c>
      <c r="W39" s="5">
        <f t="shared" si="4"/>
        <v>27.199999999999996</v>
      </c>
      <c r="X39" s="3">
        <f t="shared" si="37"/>
        <v>5.6320049971989974</v>
      </c>
      <c r="Y39" s="3">
        <f t="shared" si="23"/>
        <v>4.9336363775463216E-2</v>
      </c>
      <c r="Z39" s="3"/>
      <c r="AA39" s="5">
        <f t="shared" si="24"/>
        <v>0.20705900724996318</v>
      </c>
      <c r="AB39" s="5">
        <f t="shared" si="6"/>
        <v>33.20784850558978</v>
      </c>
      <c r="AC39" s="5">
        <f t="shared" si="45"/>
        <v>0.16640000000000002</v>
      </c>
      <c r="AD39" s="3">
        <v>427</v>
      </c>
      <c r="AE39" s="5">
        <f t="shared" si="32"/>
        <v>81.13</v>
      </c>
      <c r="AF39" s="5">
        <f t="shared" si="26"/>
        <v>24874.61</v>
      </c>
      <c r="AG39" s="3">
        <f>SUM(AG2:AG38)/39</f>
        <v>4.9181597435897444E-2</v>
      </c>
      <c r="AH39" s="3">
        <f t="shared" si="28"/>
        <v>5.6143376068376076</v>
      </c>
      <c r="AI39" s="10">
        <f t="shared" si="29"/>
        <v>5.6143376068376076</v>
      </c>
      <c r="AJ39" s="3">
        <f t="shared" si="7"/>
        <v>4.9181597435897437E-2</v>
      </c>
      <c r="AK39" s="3">
        <v>4.4850000000000003</v>
      </c>
      <c r="AL39" s="5">
        <f t="shared" si="30"/>
        <v>26562.36765</v>
      </c>
      <c r="AM39" s="3">
        <v>108358</v>
      </c>
      <c r="AN39" s="3">
        <f t="shared" si="8"/>
        <v>3032.2337499999999</v>
      </c>
      <c r="AO39" s="3"/>
      <c r="AP39" s="3">
        <f t="shared" si="9"/>
        <v>0.12190075542892934</v>
      </c>
      <c r="AQ39" s="3"/>
      <c r="AR39" s="5">
        <f t="shared" si="10"/>
        <v>2.5961599999999998</v>
      </c>
      <c r="AS39" s="3">
        <v>815</v>
      </c>
      <c r="AT39" s="3">
        <f t="shared" si="11"/>
        <v>3.5836207968832934</v>
      </c>
      <c r="AU39" s="3">
        <f t="shared" si="12"/>
        <v>93.036529680365291</v>
      </c>
      <c r="AV39" s="3">
        <f t="shared" si="13"/>
        <v>1.1467586550026536</v>
      </c>
      <c r="AW39" s="3"/>
      <c r="AX39" s="3">
        <v>130919</v>
      </c>
      <c r="AY39" s="3">
        <v>13.7</v>
      </c>
      <c r="AZ39" s="3">
        <f t="shared" si="14"/>
        <v>5.9489051094890513E-2</v>
      </c>
      <c r="BA39" s="5">
        <f t="shared" si="15"/>
        <v>3.8030209139295152</v>
      </c>
      <c r="BS39" s="10">
        <v>133971</v>
      </c>
      <c r="BT39" s="40" t="s">
        <v>294</v>
      </c>
    </row>
    <row r="40" spans="1:72" ht="15.75" customHeight="1" x14ac:dyDescent="0.15">
      <c r="A40" s="1" t="s">
        <v>107</v>
      </c>
      <c r="B40" s="46">
        <v>275</v>
      </c>
      <c r="C40" s="2"/>
      <c r="D40" s="6">
        <v>0.2</v>
      </c>
      <c r="E40" s="6">
        <v>0.6</v>
      </c>
      <c r="F40" s="6">
        <v>0.34</v>
      </c>
      <c r="G40" s="4">
        <f t="shared" si="44"/>
        <v>11.22</v>
      </c>
      <c r="H40" s="4"/>
      <c r="N40" s="3"/>
      <c r="P40" s="5"/>
      <c r="Q40" s="5"/>
      <c r="S40" s="22"/>
      <c r="T40" s="5">
        <f t="shared" ref="T40" si="46">AVERAGE(T2:T39)</f>
        <v>2.2696917808219168</v>
      </c>
      <c r="U40" s="3"/>
      <c r="V40" s="7"/>
      <c r="X40" s="8">
        <f t="shared" ref="X40:Y40" si="47">AVERAGE(X2:X39)</f>
        <v>3.5586104157078453</v>
      </c>
      <c r="Y40" s="8">
        <f t="shared" si="47"/>
        <v>3.1173427241600712E-2</v>
      </c>
      <c r="Z40" s="8"/>
      <c r="AA40" s="9">
        <f>SUM(AA2:AA39)/39*100</f>
        <v>12.758400547965282</v>
      </c>
      <c r="AC40" s="5">
        <f>SUM(AC2:AC39)/39</f>
        <v>0.17664820512820539</v>
      </c>
      <c r="AH40" s="8">
        <f>SUM(AH2:AH39)/39</f>
        <v>5.7582949813719067</v>
      </c>
      <c r="AI40" s="7">
        <f>AVERAGE(AI2:AI39)</f>
        <v>5.9098290598290619</v>
      </c>
      <c r="AN40" s="3">
        <f t="shared" ref="AN40:AN41" si="48">AM40*10^3/8760</f>
        <v>0</v>
      </c>
      <c r="AO40" s="3"/>
      <c r="AP40" s="5">
        <f>AVERAGE(AP2:AP39)</f>
        <v>10.470694991832218</v>
      </c>
      <c r="AQ40" s="3"/>
    </row>
    <row r="41" spans="1:72" ht="15.75" customHeight="1" x14ac:dyDescent="0.15">
      <c r="A41" s="2" t="s">
        <v>296</v>
      </c>
      <c r="B41" s="46">
        <v>235</v>
      </c>
      <c r="G41" s="5"/>
      <c r="M41" s="5"/>
      <c r="N41" s="5"/>
      <c r="P41" s="22">
        <v>17.626999999999999</v>
      </c>
      <c r="Q41" s="22">
        <f>0.12*188600</f>
        <v>22632</v>
      </c>
      <c r="S41" s="22">
        <f>100*Q41/(P41*8765.81277)</f>
        <v>14.647123373713718</v>
      </c>
      <c r="U41" s="3"/>
      <c r="V41" s="3"/>
      <c r="W41" s="3"/>
      <c r="AJ41" s="8">
        <f>AVERAGE(AJ2:AJ40)</f>
        <v>5.1770102564102569E-2</v>
      </c>
      <c r="AN41" s="3">
        <f t="shared" si="48"/>
        <v>0</v>
      </c>
      <c r="AO41" s="3"/>
      <c r="AP41" s="3" t="e">
        <f>AN41/AF41</f>
        <v>#DIV/0!</v>
      </c>
      <c r="AQ41" s="3"/>
    </row>
    <row r="42" spans="1:72" ht="15.75" customHeight="1" x14ac:dyDescent="0.15">
      <c r="A42" s="2" t="s">
        <v>297</v>
      </c>
      <c r="B42" s="46">
        <v>125</v>
      </c>
      <c r="AI42" s="5">
        <f>MEDIAN(AI2:AI39)</f>
        <v>5.4838750000000012</v>
      </c>
      <c r="AK42" s="5">
        <f>STDEVPA(AJ2:AJ40)</f>
        <v>1.3376658330071487E-2</v>
      </c>
    </row>
    <row r="43" spans="1:72" ht="15.75" customHeight="1" x14ac:dyDescent="0.15">
      <c r="A43" s="2" t="s">
        <v>143</v>
      </c>
      <c r="B43" s="46">
        <v>120</v>
      </c>
      <c r="AJ43" s="5">
        <f>AH40*S40</f>
        <v>0</v>
      </c>
      <c r="AK43" s="5">
        <f>AJ41-AK42</f>
        <v>3.8393444234031085E-2</v>
      </c>
    </row>
    <row r="44" spans="1:72" ht="15.75" customHeight="1" x14ac:dyDescent="0.15">
      <c r="Y44" s="10">
        <v>5.4095246764244152E-4</v>
      </c>
      <c r="Z44" s="5">
        <f>STDEVA(Y44:Y82)</f>
        <v>1.6821560729635528E-2</v>
      </c>
      <c r="AI44" s="5">
        <f>STDEVPA(AI2:AI39)</f>
        <v>1.5270157911040447</v>
      </c>
      <c r="AK44" s="5">
        <f>AJ41+AK42</f>
        <v>6.5146760894174052E-2</v>
      </c>
    </row>
    <row r="45" spans="1:72" ht="15.75" customHeight="1" x14ac:dyDescent="0.15">
      <c r="W45" s="10">
        <v>6.1752564799365472E-2</v>
      </c>
      <c r="X45" s="5">
        <f>MEDIAN(W45:W83)</f>
        <v>3.0289323705691942</v>
      </c>
      <c r="Y45" s="10">
        <v>1.6070992470910334E-2</v>
      </c>
      <c r="Z45" s="5">
        <f>Y40-Z44</f>
        <v>1.4351866511965183E-2</v>
      </c>
      <c r="AJ45" s="5">
        <f>MEDIAN(AH2:AH39)</f>
        <v>5.4838750000000012</v>
      </c>
    </row>
    <row r="46" spans="1:72" ht="15.75" customHeight="1" x14ac:dyDescent="0.15">
      <c r="B46" s="3" t="s">
        <v>108</v>
      </c>
      <c r="W46" s="10">
        <v>1.834588181610769</v>
      </c>
      <c r="Y46" s="10">
        <v>1.8380598159825068E-2</v>
      </c>
      <c r="Z46" s="5">
        <f>Y40+Z44</f>
        <v>4.799498797123624E-2</v>
      </c>
    </row>
    <row r="47" spans="1:72" ht="15.75" customHeight="1" x14ac:dyDescent="0.15">
      <c r="A47" s="2" t="s">
        <v>109</v>
      </c>
      <c r="B47" s="2" t="s">
        <v>110</v>
      </c>
      <c r="C47" s="2" t="s">
        <v>68</v>
      </c>
      <c r="D47" s="2" t="s">
        <v>79</v>
      </c>
      <c r="E47" s="2" t="s">
        <v>102</v>
      </c>
      <c r="W47" s="10">
        <v>2.0982417990667885</v>
      </c>
      <c r="Y47" s="10">
        <v>3.5861639010204407E-2</v>
      </c>
    </row>
    <row r="48" spans="1:72" ht="15.75" customHeight="1" x14ac:dyDescent="0.15">
      <c r="A48" s="2" t="s">
        <v>111</v>
      </c>
      <c r="B48" s="4">
        <v>255</v>
      </c>
      <c r="C48" s="4">
        <v>163</v>
      </c>
      <c r="D48" s="4">
        <v>66</v>
      </c>
      <c r="E48" s="4">
        <v>46</v>
      </c>
      <c r="W48" s="10">
        <v>4.0937944075575805</v>
      </c>
      <c r="Y48" s="10">
        <v>3.6840140858584884E-2</v>
      </c>
    </row>
    <row r="49" spans="1:51" ht="15.75" customHeight="1" x14ac:dyDescent="0.15">
      <c r="A49" s="2" t="s">
        <v>112</v>
      </c>
      <c r="B49" s="4">
        <v>272</v>
      </c>
      <c r="C49" s="4">
        <v>193</v>
      </c>
      <c r="D49" s="4">
        <v>105</v>
      </c>
      <c r="E49" s="4">
        <v>88</v>
      </c>
      <c r="W49" s="10">
        <v>4.2054955318019296</v>
      </c>
      <c r="Y49" s="10">
        <v>2.640634589414876E-2</v>
      </c>
      <c r="AJ49" s="10">
        <v>1.5255660586372506</v>
      </c>
    </row>
    <row r="50" spans="1:51" ht="15.75" customHeight="1" x14ac:dyDescent="0.15">
      <c r="A50" s="2" t="s">
        <v>113</v>
      </c>
      <c r="B50" s="4">
        <v>274</v>
      </c>
      <c r="C50" s="4">
        <v>244</v>
      </c>
      <c r="D50" s="4">
        <v>126</v>
      </c>
      <c r="E50" s="4">
        <v>141</v>
      </c>
      <c r="W50" s="10">
        <v>3.0144230472772562</v>
      </c>
      <c r="Y50" s="10">
        <v>2.640634589414876E-2</v>
      </c>
      <c r="AJ50" s="10">
        <v>0.38717862125824454</v>
      </c>
    </row>
    <row r="51" spans="1:51" ht="15.75" customHeight="1" x14ac:dyDescent="0.15">
      <c r="A51" s="2" t="s">
        <v>114</v>
      </c>
      <c r="B51" s="4">
        <v>258</v>
      </c>
      <c r="C51" s="4">
        <v>268</v>
      </c>
      <c r="D51" s="4">
        <v>157</v>
      </c>
      <c r="E51" s="4">
        <v>175</v>
      </c>
      <c r="W51" s="10">
        <v>3.0144230472772562</v>
      </c>
      <c r="Y51" s="10">
        <v>3.1280127475143762E-2</v>
      </c>
      <c r="AJ51" s="10">
        <v>0.48626647842836163</v>
      </c>
    </row>
    <row r="52" spans="1:51" ht="15.75" customHeight="1" x14ac:dyDescent="0.15">
      <c r="A52" s="2" t="s">
        <v>115</v>
      </c>
      <c r="B52" s="4">
        <v>261</v>
      </c>
      <c r="C52" s="4">
        <v>288</v>
      </c>
      <c r="D52" s="4">
        <v>178</v>
      </c>
      <c r="E52" s="4">
        <v>200</v>
      </c>
      <c r="W52" s="10">
        <v>3.5707908076648138</v>
      </c>
      <c r="Y52" s="10">
        <v>6.846310746064338E-2</v>
      </c>
      <c r="AJ52" s="10">
        <v>1.0623041868031897</v>
      </c>
    </row>
    <row r="53" spans="1:51" ht="15.75" customHeight="1" x14ac:dyDescent="0.15">
      <c r="A53" s="2" t="s">
        <v>116</v>
      </c>
      <c r="B53" s="4">
        <v>216</v>
      </c>
      <c r="C53" s="4">
        <v>303</v>
      </c>
      <c r="D53" s="4">
        <v>170</v>
      </c>
      <c r="E53" s="4">
        <v>198</v>
      </c>
      <c r="W53" s="10">
        <v>7.8154232261008421</v>
      </c>
      <c r="Y53" s="10">
        <v>2.1991314267575317E-2</v>
      </c>
      <c r="AJ53" s="10">
        <v>0.96724771156061973</v>
      </c>
    </row>
    <row r="54" spans="1:51" ht="15.75" customHeight="1" x14ac:dyDescent="0.15">
      <c r="A54" s="2" t="s">
        <v>117</v>
      </c>
      <c r="B54" s="4">
        <v>188</v>
      </c>
      <c r="C54" s="4">
        <v>309</v>
      </c>
      <c r="D54" s="4">
        <v>177</v>
      </c>
      <c r="E54" s="4">
        <v>195</v>
      </c>
      <c r="W54" s="10">
        <v>2.5104240031478677</v>
      </c>
      <c r="Y54" s="10">
        <v>1.9429461380508609E-2</v>
      </c>
      <c r="AJ54" s="10">
        <v>0.77872852304359153</v>
      </c>
    </row>
    <row r="55" spans="1:51" ht="15.75" customHeight="1" x14ac:dyDescent="0.15">
      <c r="A55" s="2" t="s">
        <v>118</v>
      </c>
      <c r="B55" s="4">
        <v>178</v>
      </c>
      <c r="C55" s="4">
        <v>313</v>
      </c>
      <c r="D55" s="4">
        <v>177</v>
      </c>
      <c r="E55" s="4">
        <v>180</v>
      </c>
      <c r="W55" s="10">
        <v>2.2179750434370562</v>
      </c>
      <c r="Y55" s="10">
        <v>1.1507656505028167E-2</v>
      </c>
      <c r="AJ55" s="10">
        <v>0.92905520380585249</v>
      </c>
    </row>
    <row r="56" spans="1:51" ht="15.75" customHeight="1" x14ac:dyDescent="0.15">
      <c r="A56" s="2" t="s">
        <v>119</v>
      </c>
      <c r="B56" s="4">
        <v>205</v>
      </c>
      <c r="C56" s="4">
        <v>300</v>
      </c>
      <c r="D56" s="4">
        <v>133</v>
      </c>
      <c r="E56" s="4">
        <v>147</v>
      </c>
      <c r="W56" s="10">
        <v>1.313659418382211</v>
      </c>
      <c r="Y56" s="10">
        <v>2.6533447566186141E-2</v>
      </c>
      <c r="AJ56" s="10">
        <v>1.4151041666666666</v>
      </c>
      <c r="AY56" s="5">
        <f>(0.061*10^-6)/10^-6</f>
        <v>6.0999999999999992E-2</v>
      </c>
    </row>
    <row r="57" spans="1:51" ht="15.75" customHeight="1" x14ac:dyDescent="0.15">
      <c r="A57" s="2" t="s">
        <v>120</v>
      </c>
      <c r="B57" s="4">
        <v>226</v>
      </c>
      <c r="C57" s="4">
        <v>258</v>
      </c>
      <c r="D57" s="4">
        <v>100</v>
      </c>
      <c r="E57" s="4">
        <v>88</v>
      </c>
      <c r="W57" s="10">
        <v>3.0289323705691942</v>
      </c>
      <c r="Y57" s="10">
        <v>1.8860938001526745E-2</v>
      </c>
      <c r="AJ57" s="10">
        <v>0.60345832046559189</v>
      </c>
    </row>
    <row r="58" spans="1:51" ht="15.75" customHeight="1" x14ac:dyDescent="0.15">
      <c r="A58" s="2" t="s">
        <v>121</v>
      </c>
      <c r="B58" s="4">
        <v>241</v>
      </c>
      <c r="C58" s="4">
        <v>185</v>
      </c>
      <c r="D58" s="4">
        <v>61</v>
      </c>
      <c r="E58" s="4">
        <v>52</v>
      </c>
      <c r="W58" s="10">
        <v>2.1530751143295372</v>
      </c>
      <c r="Y58" s="10">
        <v>4.4057675817406397E-2</v>
      </c>
      <c r="AJ58" s="10">
        <v>0.44153546862194115</v>
      </c>
    </row>
    <row r="59" spans="1:51" ht="15.75" customHeight="1" x14ac:dyDescent="0.15">
      <c r="A59" s="2" t="s">
        <v>122</v>
      </c>
      <c r="B59" s="4">
        <v>242</v>
      </c>
      <c r="C59" s="4">
        <v>151</v>
      </c>
      <c r="D59" s="4">
        <v>52</v>
      </c>
      <c r="E59" s="4">
        <v>34</v>
      </c>
      <c r="W59" s="10">
        <v>5.0294150476491328</v>
      </c>
      <c r="Y59" s="10">
        <v>2.8505429579318689E-2</v>
      </c>
      <c r="AJ59" s="10">
        <v>0.46966938883034787</v>
      </c>
    </row>
    <row r="60" spans="1:51" ht="15.75" customHeight="1" x14ac:dyDescent="0.15">
      <c r="W60" s="10">
        <v>3.2540444725249649</v>
      </c>
      <c r="Y60" s="10">
        <v>5.370829046222831E-2</v>
      </c>
      <c r="AJ60" s="10">
        <v>0.33489418686336497</v>
      </c>
    </row>
    <row r="61" spans="1:51" ht="15.75" customHeight="1" x14ac:dyDescent="0.15">
      <c r="W61" s="10">
        <v>6.1310833860991218</v>
      </c>
      <c r="Y61" s="10">
        <v>3.8838231804699967E-2</v>
      </c>
      <c r="AJ61" s="10">
        <v>0.69486047312741261</v>
      </c>
    </row>
    <row r="62" spans="1:51" ht="15.75" customHeight="1" x14ac:dyDescent="0.15">
      <c r="W62" s="10">
        <v>4.433588105559358</v>
      </c>
      <c r="Y62" s="10">
        <v>1.0306274241387178E-2</v>
      </c>
      <c r="AJ62" s="10">
        <v>0.48636688849606008</v>
      </c>
    </row>
    <row r="63" spans="1:51" ht="15.75" customHeight="1" x14ac:dyDescent="0.15">
      <c r="W63" s="10">
        <v>1.176515324359267</v>
      </c>
      <c r="Y63" s="10">
        <v>3.2878527704570802E-2</v>
      </c>
      <c r="AB63" s="5">
        <f>0.031*8760</f>
        <v>271.56</v>
      </c>
      <c r="AJ63" s="10">
        <v>1.2054649104320339</v>
      </c>
    </row>
    <row r="64" spans="1:51" ht="15.75" customHeight="1" x14ac:dyDescent="0.15">
      <c r="W64" s="10">
        <v>3.7532565872797727</v>
      </c>
      <c r="Y64" s="10">
        <v>3.1538264120874064E-2</v>
      </c>
      <c r="AJ64" s="10">
        <v>0.79248475002927066</v>
      </c>
    </row>
    <row r="65" spans="23:37" ht="13" x14ac:dyDescent="0.15">
      <c r="W65" s="10">
        <v>3.6002584612869941</v>
      </c>
      <c r="Y65" s="10">
        <v>1.2396914368166933E-2</v>
      </c>
      <c r="AJ65" s="10">
        <v>1.4383543149982077</v>
      </c>
    </row>
    <row r="66" spans="23:37" ht="13" x14ac:dyDescent="0.15">
      <c r="W66" s="10">
        <v>1.415172873078417</v>
      </c>
      <c r="Y66" s="10">
        <v>2.0997618069815194E-2</v>
      </c>
      <c r="AJ66" s="10">
        <v>1.0075933626875408</v>
      </c>
    </row>
    <row r="67" spans="23:37" ht="13" x14ac:dyDescent="0.15">
      <c r="W67" s="10">
        <v>2.3969883641341547</v>
      </c>
      <c r="Y67" s="10">
        <v>4.1750751421004068E-2</v>
      </c>
      <c r="AJ67" s="10">
        <v>0.26295503551496713</v>
      </c>
    </row>
    <row r="68" spans="23:37" ht="13" x14ac:dyDescent="0.15">
      <c r="W68" s="10">
        <v>4.7660675138132493</v>
      </c>
      <c r="Y68" s="10">
        <v>8.0974569937377144E-2</v>
      </c>
      <c r="AJ68" s="10">
        <v>0.9307919857620538</v>
      </c>
      <c r="AK68" s="7">
        <f>AVERAGE(AJ49:AJ87)</f>
        <v>0.83501589548512978</v>
      </c>
    </row>
    <row r="69" spans="23:37" ht="13" x14ac:dyDescent="0.15">
      <c r="W69" s="10">
        <v>9.2436723672804959</v>
      </c>
      <c r="Y69" s="10">
        <v>1.5951158779926807E-2</v>
      </c>
      <c r="AJ69" s="10">
        <v>0.81045993122288118</v>
      </c>
    </row>
    <row r="70" spans="23:37" ht="13" x14ac:dyDescent="0.15">
      <c r="W70" s="10">
        <v>1.8209085365213251</v>
      </c>
      <c r="Y70" s="10">
        <v>1.0124892553254322E-2</v>
      </c>
      <c r="AJ70" s="10">
        <v>0.31446107922991484</v>
      </c>
    </row>
    <row r="71" spans="23:37" ht="13" x14ac:dyDescent="0.15">
      <c r="W71" s="10">
        <v>1.1558096521979822</v>
      </c>
      <c r="Y71" s="10">
        <v>5.2226728268309375E-2</v>
      </c>
      <c r="AJ71" s="10">
        <v>0.58179945751863571</v>
      </c>
    </row>
    <row r="72" spans="23:37" ht="13" x14ac:dyDescent="0.15">
      <c r="W72" s="10">
        <v>5.9619552817704768</v>
      </c>
      <c r="Y72" s="10">
        <v>2.9139322135720583E-2</v>
      </c>
      <c r="AJ72" s="10">
        <v>0.93898432846932711</v>
      </c>
    </row>
    <row r="73" spans="23:37" ht="13" x14ac:dyDescent="0.15">
      <c r="W73" s="10">
        <v>3.3264066364977838</v>
      </c>
      <c r="Y73" s="10">
        <v>2.4996180028048612E-2</v>
      </c>
      <c r="AJ73" s="10">
        <v>2.2849338791698104</v>
      </c>
    </row>
    <row r="74" spans="23:37" ht="13" x14ac:dyDescent="0.15">
      <c r="W74" s="10">
        <v>2.8534452086813484</v>
      </c>
      <c r="Y74" s="10">
        <v>2.3422059188621676E-2</v>
      </c>
      <c r="AJ74" s="10">
        <v>0.39361446160313784</v>
      </c>
    </row>
    <row r="75" spans="23:37" ht="13" x14ac:dyDescent="0.15">
      <c r="W75" s="10">
        <v>2.673751048929415</v>
      </c>
      <c r="Y75" s="10">
        <v>2.5837583923586274E-2</v>
      </c>
      <c r="AJ75" s="10">
        <v>0.27770539253181281</v>
      </c>
    </row>
    <row r="76" spans="23:37" ht="13" x14ac:dyDescent="0.15">
      <c r="W76" s="10">
        <v>2.9494958816879309</v>
      </c>
      <c r="Y76" s="10">
        <v>3.2047814873965907E-2</v>
      </c>
      <c r="AJ76" s="10">
        <v>1.3864479810188919</v>
      </c>
    </row>
    <row r="77" spans="23:37" ht="13" x14ac:dyDescent="0.15">
      <c r="W77" s="10">
        <v>3.6584263554755605</v>
      </c>
      <c r="Y77" s="10">
        <v>5.3361186611003981E-2</v>
      </c>
      <c r="AJ77" s="10">
        <v>0.74915226038347416</v>
      </c>
    </row>
    <row r="78" spans="23:37" ht="13" x14ac:dyDescent="0.15">
      <c r="W78" s="10">
        <v>6.0914596587904102</v>
      </c>
      <c r="Y78" s="10">
        <v>1.3138944384995806E-2</v>
      </c>
      <c r="AJ78" s="10">
        <v>0.68251136230588294</v>
      </c>
    </row>
    <row r="79" spans="23:37" ht="13" x14ac:dyDescent="0.15">
      <c r="W79" s="10">
        <v>1.4998794960040875</v>
      </c>
      <c r="Y79" s="10">
        <v>3.3753135709430289E-2</v>
      </c>
      <c r="AJ79" s="10">
        <v>0.65856177282460082</v>
      </c>
    </row>
    <row r="80" spans="23:37" ht="13" x14ac:dyDescent="0.15">
      <c r="W80" s="10">
        <v>3.8530976837249189</v>
      </c>
      <c r="Y80" s="10">
        <v>4.99497383751656E-2</v>
      </c>
      <c r="AJ80" s="10">
        <v>0.67866194653942846</v>
      </c>
    </row>
    <row r="81" spans="23:36" ht="13" x14ac:dyDescent="0.15">
      <c r="W81" s="10">
        <v>5.7020249286718725</v>
      </c>
      <c r="Y81" s="10">
        <v>1.7320464102051569E-2</v>
      </c>
      <c r="AJ81" s="10">
        <v>0.83907171932841007</v>
      </c>
    </row>
    <row r="82" spans="23:36" ht="13" x14ac:dyDescent="0.15">
      <c r="W82" s="10">
        <v>1.9772219294579418</v>
      </c>
      <c r="Y82" s="10">
        <v>4.9336363775463216E-2</v>
      </c>
      <c r="AJ82" s="10">
        <v>1.5523280675713884</v>
      </c>
    </row>
    <row r="83" spans="23:36" ht="13" x14ac:dyDescent="0.15">
      <c r="W83" s="10">
        <v>5.6320049971989974</v>
      </c>
      <c r="AJ83" s="10">
        <v>0.35740626406842896</v>
      </c>
    </row>
    <row r="84" spans="23:36" ht="13" x14ac:dyDescent="0.15">
      <c r="W84" s="5">
        <f>AVERAGE(W45:W83)</f>
        <v>3.4689473938896791</v>
      </c>
      <c r="AJ84" s="10">
        <v>0.75167966768137995</v>
      </c>
    </row>
    <row r="85" spans="23:36" ht="13" x14ac:dyDescent="0.15">
      <c r="AJ85" s="10">
        <v>1.3972915582733751</v>
      </c>
    </row>
    <row r="86" spans="23:36" ht="13" x14ac:dyDescent="0.15">
      <c r="AJ86" s="10">
        <v>0.45182518756482276</v>
      </c>
    </row>
    <row r="87" spans="23:36" ht="13" x14ac:dyDescent="0.15">
      <c r="AJ87" s="10">
        <v>1.238843570581891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6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3" sqref="A23"/>
    </sheetView>
  </sheetViews>
  <sheetFormatPr baseColWidth="10" defaultColWidth="12.6640625" defaultRowHeight="15.75" customHeight="1" x14ac:dyDescent="0.15"/>
  <cols>
    <col min="1" max="1" width="41.1640625" customWidth="1"/>
    <col min="2" max="2" width="27" customWidth="1"/>
    <col min="3" max="3" width="27.1640625" customWidth="1"/>
    <col min="4" max="4" width="15.33203125" customWidth="1"/>
    <col min="5" max="5" width="20.5" customWidth="1"/>
    <col min="6" max="6" width="19" customWidth="1"/>
    <col min="7" max="7" width="26.83203125" customWidth="1"/>
    <col min="8" max="8" width="26" customWidth="1"/>
    <col min="9" max="10" width="15.33203125" customWidth="1"/>
    <col min="14" max="14" width="19.1640625" customWidth="1"/>
    <col min="18" max="18" width="25.83203125" customWidth="1"/>
    <col min="19" max="19" width="30.1640625" customWidth="1"/>
  </cols>
  <sheetData>
    <row r="1" spans="1:17" ht="13" x14ac:dyDescent="0.15">
      <c r="B1" s="3" t="s">
        <v>30</v>
      </c>
      <c r="C1" s="3" t="s">
        <v>123</v>
      </c>
      <c r="D1" s="3" t="s">
        <v>124</v>
      </c>
      <c r="E1" s="3" t="s">
        <v>125</v>
      </c>
      <c r="F1" s="3" t="s">
        <v>42</v>
      </c>
      <c r="G1" s="3" t="s">
        <v>126</v>
      </c>
      <c r="H1" s="3" t="s">
        <v>127</v>
      </c>
      <c r="I1" s="3" t="s">
        <v>128</v>
      </c>
      <c r="J1" s="3"/>
      <c r="K1" s="3" t="s">
        <v>3</v>
      </c>
      <c r="L1" s="3" t="s">
        <v>4</v>
      </c>
      <c r="M1" s="3" t="s">
        <v>129</v>
      </c>
      <c r="N1" s="3" t="s">
        <v>31</v>
      </c>
      <c r="O1" s="3" t="s">
        <v>130</v>
      </c>
      <c r="P1" s="3" t="s">
        <v>131</v>
      </c>
      <c r="Q1" s="3" t="s">
        <v>132</v>
      </c>
    </row>
    <row r="2" spans="1:17" ht="16" x14ac:dyDescent="0.2">
      <c r="A2" s="11" t="s">
        <v>133</v>
      </c>
      <c r="B2" s="3">
        <v>0.05</v>
      </c>
      <c r="C2" s="3">
        <v>167.24</v>
      </c>
      <c r="D2" s="3">
        <v>670000</v>
      </c>
      <c r="E2" s="3">
        <f>B2*D2/1000</f>
        <v>33.5</v>
      </c>
      <c r="F2" s="3">
        <f>E2*10^3/8760</f>
        <v>3.8242009132420089</v>
      </c>
      <c r="G2" s="5">
        <f>F2*10^6/D2</f>
        <v>5.7077625570776256</v>
      </c>
      <c r="H2" s="5">
        <f>I2</f>
        <v>15.934170471841705</v>
      </c>
      <c r="I2" s="5">
        <f>E2*10^3/(P2*8760)*100</f>
        <v>15.934170471841705</v>
      </c>
      <c r="K2" s="3">
        <v>0.16</v>
      </c>
      <c r="L2" s="3">
        <v>0.65</v>
      </c>
      <c r="M2" s="3">
        <v>0.23</v>
      </c>
      <c r="N2" s="5">
        <f>C2*K2*L2*M2</f>
        <v>4.0003808000000003</v>
      </c>
      <c r="O2" s="5">
        <f>(N2*2196)/(B2*1000000)*100</f>
        <v>17.569672473600001</v>
      </c>
      <c r="P2" s="3">
        <v>24</v>
      </c>
      <c r="Q2" s="5">
        <f>(P2*1000000)/(D2*1000)*100</f>
        <v>3.5820895522388061</v>
      </c>
    </row>
    <row r="3" spans="1:17" ht="13" x14ac:dyDescent="0.15">
      <c r="F3" s="3">
        <f t="shared" ref="F3:F21" si="0">E3*10^3/8760</f>
        <v>0</v>
      </c>
      <c r="H3" s="22"/>
    </row>
    <row r="4" spans="1:17" ht="13" hidden="1" x14ac:dyDescent="0.15">
      <c r="E4" s="3">
        <f t="shared" ref="E4:E5" si="1">B4*D4/1000</f>
        <v>0</v>
      </c>
      <c r="F4" s="3">
        <f t="shared" si="0"/>
        <v>0</v>
      </c>
      <c r="G4" s="5" t="e">
        <f t="shared" ref="G4:G5" si="2">F4*10^6/D4</f>
        <v>#DIV/0!</v>
      </c>
      <c r="H4" s="22" t="e">
        <f t="shared" ref="H4:H21" si="3">I4</f>
        <v>#DIV/0!</v>
      </c>
      <c r="I4" s="5" t="e">
        <f t="shared" ref="I4:I5" si="4">E4*10^3/(P4*8760)*100</f>
        <v>#DIV/0!</v>
      </c>
      <c r="J4" s="3"/>
    </row>
    <row r="5" spans="1:17" ht="16" x14ac:dyDescent="0.2">
      <c r="A5" s="12" t="s">
        <v>134</v>
      </c>
      <c r="B5" s="3">
        <v>6.7000000000000004E-2</v>
      </c>
      <c r="C5" s="3">
        <v>116.1</v>
      </c>
      <c r="D5" s="3">
        <v>450000</v>
      </c>
      <c r="E5" s="3">
        <f t="shared" si="1"/>
        <v>30.15</v>
      </c>
      <c r="F5" s="3">
        <f t="shared" si="0"/>
        <v>3.4417808219178081</v>
      </c>
      <c r="G5" s="5">
        <f t="shared" si="2"/>
        <v>7.6484018264840179</v>
      </c>
      <c r="H5" s="22">
        <f t="shared" si="3"/>
        <v>11.472602739726028</v>
      </c>
      <c r="I5" s="5">
        <f t="shared" si="4"/>
        <v>11.472602739726028</v>
      </c>
      <c r="K5" s="3">
        <v>0.16</v>
      </c>
      <c r="L5" s="3">
        <v>0.65</v>
      </c>
      <c r="M5" s="3">
        <v>0.17</v>
      </c>
      <c r="N5" s="5">
        <f>C5*K5*L5*M5</f>
        <v>2.0526480000000005</v>
      </c>
      <c r="O5" s="5">
        <f>(N5*1662)/(B5*1000000)*100</f>
        <v>5.091792501492538</v>
      </c>
      <c r="P5" s="3">
        <v>30</v>
      </c>
      <c r="Q5" s="5">
        <f>(P5*1000000)/(1000*D5)*100</f>
        <v>6.666666666666667</v>
      </c>
    </row>
    <row r="6" spans="1:17" ht="13" x14ac:dyDescent="0.15">
      <c r="F6" s="3">
        <f t="shared" si="0"/>
        <v>0</v>
      </c>
      <c r="H6" s="22"/>
    </row>
    <row r="7" spans="1:17" ht="16" x14ac:dyDescent="0.2">
      <c r="A7" s="12" t="s">
        <v>135</v>
      </c>
      <c r="B7" s="3">
        <v>7.0000000000000007E-2</v>
      </c>
      <c r="C7" s="3">
        <v>121</v>
      </c>
      <c r="D7" s="3">
        <v>930000</v>
      </c>
      <c r="E7" s="3">
        <f>B7*D7/1000</f>
        <v>65.100000000000009</v>
      </c>
      <c r="F7" s="3">
        <f t="shared" si="0"/>
        <v>7.4315068493150696</v>
      </c>
      <c r="G7" s="5">
        <f>F7*10^6/D7</f>
        <v>7.9908675799086772</v>
      </c>
      <c r="H7" s="22">
        <f t="shared" si="3"/>
        <v>7.4688511048392652</v>
      </c>
      <c r="I7" s="5">
        <f>E7*10^3/(P7*8760)*100</f>
        <v>7.4688511048392652</v>
      </c>
      <c r="J7" s="3"/>
      <c r="K7" s="3">
        <v>0.16</v>
      </c>
      <c r="L7" s="3">
        <v>0.65</v>
      </c>
      <c r="M7" s="3">
        <v>0.23</v>
      </c>
      <c r="N7" s="5">
        <f>C7*K7*L7*M7</f>
        <v>2.89432</v>
      </c>
      <c r="O7" s="5">
        <f>(N7*1548)/(B7*1000000)*100</f>
        <v>6.4005819428571433</v>
      </c>
      <c r="P7" s="3">
        <v>99.5</v>
      </c>
      <c r="Q7" s="3">
        <f>(P7*1000000)/(D7*1000)*100</f>
        <v>10.698924731182796</v>
      </c>
    </row>
    <row r="8" spans="1:17" ht="13" x14ac:dyDescent="0.15">
      <c r="F8" s="3">
        <f t="shared" si="0"/>
        <v>0</v>
      </c>
      <c r="H8" s="22"/>
    </row>
    <row r="9" spans="1:17" ht="16" x14ac:dyDescent="0.2">
      <c r="A9" s="13" t="s">
        <v>136</v>
      </c>
      <c r="B9" s="3">
        <v>0.11</v>
      </c>
      <c r="C9" s="3">
        <v>279.74</v>
      </c>
      <c r="D9" s="3">
        <v>4000000</v>
      </c>
      <c r="E9" s="3">
        <f>B9*D9/1000</f>
        <v>440</v>
      </c>
      <c r="F9" s="3">
        <f t="shared" si="0"/>
        <v>50.228310502283108</v>
      </c>
      <c r="G9" s="5">
        <f>F9*10^6/D9</f>
        <v>12.557077625570777</v>
      </c>
      <c r="H9" s="22">
        <f t="shared" si="3"/>
        <v>27.904616945712835</v>
      </c>
      <c r="I9" s="5">
        <f>E9*10^3/(P9*8760)*100</f>
        <v>27.904616945712835</v>
      </c>
      <c r="J9" s="3"/>
      <c r="K9" s="3">
        <v>0.16</v>
      </c>
      <c r="L9" s="3">
        <v>0.6</v>
      </c>
      <c r="M9" s="3">
        <v>0.23</v>
      </c>
      <c r="N9" s="5">
        <f>C9*K9*L9*M9</f>
        <v>6.1766592000000005</v>
      </c>
      <c r="O9" s="5">
        <f>(N9*3333)/(B9*1000000)*100</f>
        <v>18.715277376000003</v>
      </c>
      <c r="P9" s="3">
        <v>180</v>
      </c>
      <c r="Q9" s="5">
        <f>(P9*1000000)/(1000*D9)*100</f>
        <v>4.5</v>
      </c>
    </row>
    <row r="10" spans="1:17" ht="13" x14ac:dyDescent="0.15">
      <c r="F10" s="3">
        <f t="shared" si="0"/>
        <v>0</v>
      </c>
      <c r="H10" s="22"/>
    </row>
    <row r="11" spans="1:17" ht="14" x14ac:dyDescent="0.15">
      <c r="A11" s="14" t="s">
        <v>137</v>
      </c>
      <c r="B11" s="3">
        <v>7.8E-2</v>
      </c>
      <c r="C11" s="3">
        <v>110.15</v>
      </c>
      <c r="D11" s="3">
        <v>830000</v>
      </c>
      <c r="E11" s="3">
        <f>B11*D11/1000</f>
        <v>64.739999999999995</v>
      </c>
      <c r="F11" s="3">
        <f t="shared" si="0"/>
        <v>7.3904109589041092</v>
      </c>
      <c r="G11" s="5">
        <f>F11*10^6/D11</f>
        <v>8.9041095890410951</v>
      </c>
      <c r="H11" s="22">
        <f t="shared" si="3"/>
        <v>10.236026258869957</v>
      </c>
      <c r="I11" s="5">
        <f>E11*10^3/(P11*8760)*100</f>
        <v>10.236026258869957</v>
      </c>
      <c r="J11" s="3"/>
      <c r="K11" s="3">
        <v>0.16</v>
      </c>
      <c r="L11" s="3">
        <v>0.65</v>
      </c>
      <c r="M11" s="3">
        <v>0.17</v>
      </c>
      <c r="N11" s="5">
        <f>C11*K11*L11*M11</f>
        <v>1.9474520000000006</v>
      </c>
      <c r="O11" s="5">
        <f>(N11*1530)/(B11*1000000)*100</f>
        <v>3.8200020000000015</v>
      </c>
      <c r="P11" s="3">
        <v>72.2</v>
      </c>
      <c r="Q11" s="5">
        <f>(P11*1000000)/(1000*D11)*100</f>
        <v>8.6987951807228914</v>
      </c>
    </row>
    <row r="12" spans="1:17" ht="13" x14ac:dyDescent="0.15">
      <c r="F12" s="3">
        <f t="shared" si="0"/>
        <v>0</v>
      </c>
      <c r="H12" s="22"/>
    </row>
    <row r="13" spans="1:17" ht="16" x14ac:dyDescent="0.2">
      <c r="A13" s="12" t="s">
        <v>138</v>
      </c>
      <c r="B13" s="3">
        <v>0.08</v>
      </c>
      <c r="C13" s="3">
        <v>164.38</v>
      </c>
      <c r="D13" s="3">
        <v>2600000</v>
      </c>
      <c r="E13" s="3">
        <f>B13*D13/1000</f>
        <v>208</v>
      </c>
      <c r="F13" s="3">
        <f t="shared" si="0"/>
        <v>23.744292237442924</v>
      </c>
      <c r="G13" s="5">
        <f>F13*10^6/D13</f>
        <v>9.1324200913242013</v>
      </c>
      <c r="H13" s="22">
        <f t="shared" si="3"/>
        <v>10.103954143592734</v>
      </c>
      <c r="I13" s="5">
        <f>E13*10^3/(P13*8760)*100</f>
        <v>10.103954143592734</v>
      </c>
      <c r="J13" s="3"/>
      <c r="K13" s="3">
        <v>0.14499999999999999</v>
      </c>
      <c r="L13" s="3">
        <v>0.65</v>
      </c>
      <c r="M13" s="3">
        <v>0.23</v>
      </c>
      <c r="N13" s="5">
        <f>C13*K13*L13*M13</f>
        <v>3.5633474499999997</v>
      </c>
      <c r="O13" s="5">
        <f>(N13*1834)/(B13*10^6)*100</f>
        <v>8.1689740291249997</v>
      </c>
      <c r="P13" s="3">
        <v>235</v>
      </c>
      <c r="Q13" s="5">
        <f>(P13*1000000)/(1000*D13)*100</f>
        <v>9.0384615384615383</v>
      </c>
    </row>
    <row r="14" spans="1:17" ht="13" x14ac:dyDescent="0.15">
      <c r="F14" s="3">
        <f t="shared" si="0"/>
        <v>0</v>
      </c>
      <c r="H14" s="22"/>
    </row>
    <row r="15" spans="1:17" ht="16" x14ac:dyDescent="0.2">
      <c r="A15" s="12" t="s">
        <v>139</v>
      </c>
      <c r="B15" s="3">
        <v>0.12</v>
      </c>
      <c r="C15" s="3">
        <v>214.16</v>
      </c>
      <c r="D15" s="3">
        <v>1760000</v>
      </c>
      <c r="E15" s="3">
        <f>B15*D15/1000</f>
        <v>211.2</v>
      </c>
      <c r="F15" s="3">
        <f t="shared" si="0"/>
        <v>24.109589041095891</v>
      </c>
      <c r="G15" s="5">
        <f>F15*10^6/D15</f>
        <v>13.698630136986301</v>
      </c>
      <c r="H15" s="22">
        <f t="shared" si="3"/>
        <v>18.195916257430859</v>
      </c>
      <c r="I15" s="5">
        <f>E15*10^3/(P15*8760)*100</f>
        <v>18.195916257430859</v>
      </c>
      <c r="J15" s="3"/>
      <c r="K15" s="3">
        <v>0.16</v>
      </c>
      <c r="L15" s="3">
        <v>0.6</v>
      </c>
      <c r="M15" s="3">
        <v>0.34</v>
      </c>
      <c r="N15" s="5">
        <f>C15*K15*L15*M15</f>
        <v>6.9901824000000001</v>
      </c>
      <c r="O15" s="5">
        <f>(N15*2103)/(B15*1000000)*100</f>
        <v>12.250294656000001</v>
      </c>
      <c r="P15" s="3">
        <v>132.5</v>
      </c>
      <c r="Q15" s="5">
        <f>(P15*1000000)/(1000*D15)*100</f>
        <v>7.5284090909090908</v>
      </c>
    </row>
    <row r="16" spans="1:17" ht="13" x14ac:dyDescent="0.15">
      <c r="F16" s="3">
        <f t="shared" si="0"/>
        <v>0</v>
      </c>
      <c r="H16" s="22"/>
    </row>
    <row r="17" spans="1:18" ht="16" x14ac:dyDescent="0.2">
      <c r="A17" s="12" t="s">
        <v>140</v>
      </c>
      <c r="B17" s="3">
        <v>0.04</v>
      </c>
      <c r="C17" s="3">
        <v>119.69</v>
      </c>
      <c r="D17" s="3">
        <v>2140000</v>
      </c>
      <c r="E17" s="3">
        <f>B17*D17/1000</f>
        <v>85.6</v>
      </c>
      <c r="F17" s="3">
        <f t="shared" si="0"/>
        <v>9.7716894977168955</v>
      </c>
      <c r="G17" s="5">
        <f t="shared" ref="G17:G19" si="5">F17*10^6/D17</f>
        <v>4.5662100456621006</v>
      </c>
      <c r="H17" s="22">
        <f t="shared" si="3"/>
        <v>7.6044276246824083</v>
      </c>
      <c r="I17" s="5">
        <f>E17*10^3/(P17*8760)*100</f>
        <v>7.6044276246824083</v>
      </c>
      <c r="J17" s="3"/>
      <c r="K17" s="3">
        <v>0.12</v>
      </c>
      <c r="L17" s="3">
        <v>0.65</v>
      </c>
      <c r="M17" s="3">
        <v>0.23</v>
      </c>
      <c r="N17" s="5">
        <f>C17*K17*L17*M17</f>
        <v>2.1472386000000001</v>
      </c>
      <c r="O17" s="5">
        <f>(N17*1164)/(B17*1000000)*100</f>
        <v>6.2484643260000006</v>
      </c>
      <c r="P17" s="3">
        <v>128.5</v>
      </c>
      <c r="Q17" s="5">
        <f>(P17*1000000)/(1000*D17)*100</f>
        <v>6.0046728971962615</v>
      </c>
    </row>
    <row r="18" spans="1:18" ht="13" x14ac:dyDescent="0.15">
      <c r="F18" s="3">
        <f t="shared" si="0"/>
        <v>0</v>
      </c>
      <c r="G18" s="5" t="e">
        <f t="shared" si="5"/>
        <v>#DIV/0!</v>
      </c>
      <c r="H18" s="22"/>
    </row>
    <row r="19" spans="1:18" ht="18" x14ac:dyDescent="0.2">
      <c r="A19" s="15" t="s">
        <v>141</v>
      </c>
      <c r="B19" s="3">
        <v>0.14000000000000001</v>
      </c>
      <c r="C19" s="3">
        <v>150.91</v>
      </c>
      <c r="D19" s="3">
        <v>2500000</v>
      </c>
      <c r="E19" s="3">
        <f t="shared" ref="E19:E20" si="6">B19*D19/1000</f>
        <v>350.00000000000006</v>
      </c>
      <c r="F19" s="3">
        <f t="shared" si="0"/>
        <v>39.954337899543383</v>
      </c>
      <c r="G19" s="5">
        <f t="shared" si="5"/>
        <v>15.981735159817353</v>
      </c>
      <c r="H19" s="22">
        <f t="shared" si="3"/>
        <v>13.318112633181128</v>
      </c>
      <c r="I19" s="5">
        <f>E19*10^3/(P19*8760)*100</f>
        <v>13.318112633181128</v>
      </c>
      <c r="J19" s="3"/>
      <c r="K19" s="3">
        <v>0.16</v>
      </c>
      <c r="L19" s="3">
        <v>0.65</v>
      </c>
      <c r="M19" s="3">
        <v>0.23</v>
      </c>
      <c r="N19" s="5">
        <f>C19*K19*L19*M19</f>
        <v>3.6097672000000003</v>
      </c>
      <c r="O19" s="5">
        <f>(N19*2035)/(B19*1000000)*100</f>
        <v>5.2470544657142861</v>
      </c>
      <c r="P19" s="3">
        <v>300</v>
      </c>
      <c r="Q19" s="5">
        <f>(P19*1000000)/(1000*D19)*100</f>
        <v>12</v>
      </c>
    </row>
    <row r="20" spans="1:18" ht="18" x14ac:dyDescent="0.2">
      <c r="A20" s="16"/>
      <c r="E20" s="3">
        <f t="shared" si="6"/>
        <v>0</v>
      </c>
      <c r="F20" s="3">
        <f t="shared" si="0"/>
        <v>0</v>
      </c>
      <c r="H20" s="22"/>
    </row>
    <row r="21" spans="1:18" ht="16" x14ac:dyDescent="0.2">
      <c r="A21" s="12" t="s">
        <v>142</v>
      </c>
      <c r="B21" s="3">
        <v>0.1</v>
      </c>
      <c r="C21" s="3">
        <v>206.96</v>
      </c>
      <c r="D21" s="3">
        <v>10000000</v>
      </c>
      <c r="E21" s="3">
        <f>B21*D21/1000</f>
        <v>1000</v>
      </c>
      <c r="F21" s="3">
        <f t="shared" si="0"/>
        <v>114.15525114155251</v>
      </c>
      <c r="G21" s="5">
        <f>F21*10^6/D21</f>
        <v>11.415525114155251</v>
      </c>
      <c r="H21" s="22">
        <f t="shared" si="3"/>
        <v>22.831050228310502</v>
      </c>
      <c r="I21" s="5">
        <f>E21*10^3/(P21*8760)*100</f>
        <v>22.831050228310502</v>
      </c>
      <c r="J21" s="3"/>
      <c r="K21" s="3">
        <v>0.16</v>
      </c>
      <c r="L21" s="3">
        <v>0.65</v>
      </c>
      <c r="M21" s="3">
        <v>0.23</v>
      </c>
      <c r="N21" s="5">
        <f>C21*K21*L21*M21</f>
        <v>4.9504832000000007</v>
      </c>
      <c r="O21" s="5">
        <f>(N21*2898)/(B21*1000000)*100</f>
        <v>14.346500313600002</v>
      </c>
      <c r="P21" s="3">
        <v>500</v>
      </c>
      <c r="Q21" s="5">
        <f>(P21*1000000)/(1000*D21)*100</f>
        <v>5</v>
      </c>
    </row>
    <row r="23" spans="1:18" ht="16" x14ac:dyDescent="0.2">
      <c r="A23" s="45" t="s">
        <v>295</v>
      </c>
      <c r="B23" s="42">
        <v>0.09</v>
      </c>
      <c r="D23">
        <f>0.001*E23/B23</f>
        <v>0.98906428274960534</v>
      </c>
      <c r="E23">
        <f>0.001*8765.81277*P23*I23/100</f>
        <v>89.015785447464481</v>
      </c>
      <c r="I23" s="3">
        <f>SUM(I2+I5+I7+I9+I11+I13+I15+I17+I19+I21)/10</f>
        <v>14.506972840818742</v>
      </c>
      <c r="J23" s="3"/>
      <c r="K23" s="3">
        <v>0.14499999999999999</v>
      </c>
      <c r="L23" s="3">
        <v>0.65</v>
      </c>
      <c r="M23" s="3">
        <v>0.23</v>
      </c>
      <c r="N23" s="5">
        <f>C23*K23*L23*M23</f>
        <v>0</v>
      </c>
      <c r="O23" s="5">
        <f>(N23*1834)/(B23*1000000)*100</f>
        <v>0</v>
      </c>
      <c r="P23" s="3">
        <v>70</v>
      </c>
    </row>
    <row r="24" spans="1:18" ht="13" x14ac:dyDescent="0.15">
      <c r="A24" s="2"/>
      <c r="R24" s="5">
        <v>0.45119999999999999</v>
      </c>
    </row>
    <row r="25" spans="1:18" ht="13" x14ac:dyDescent="0.15">
      <c r="A25" s="2" t="s">
        <v>56</v>
      </c>
      <c r="B25" s="5">
        <f>SUM(B2:B23)/11</f>
        <v>8.5909090909090907E-2</v>
      </c>
      <c r="D25">
        <f>D23*1000000</f>
        <v>989064.28274960537</v>
      </c>
      <c r="R25" s="5">
        <v>0.13728000000000071</v>
      </c>
    </row>
    <row r="26" spans="1:18" ht="13" x14ac:dyDescent="0.15">
      <c r="A26" s="2" t="s">
        <v>58</v>
      </c>
      <c r="D26">
        <f>D25/D21</f>
        <v>9.8906428274960531E-2</v>
      </c>
      <c r="R26" s="5">
        <v>0.12376000000000063</v>
      </c>
    </row>
    <row r="27" spans="1:18" ht="13" x14ac:dyDescent="0.15">
      <c r="A27" s="2" t="s">
        <v>60</v>
      </c>
      <c r="B27" s="3">
        <v>0.25</v>
      </c>
      <c r="C27" s="3">
        <v>275</v>
      </c>
      <c r="E27">
        <f>E21*1000/B21</f>
        <v>10000000</v>
      </c>
      <c r="N27" s="3">
        <v>11.3</v>
      </c>
      <c r="O27" s="5">
        <f>(N27*3250)/2500</f>
        <v>14.69</v>
      </c>
      <c r="R27" s="5">
        <v>0.40128000000000003</v>
      </c>
    </row>
    <row r="28" spans="1:18" ht="13" x14ac:dyDescent="0.15">
      <c r="A28" s="2" t="s">
        <v>62</v>
      </c>
      <c r="E28">
        <f>E27/D23</f>
        <v>10110566.294235125</v>
      </c>
      <c r="R28" s="5">
        <v>0.16120000000000001</v>
      </c>
    </row>
    <row r="29" spans="1:18" ht="13" x14ac:dyDescent="0.15">
      <c r="A29" s="2" t="s">
        <v>64</v>
      </c>
      <c r="R29" s="5">
        <v>0.12168000000000063</v>
      </c>
    </row>
    <row r="30" spans="1:18" ht="13" x14ac:dyDescent="0.15">
      <c r="A30" s="2" t="s">
        <v>66</v>
      </c>
      <c r="R30" s="5">
        <v>0.18616000000000005</v>
      </c>
    </row>
    <row r="31" spans="1:18" ht="13" x14ac:dyDescent="0.15">
      <c r="A31" s="2" t="s">
        <v>68</v>
      </c>
      <c r="R31" s="5">
        <v>0.25792000000000004</v>
      </c>
    </row>
    <row r="32" spans="1:18" ht="13" x14ac:dyDescent="0.15">
      <c r="A32" s="2" t="s">
        <v>70</v>
      </c>
      <c r="E32">
        <f>1000*E13/D13</f>
        <v>0.08</v>
      </c>
      <c r="R32" s="5">
        <v>0.12480000000000063</v>
      </c>
    </row>
    <row r="33" spans="1:18" ht="13" x14ac:dyDescent="0.15">
      <c r="A33" s="2" t="s">
        <v>73</v>
      </c>
      <c r="R33" s="5">
        <v>0.12688000000000066</v>
      </c>
    </row>
    <row r="34" spans="1:18" ht="13" x14ac:dyDescent="0.15">
      <c r="A34" s="2" t="s">
        <v>74</v>
      </c>
      <c r="R34" s="5">
        <v>0.12272000000000062</v>
      </c>
    </row>
    <row r="35" spans="1:18" ht="13" x14ac:dyDescent="0.15">
      <c r="A35" s="2" t="s">
        <v>76</v>
      </c>
      <c r="R35" s="5">
        <v>0.10608000000000002</v>
      </c>
    </row>
    <row r="36" spans="1:18" ht="13" x14ac:dyDescent="0.15">
      <c r="A36" s="2" t="s">
        <v>77</v>
      </c>
      <c r="R36" s="5">
        <v>0.14560000000000001</v>
      </c>
    </row>
    <row r="37" spans="1:18" ht="13" x14ac:dyDescent="0.15">
      <c r="A37" s="2" t="s">
        <v>79</v>
      </c>
      <c r="R37" s="5">
        <v>0.12272000000000062</v>
      </c>
    </row>
    <row r="38" spans="1:18" ht="13" x14ac:dyDescent="0.15">
      <c r="A38" s="2" t="s">
        <v>81</v>
      </c>
      <c r="R38" s="5">
        <v>0.17992000000000002</v>
      </c>
    </row>
    <row r="39" spans="1:18" ht="13" x14ac:dyDescent="0.15">
      <c r="A39" s="2" t="s">
        <v>83</v>
      </c>
      <c r="R39" s="5">
        <v>0.14352000000000073</v>
      </c>
    </row>
    <row r="40" spans="1:18" ht="13" x14ac:dyDescent="0.15">
      <c r="A40" s="2" t="s">
        <v>84</v>
      </c>
      <c r="R40" s="5">
        <v>0.4032</v>
      </c>
    </row>
    <row r="41" spans="1:18" ht="13" x14ac:dyDescent="0.15">
      <c r="A41" s="2" t="s">
        <v>85</v>
      </c>
      <c r="R41" s="5">
        <v>0.38976</v>
      </c>
    </row>
    <row r="42" spans="1:18" ht="13" x14ac:dyDescent="0.15">
      <c r="A42" s="2" t="s">
        <v>86</v>
      </c>
      <c r="R42" s="5">
        <v>0.10816000000000001</v>
      </c>
    </row>
    <row r="43" spans="1:18" ht="13" x14ac:dyDescent="0.15">
      <c r="A43" s="2" t="s">
        <v>87</v>
      </c>
      <c r="R43" s="5">
        <v>0.16744000000000003</v>
      </c>
    </row>
    <row r="44" spans="1:18" ht="13" x14ac:dyDescent="0.15">
      <c r="A44" s="2" t="s">
        <v>88</v>
      </c>
      <c r="R44" s="5">
        <v>0.15600000000000003</v>
      </c>
    </row>
    <row r="45" spans="1:18" ht="13" x14ac:dyDescent="0.15">
      <c r="A45" s="2" t="s">
        <v>143</v>
      </c>
      <c r="R45" s="5">
        <v>0.12480000000000063</v>
      </c>
    </row>
    <row r="46" spans="1:18" ht="13" x14ac:dyDescent="0.15">
      <c r="A46" s="2" t="s">
        <v>89</v>
      </c>
      <c r="R46" s="5">
        <v>0.12480000000000063</v>
      </c>
    </row>
    <row r="47" spans="1:18" ht="13" x14ac:dyDescent="0.15">
      <c r="A47" s="2" t="s">
        <v>90</v>
      </c>
      <c r="R47" s="5">
        <v>0.12168000000000063</v>
      </c>
    </row>
    <row r="48" spans="1:18" ht="13" x14ac:dyDescent="0.15">
      <c r="A48" s="2" t="s">
        <v>91</v>
      </c>
      <c r="R48" s="5">
        <v>0.24752000000000002</v>
      </c>
    </row>
    <row r="49" spans="1:18" ht="13" x14ac:dyDescent="0.15">
      <c r="A49" s="2" t="s">
        <v>92</v>
      </c>
      <c r="R49" s="5">
        <v>0.43392000000000003</v>
      </c>
    </row>
    <row r="50" spans="1:18" ht="13" x14ac:dyDescent="0.15">
      <c r="A50" s="2" t="s">
        <v>93</v>
      </c>
      <c r="R50" s="5">
        <v>0.12376000000000063</v>
      </c>
    </row>
    <row r="51" spans="1:18" ht="13" x14ac:dyDescent="0.15">
      <c r="A51" s="2" t="s">
        <v>94</v>
      </c>
      <c r="R51" s="5">
        <v>0.12272000000000062</v>
      </c>
    </row>
    <row r="52" spans="1:18" ht="13" x14ac:dyDescent="0.15">
      <c r="A52" s="2" t="s">
        <v>95</v>
      </c>
      <c r="R52" s="5">
        <v>0.19240000000000002</v>
      </c>
    </row>
    <row r="53" spans="1:18" ht="13" x14ac:dyDescent="0.15">
      <c r="A53" s="2" t="s">
        <v>96</v>
      </c>
      <c r="R53" s="5">
        <v>0.14560000000000001</v>
      </c>
    </row>
    <row r="54" spans="1:18" ht="13" x14ac:dyDescent="0.15">
      <c r="A54" s="2" t="s">
        <v>97</v>
      </c>
      <c r="R54" s="5">
        <v>0.11752000000000061</v>
      </c>
    </row>
    <row r="55" spans="1:18" ht="13" x14ac:dyDescent="0.15">
      <c r="A55" s="2" t="s">
        <v>98</v>
      </c>
      <c r="R55" s="5">
        <v>0.12896000000000066</v>
      </c>
    </row>
    <row r="56" spans="1:18" ht="13" x14ac:dyDescent="0.15">
      <c r="A56" s="2" t="s">
        <v>99</v>
      </c>
      <c r="R56" s="5">
        <v>0.14664000000000002</v>
      </c>
    </row>
    <row r="57" spans="1:18" ht="13" x14ac:dyDescent="0.15">
      <c r="A57" s="2" t="s">
        <v>100</v>
      </c>
      <c r="R57" s="5">
        <v>0.17264000000000004</v>
      </c>
    </row>
    <row r="58" spans="1:18" ht="13" x14ac:dyDescent="0.15">
      <c r="A58" s="2" t="s">
        <v>101</v>
      </c>
      <c r="R58" s="5">
        <v>0.18512000000000001</v>
      </c>
    </row>
    <row r="59" spans="1:18" ht="13" x14ac:dyDescent="0.15">
      <c r="A59" s="2" t="s">
        <v>102</v>
      </c>
      <c r="R59" s="5">
        <v>0.10816000000000001</v>
      </c>
    </row>
    <row r="60" spans="1:18" ht="13" x14ac:dyDescent="0.15">
      <c r="A60" s="2" t="s">
        <v>103</v>
      </c>
      <c r="R60" s="5">
        <v>0.36479999999999996</v>
      </c>
    </row>
    <row r="61" spans="1:18" ht="13" x14ac:dyDescent="0.15">
      <c r="A61" s="2" t="s">
        <v>104</v>
      </c>
      <c r="R61" s="5">
        <v>0.18824000000000002</v>
      </c>
    </row>
    <row r="62" spans="1:18" ht="13" x14ac:dyDescent="0.15">
      <c r="A62" s="2" t="s">
        <v>105</v>
      </c>
      <c r="R62" s="5">
        <v>0.11232000000000056</v>
      </c>
    </row>
    <row r="63" spans="1:18" ht="13" x14ac:dyDescent="0.15">
      <c r="A63" s="2" t="s">
        <v>106</v>
      </c>
      <c r="R63" s="5">
        <v>0.16640000000000002</v>
      </c>
    </row>
  </sheetData>
  <pageMargins left="0.7" right="0.7" top="0.75" bottom="0.75" header="0.3" footer="0.3"/>
  <pageSetup paperSize="9" orientation="portrait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5"/>
  <sheetViews>
    <sheetView zoomScale="118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7" sqref="D7"/>
    </sheetView>
  </sheetViews>
  <sheetFormatPr baseColWidth="10" defaultColWidth="12.6640625" defaultRowHeight="15.75" customHeight="1" x14ac:dyDescent="0.15"/>
  <cols>
    <col min="1" max="1" width="26.6640625" customWidth="1"/>
    <col min="2" max="2" width="21.6640625" customWidth="1"/>
    <col min="3" max="3" width="27.33203125" customWidth="1"/>
    <col min="6" max="6" width="18.5" customWidth="1"/>
    <col min="7" max="7" width="21.83203125" customWidth="1"/>
    <col min="8" max="8" width="24.6640625" customWidth="1"/>
    <col min="14" max="14" width="25" customWidth="1"/>
  </cols>
  <sheetData>
    <row r="1" spans="1:14" ht="15.75" customHeight="1" x14ac:dyDescent="0.15">
      <c r="B1" s="3" t="s">
        <v>144</v>
      </c>
      <c r="C1" s="3" t="s">
        <v>145</v>
      </c>
      <c r="D1" s="3" t="s">
        <v>146</v>
      </c>
      <c r="E1" s="3" t="s">
        <v>147</v>
      </c>
      <c r="F1" s="3" t="s">
        <v>43</v>
      </c>
      <c r="G1" s="3" t="s">
        <v>148</v>
      </c>
      <c r="H1" s="3" t="s">
        <v>30</v>
      </c>
      <c r="I1" s="3" t="s">
        <v>41</v>
      </c>
      <c r="J1" s="3" t="s">
        <v>3</v>
      </c>
      <c r="K1" s="3" t="s">
        <v>4</v>
      </c>
      <c r="L1" s="3" t="s">
        <v>129</v>
      </c>
      <c r="M1" s="3" t="s">
        <v>149</v>
      </c>
      <c r="N1" s="3" t="s">
        <v>31</v>
      </c>
    </row>
    <row r="2" spans="1:14" ht="15.75" customHeight="1" x14ac:dyDescent="0.15">
      <c r="A2" s="3" t="s">
        <v>150</v>
      </c>
      <c r="B2" s="3">
        <v>5</v>
      </c>
      <c r="C2" s="3">
        <v>6.0220000000000002</v>
      </c>
      <c r="D2" s="3">
        <v>59904</v>
      </c>
      <c r="E2" s="3">
        <f>C2*10^3/8760</f>
        <v>0.68744292237442928</v>
      </c>
      <c r="F2" s="3">
        <f>E2*10^6/D2</f>
        <v>11.475743228739805</v>
      </c>
      <c r="G2" s="3">
        <f>F2</f>
        <v>11.475743228739805</v>
      </c>
      <c r="H2" s="5">
        <f>G2*8760*10^-6</f>
        <v>0.1005275106837607</v>
      </c>
      <c r="I2" s="5">
        <f>(C2*10^3)/(B2*8765.81277)*100</f>
        <v>13.739741329200211</v>
      </c>
      <c r="J2" s="3">
        <v>0.2</v>
      </c>
      <c r="K2" s="3">
        <v>0.6</v>
      </c>
      <c r="L2" s="3">
        <v>0.34</v>
      </c>
      <c r="M2" s="3">
        <v>188</v>
      </c>
      <c r="N2" s="5">
        <f t="shared" ref="N2:N5" si="0">M2*L2*K2*J2</f>
        <v>7.6703999999999999</v>
      </c>
    </row>
    <row r="3" spans="1:14" ht="15.75" customHeight="1" x14ac:dyDescent="0.15">
      <c r="A3" s="3" t="s">
        <v>88</v>
      </c>
      <c r="B3" s="3">
        <v>70</v>
      </c>
      <c r="C3" s="5">
        <f>H3*D3/10^3</f>
        <v>77.47</v>
      </c>
      <c r="D3" s="3">
        <v>1270000</v>
      </c>
      <c r="E3" s="3">
        <f t="shared" ref="E3:E6" si="1">C3*10^3/8760</f>
        <v>8.8436073059360734</v>
      </c>
      <c r="F3" s="3">
        <f t="shared" ref="F3:F6" si="2">E3*10^6/D3</f>
        <v>6.9634703196347036</v>
      </c>
      <c r="G3" s="10">
        <f t="shared" ref="G3:G6" si="3">F3</f>
        <v>6.9634703196347036</v>
      </c>
      <c r="H3" s="3">
        <v>6.0999999999999999E-2</v>
      </c>
      <c r="I3" s="22">
        <f t="shared" ref="I3:I6" si="4">(C3*10^3)/(B3*8765.81277)*100</f>
        <v>12.62534706994758</v>
      </c>
      <c r="J3" s="3">
        <v>0.2</v>
      </c>
      <c r="K3" s="3">
        <v>0.65</v>
      </c>
      <c r="L3" s="3">
        <v>0.23</v>
      </c>
      <c r="M3" s="3">
        <v>150</v>
      </c>
      <c r="N3" s="5">
        <f t="shared" si="0"/>
        <v>4.4850000000000003</v>
      </c>
    </row>
    <row r="4" spans="1:14" ht="15.75" customHeight="1" x14ac:dyDescent="0.15">
      <c r="A4" s="41" t="s">
        <v>77</v>
      </c>
      <c r="B4" s="3">
        <v>17</v>
      </c>
      <c r="C4" s="3">
        <v>23.27</v>
      </c>
      <c r="D4" s="3">
        <v>170000</v>
      </c>
      <c r="E4" s="3">
        <f t="shared" si="1"/>
        <v>2.6563926940639271</v>
      </c>
      <c r="F4" s="3">
        <f t="shared" si="2"/>
        <v>15.625839376846629</v>
      </c>
      <c r="G4" s="10">
        <f t="shared" si="3"/>
        <v>15.625839376846629</v>
      </c>
      <c r="H4" s="5">
        <f t="shared" ref="H4:H6" si="5">G4*8760*10^-6</f>
        <v>0.13688235294117648</v>
      </c>
      <c r="I4" s="22">
        <f t="shared" si="4"/>
        <v>15.615477598339861</v>
      </c>
      <c r="J4" s="3">
        <v>0.2</v>
      </c>
      <c r="K4" s="3">
        <v>0.65</v>
      </c>
      <c r="L4" s="3">
        <v>0.23</v>
      </c>
      <c r="M4" s="3">
        <v>140</v>
      </c>
      <c r="N4" s="5">
        <f t="shared" si="0"/>
        <v>4.1860000000000008</v>
      </c>
    </row>
    <row r="5" spans="1:14" ht="15.75" customHeight="1" x14ac:dyDescent="0.15">
      <c r="A5" s="41" t="s">
        <v>77</v>
      </c>
      <c r="B5" s="3">
        <v>0.23</v>
      </c>
      <c r="C5" s="3">
        <v>0.24</v>
      </c>
      <c r="D5" s="3">
        <v>2500</v>
      </c>
      <c r="E5" s="3">
        <f t="shared" si="1"/>
        <v>2.7397260273972601E-2</v>
      </c>
      <c r="F5" s="3">
        <f t="shared" si="2"/>
        <v>10.95890410958904</v>
      </c>
      <c r="G5" s="10">
        <f t="shared" si="3"/>
        <v>10.95890410958904</v>
      </c>
      <c r="H5" s="5">
        <f t="shared" si="5"/>
        <v>9.6000000000000002E-2</v>
      </c>
      <c r="I5" s="22">
        <f t="shared" si="4"/>
        <v>11.903953326960748</v>
      </c>
      <c r="J5" s="3">
        <v>0.2</v>
      </c>
      <c r="K5" s="3">
        <v>0.65</v>
      </c>
      <c r="L5" s="3">
        <v>0.23</v>
      </c>
      <c r="M5" s="3">
        <v>140</v>
      </c>
      <c r="N5" s="5">
        <f t="shared" si="0"/>
        <v>4.1860000000000008</v>
      </c>
    </row>
    <row r="6" spans="1:14" ht="15.75" customHeight="1" x14ac:dyDescent="0.15">
      <c r="A6" s="3" t="s">
        <v>151</v>
      </c>
      <c r="B6" s="3">
        <v>40</v>
      </c>
      <c r="C6" s="3">
        <v>48.74</v>
      </c>
      <c r="D6" s="3">
        <v>800000</v>
      </c>
      <c r="E6" s="3">
        <f t="shared" si="1"/>
        <v>5.5639269406392691</v>
      </c>
      <c r="F6" s="3">
        <f t="shared" si="2"/>
        <v>6.9549086757990857</v>
      </c>
      <c r="G6" s="10">
        <f t="shared" si="3"/>
        <v>6.9549086757990857</v>
      </c>
      <c r="H6" s="5">
        <f t="shared" si="5"/>
        <v>6.0924999999999993E-2</v>
      </c>
      <c r="I6" s="22">
        <f t="shared" si="4"/>
        <v>13.900593498530769</v>
      </c>
      <c r="J6" s="3">
        <v>0.2</v>
      </c>
      <c r="K6" s="3">
        <v>0.6</v>
      </c>
      <c r="L6" s="3">
        <v>0.23</v>
      </c>
      <c r="N6" s="5">
        <f>SUM(N2:N5)</f>
        <v>20.5274</v>
      </c>
    </row>
    <row r="7" spans="1:14" ht="15.75" customHeight="1" x14ac:dyDescent="0.15">
      <c r="A7" s="41" t="s">
        <v>152</v>
      </c>
      <c r="B7" s="41">
        <v>648</v>
      </c>
      <c r="C7" s="42">
        <f>0.001*8765.81277*B7*I7/100</f>
        <v>770.07232344903184</v>
      </c>
      <c r="D7" s="41">
        <v>10000000</v>
      </c>
      <c r="E7" s="41"/>
      <c r="F7" s="41">
        <f t="shared" ref="F7:G7" si="6">SUM(F2:F6)/5</f>
        <v>10.395773142121854</v>
      </c>
      <c r="G7" s="43">
        <f t="shared" si="6"/>
        <v>10.395773142121854</v>
      </c>
      <c r="H7" s="44">
        <f>AVERAGE(H2:H6)</f>
        <v>9.1066972724987427E-2</v>
      </c>
      <c r="I7" s="44">
        <f>SUM(I2:I6)/5</f>
        <v>13.557022564595835</v>
      </c>
      <c r="J7" s="41">
        <v>0.2</v>
      </c>
      <c r="K7" s="41">
        <v>0.6</v>
      </c>
      <c r="L7" s="41">
        <v>0.23</v>
      </c>
      <c r="M7" s="42"/>
      <c r="N7" s="5">
        <f>N6/4</f>
        <v>5.13185</v>
      </c>
    </row>
    <row r="9" spans="1:14" ht="15.75" customHeight="1" x14ac:dyDescent="0.15">
      <c r="F9" s="5">
        <f>MEDIAN(G2:G6)</f>
        <v>10.95890410958904</v>
      </c>
      <c r="G9" s="5">
        <f t="shared" ref="G9:G13" si="7">G2*8760*10^-6*1</f>
        <v>0.1005275106837607</v>
      </c>
    </row>
    <row r="10" spans="1:14" ht="15.75" customHeight="1" x14ac:dyDescent="0.15">
      <c r="G10" s="5">
        <f t="shared" si="7"/>
        <v>6.1000000000000006E-2</v>
      </c>
      <c r="H10" s="5">
        <f>STDEVA(G2:G6)</f>
        <v>3.6213704462183238</v>
      </c>
    </row>
    <row r="11" spans="1:14" ht="15.75" customHeight="1" x14ac:dyDescent="0.15">
      <c r="G11" s="5">
        <f t="shared" si="7"/>
        <v>0.13688235294117648</v>
      </c>
    </row>
    <row r="12" spans="1:14" ht="15.75" customHeight="1" x14ac:dyDescent="0.15">
      <c r="G12" s="5">
        <f t="shared" si="7"/>
        <v>9.6000000000000002E-2</v>
      </c>
    </row>
    <row r="13" spans="1:14" ht="15.75" customHeight="1" x14ac:dyDescent="0.15">
      <c r="F13" s="5">
        <f>STDEVPA(H2:H6)</f>
        <v>2.8374097235043125E-2</v>
      </c>
      <c r="G13" s="5">
        <f t="shared" si="7"/>
        <v>6.0924999999999993E-2</v>
      </c>
      <c r="H13" s="5">
        <f>AVERAGE(H2:H7)</f>
        <v>9.1066972724987427E-2</v>
      </c>
    </row>
    <row r="15" spans="1:14" ht="15.75" customHeight="1" x14ac:dyDescent="0.15">
      <c r="A15" s="3" t="s">
        <v>153</v>
      </c>
      <c r="B15" s="3">
        <v>2100</v>
      </c>
      <c r="D15" s="3">
        <v>30000000</v>
      </c>
      <c r="G15" s="5">
        <f>AVERAGE(G9:G13)</f>
        <v>9.1066972724987427E-2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E194"/>
  <sheetViews>
    <sheetView workbookViewId="0">
      <pane xSplit="1" ySplit="1" topLeftCell="B101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2.6640625" defaultRowHeight="15.75" customHeight="1" x14ac:dyDescent="0.15"/>
  <cols>
    <col min="1" max="1" width="17.5" customWidth="1"/>
    <col min="2" max="2" width="26.6640625" customWidth="1"/>
    <col min="3" max="4" width="31.6640625" customWidth="1"/>
    <col min="5" max="5" width="28.5" customWidth="1"/>
    <col min="6" max="6" width="33.1640625" customWidth="1"/>
    <col min="7" max="7" width="26.33203125" customWidth="1"/>
    <col min="8" max="8" width="22.6640625" customWidth="1"/>
    <col min="9" max="9" width="31.1640625" customWidth="1"/>
    <col min="10" max="10" width="17.83203125" customWidth="1"/>
    <col min="11" max="11" width="25.1640625" customWidth="1"/>
    <col min="12" max="12" width="20.1640625" customWidth="1"/>
    <col min="13" max="13" width="20.5" customWidth="1"/>
    <col min="14" max="14" width="31.6640625" customWidth="1"/>
    <col min="15" max="15" width="30.1640625" customWidth="1"/>
    <col min="16" max="16" width="27.6640625" customWidth="1"/>
    <col min="17" max="17" width="32.6640625" customWidth="1"/>
    <col min="18" max="18" width="32" customWidth="1"/>
    <col min="20" max="21" width="33.1640625" customWidth="1"/>
    <col min="22" max="22" width="32.6640625" customWidth="1"/>
    <col min="23" max="23" width="30.6640625" customWidth="1"/>
    <col min="24" max="24" width="17.6640625" customWidth="1"/>
    <col min="25" max="25" width="19.83203125" customWidth="1"/>
    <col min="26" max="26" width="20.33203125" customWidth="1"/>
    <col min="27" max="27" width="17.33203125" customWidth="1"/>
    <col min="28" max="28" width="15.33203125" customWidth="1"/>
  </cols>
  <sheetData>
    <row r="1" spans="1:28" ht="15.75" customHeight="1" x14ac:dyDescent="0.15">
      <c r="A1" s="3"/>
      <c r="B1" s="3" t="s">
        <v>154</v>
      </c>
      <c r="C1" s="3" t="s">
        <v>155</v>
      </c>
      <c r="D1" s="5">
        <f>10^6</f>
        <v>1000000</v>
      </c>
      <c r="E1" s="3" t="s">
        <v>156</v>
      </c>
      <c r="F1" s="3" t="s">
        <v>157</v>
      </c>
      <c r="G1" s="3" t="s">
        <v>158</v>
      </c>
      <c r="H1" s="3" t="s">
        <v>159</v>
      </c>
      <c r="I1" s="3" t="s">
        <v>160</v>
      </c>
      <c r="J1" s="3" t="s">
        <v>161</v>
      </c>
      <c r="K1" s="3" t="s">
        <v>162</v>
      </c>
      <c r="L1" s="3" t="s">
        <v>14</v>
      </c>
      <c r="M1" s="3" t="s">
        <v>41</v>
      </c>
      <c r="N1" s="3" t="s">
        <v>37</v>
      </c>
      <c r="O1" s="3" t="s">
        <v>163</v>
      </c>
      <c r="P1" s="3" t="s">
        <v>164</v>
      </c>
      <c r="Q1" s="3" t="s">
        <v>165</v>
      </c>
      <c r="R1" s="3" t="s">
        <v>166</v>
      </c>
      <c r="S1" s="3" t="s">
        <v>167</v>
      </c>
      <c r="T1" s="3" t="s">
        <v>166</v>
      </c>
      <c r="U1" s="3" t="s">
        <v>166</v>
      </c>
      <c r="V1" s="3" t="s">
        <v>168</v>
      </c>
      <c r="W1" s="3" t="s">
        <v>169</v>
      </c>
      <c r="X1" s="3" t="s">
        <v>170</v>
      </c>
      <c r="Y1" s="3" t="s">
        <v>171</v>
      </c>
      <c r="Z1" s="3" t="s">
        <v>172</v>
      </c>
      <c r="AA1" s="3" t="s">
        <v>173</v>
      </c>
      <c r="AB1" s="3" t="s">
        <v>174</v>
      </c>
    </row>
    <row r="2" spans="1:28" ht="15.75" customHeight="1" x14ac:dyDescent="0.15">
      <c r="A2" s="3" t="s">
        <v>169</v>
      </c>
      <c r="B2" s="3" t="s">
        <v>175</v>
      </c>
      <c r="C2" s="3" t="s">
        <v>176</v>
      </c>
      <c r="D2" s="3"/>
      <c r="E2" s="3" t="s">
        <v>177</v>
      </c>
      <c r="F2" s="3" t="s">
        <v>178</v>
      </c>
      <c r="G2" s="3" t="s">
        <v>179</v>
      </c>
    </row>
    <row r="3" spans="1:28" ht="15.75" customHeight="1" x14ac:dyDescent="0.15">
      <c r="A3" s="3" t="s">
        <v>180</v>
      </c>
      <c r="B3" s="5">
        <f>21*5</f>
        <v>105</v>
      </c>
      <c r="C3" s="3">
        <f>22*5</f>
        <v>110</v>
      </c>
      <c r="D3" s="3"/>
      <c r="E3" s="5">
        <f>22*5</f>
        <v>110</v>
      </c>
      <c r="F3" s="5">
        <f>19*5</f>
        <v>95</v>
      </c>
      <c r="G3" s="5">
        <f>26*5</f>
        <v>130</v>
      </c>
    </row>
    <row r="4" spans="1:28" ht="15.75" customHeight="1" x14ac:dyDescent="0.15">
      <c r="A4" s="3" t="s">
        <v>181</v>
      </c>
      <c r="B4" s="5">
        <f>36*5</f>
        <v>180</v>
      </c>
      <c r="C4" s="3">
        <f>38*5</f>
        <v>190</v>
      </c>
      <c r="D4" s="3"/>
      <c r="E4" s="5">
        <f>37*5</f>
        <v>185</v>
      </c>
      <c r="F4" s="3">
        <f>18*5</f>
        <v>90</v>
      </c>
      <c r="G4" s="5">
        <f>46*5</f>
        <v>230</v>
      </c>
    </row>
    <row r="5" spans="1:28" ht="15.75" customHeight="1" x14ac:dyDescent="0.15">
      <c r="A5" s="3" t="s">
        <v>182</v>
      </c>
      <c r="B5" s="5">
        <f>51*5</f>
        <v>255</v>
      </c>
      <c r="C5" s="3">
        <f>41*5</f>
        <v>205</v>
      </c>
      <c r="D5" s="3"/>
      <c r="E5" s="5">
        <f>35*5</f>
        <v>175</v>
      </c>
      <c r="F5" s="5">
        <f>19*5</f>
        <v>95</v>
      </c>
      <c r="G5" s="5">
        <f>77*5</f>
        <v>385</v>
      </c>
    </row>
    <row r="6" spans="1:28" ht="15.75" customHeight="1" x14ac:dyDescent="0.15">
      <c r="A6" s="3" t="s">
        <v>183</v>
      </c>
      <c r="B6" s="5">
        <f>54*5</f>
        <v>270</v>
      </c>
      <c r="C6" s="3">
        <f>46*5</f>
        <v>230</v>
      </c>
      <c r="D6" s="3"/>
      <c r="E6" s="5">
        <f>31*5</f>
        <v>155</v>
      </c>
      <c r="F6" s="5">
        <f>20*5</f>
        <v>100</v>
      </c>
      <c r="G6" s="5">
        <f>84*5</f>
        <v>420</v>
      </c>
    </row>
    <row r="7" spans="1:28" ht="15.75" customHeight="1" x14ac:dyDescent="0.15">
      <c r="A7" s="3" t="s">
        <v>184</v>
      </c>
      <c r="B7" s="5">
        <f>60*5</f>
        <v>300</v>
      </c>
      <c r="C7" s="3">
        <f>69*5</f>
        <v>345</v>
      </c>
      <c r="D7" s="3"/>
      <c r="E7" s="5">
        <f>44*5</f>
        <v>220</v>
      </c>
      <c r="F7" s="5">
        <f>21*5</f>
        <v>105</v>
      </c>
      <c r="G7" s="5">
        <f>117*5</f>
        <v>585</v>
      </c>
    </row>
    <row r="8" spans="1:28" ht="15.75" customHeight="1" x14ac:dyDescent="0.15">
      <c r="A8" s="3" t="s">
        <v>185</v>
      </c>
      <c r="B8" s="3">
        <f>71*5</f>
        <v>355</v>
      </c>
      <c r="C8" s="3">
        <f>82*5</f>
        <v>410</v>
      </c>
      <c r="D8" s="3"/>
      <c r="E8" s="5">
        <f>79*5</f>
        <v>395</v>
      </c>
      <c r="F8" s="5">
        <f>29*5</f>
        <v>145</v>
      </c>
      <c r="G8" s="5">
        <f>177*5</f>
        <v>885</v>
      </c>
    </row>
    <row r="9" spans="1:28" ht="15.75" customHeight="1" x14ac:dyDescent="0.15">
      <c r="B9" s="5">
        <f t="shared" ref="B9:C9" si="0">SUM(B3:B8)</f>
        <v>1465</v>
      </c>
      <c r="C9" s="5">
        <f t="shared" si="0"/>
        <v>1490</v>
      </c>
      <c r="E9" s="5">
        <f t="shared" ref="E9:G9" si="1">SUM(E3:E8)</f>
        <v>1240</v>
      </c>
      <c r="F9" s="5">
        <f t="shared" si="1"/>
        <v>630</v>
      </c>
      <c r="G9" s="5">
        <f t="shared" si="1"/>
        <v>2635</v>
      </c>
    </row>
    <row r="11" spans="1:28" ht="15.75" customHeight="1" x14ac:dyDescent="0.15">
      <c r="A11" s="3" t="s">
        <v>186</v>
      </c>
      <c r="B11" s="3" t="s">
        <v>187</v>
      </c>
      <c r="C11" s="3" t="s">
        <v>188</v>
      </c>
      <c r="D11" s="3"/>
      <c r="E11" s="3" t="s">
        <v>189</v>
      </c>
      <c r="F11" s="3" t="s">
        <v>190</v>
      </c>
      <c r="G11" s="3" t="s">
        <v>156</v>
      </c>
      <c r="H11" s="3" t="s">
        <v>157</v>
      </c>
      <c r="I11" s="3" t="s">
        <v>191</v>
      </c>
      <c r="J11" s="3" t="s">
        <v>192</v>
      </c>
      <c r="K11" s="3" t="s">
        <v>193</v>
      </c>
      <c r="L11" s="3" t="s">
        <v>194</v>
      </c>
      <c r="M11" s="3" t="s">
        <v>195</v>
      </c>
    </row>
    <row r="12" spans="1:28" ht="15.75" customHeight="1" x14ac:dyDescent="0.15">
      <c r="A12" s="3" t="s">
        <v>66</v>
      </c>
      <c r="B12" s="3">
        <v>5920000</v>
      </c>
      <c r="C12" s="3">
        <v>0.2</v>
      </c>
      <c r="D12" s="3"/>
      <c r="E12" s="3">
        <v>1.7</v>
      </c>
      <c r="F12" s="3">
        <v>0.15</v>
      </c>
      <c r="G12" s="5">
        <f t="shared" ref="G12:G27" si="2">F12*E12</f>
        <v>0.255</v>
      </c>
      <c r="H12" s="3">
        <v>0.8</v>
      </c>
      <c r="I12" s="3">
        <v>1564.0250000000001</v>
      </c>
      <c r="J12" s="5">
        <f t="shared" ref="J12:J27" si="3">I12*H12*G12</f>
        <v>319.06110000000007</v>
      </c>
      <c r="K12" s="5">
        <f t="shared" ref="K12:K27" si="4">(B12*10^6)/J12</f>
        <v>18554439886.278831</v>
      </c>
      <c r="L12" s="5">
        <f t="shared" ref="L12:L27" si="5">(K12*1.7)/1000000</f>
        <v>31542.547806674011</v>
      </c>
      <c r="M12" s="5">
        <f t="shared" ref="M12:M27" si="6">K12/1000000000</f>
        <v>18.554439886278832</v>
      </c>
    </row>
    <row r="13" spans="1:28" ht="15.75" customHeight="1" x14ac:dyDescent="0.15">
      <c r="A13" s="3" t="s">
        <v>106</v>
      </c>
      <c r="B13" s="3">
        <v>3913000</v>
      </c>
      <c r="C13" s="3">
        <v>0.2</v>
      </c>
      <c r="D13" s="3"/>
      <c r="E13" s="3">
        <v>1.7</v>
      </c>
      <c r="F13" s="3">
        <v>0.15</v>
      </c>
      <c r="G13" s="5">
        <f t="shared" si="2"/>
        <v>0.255</v>
      </c>
      <c r="H13" s="3">
        <v>0.8</v>
      </c>
      <c r="I13" s="3">
        <v>1516.575</v>
      </c>
      <c r="J13" s="5">
        <f t="shared" si="3"/>
        <v>309.38130000000001</v>
      </c>
      <c r="K13" s="5">
        <f t="shared" si="4"/>
        <v>12647823252.407305</v>
      </c>
      <c r="L13" s="5">
        <f t="shared" si="5"/>
        <v>21501.299529092419</v>
      </c>
      <c r="M13" s="5">
        <f t="shared" si="6"/>
        <v>12.647823252407305</v>
      </c>
    </row>
    <row r="14" spans="1:28" ht="15.75" customHeight="1" x14ac:dyDescent="0.15">
      <c r="A14" s="3" t="s">
        <v>97</v>
      </c>
      <c r="B14" s="3">
        <v>1065000</v>
      </c>
      <c r="C14" s="3">
        <v>0.2</v>
      </c>
      <c r="D14" s="3"/>
      <c r="E14" s="3">
        <v>1.7</v>
      </c>
      <c r="F14" s="3">
        <v>0.15</v>
      </c>
      <c r="G14" s="5">
        <f t="shared" si="2"/>
        <v>0.255</v>
      </c>
      <c r="H14" s="3">
        <v>0.8</v>
      </c>
      <c r="I14" s="3">
        <v>1178.95</v>
      </c>
      <c r="J14" s="5">
        <f t="shared" si="3"/>
        <v>240.50580000000002</v>
      </c>
      <c r="K14" s="5">
        <f t="shared" si="4"/>
        <v>4428167636.7056427</v>
      </c>
      <c r="L14" s="5">
        <f t="shared" si="5"/>
        <v>7527.8849823995924</v>
      </c>
      <c r="M14" s="5">
        <f t="shared" si="6"/>
        <v>4.4281676367056431</v>
      </c>
    </row>
    <row r="15" spans="1:28" ht="15.75" customHeight="1" x14ac:dyDescent="0.15">
      <c r="A15" s="3" t="s">
        <v>84</v>
      </c>
      <c r="B15" s="3">
        <v>1001191</v>
      </c>
      <c r="C15" s="3">
        <v>0.2</v>
      </c>
      <c r="D15" s="3"/>
      <c r="E15" s="3">
        <v>1.7</v>
      </c>
      <c r="F15" s="3">
        <v>0.15</v>
      </c>
      <c r="G15" s="5">
        <f t="shared" si="2"/>
        <v>0.255</v>
      </c>
      <c r="H15" s="3">
        <v>0.8</v>
      </c>
      <c r="I15" s="3">
        <v>1717.325</v>
      </c>
      <c r="J15" s="5">
        <f t="shared" si="3"/>
        <v>350.33430000000004</v>
      </c>
      <c r="K15" s="5">
        <f t="shared" si="4"/>
        <v>2857816091.6587381</v>
      </c>
      <c r="L15" s="5">
        <f t="shared" si="5"/>
        <v>4858.2873558198544</v>
      </c>
      <c r="M15" s="5">
        <f t="shared" si="6"/>
        <v>2.8578160916587381</v>
      </c>
    </row>
    <row r="16" spans="1:28" ht="15.75" customHeight="1" x14ac:dyDescent="0.15">
      <c r="A16" s="3" t="s">
        <v>88</v>
      </c>
      <c r="B16" s="3">
        <v>934000</v>
      </c>
      <c r="C16" s="3">
        <v>0.2</v>
      </c>
      <c r="D16" s="3"/>
      <c r="E16" s="3">
        <v>1.7</v>
      </c>
      <c r="F16" s="3">
        <v>0.15</v>
      </c>
      <c r="G16" s="5">
        <f t="shared" si="2"/>
        <v>0.255</v>
      </c>
      <c r="H16" s="3">
        <v>0.8</v>
      </c>
      <c r="I16" s="3">
        <v>1315.825</v>
      </c>
      <c r="J16" s="5">
        <f t="shared" si="3"/>
        <v>268.42830000000004</v>
      </c>
      <c r="K16" s="5">
        <f t="shared" si="4"/>
        <v>3479513896.2620554</v>
      </c>
      <c r="L16" s="5">
        <f t="shared" si="5"/>
        <v>5915.1736236454944</v>
      </c>
      <c r="M16" s="5">
        <f t="shared" si="6"/>
        <v>3.4795138962620555</v>
      </c>
    </row>
    <row r="17" spans="1:13" ht="15.75" customHeight="1" x14ac:dyDescent="0.15">
      <c r="A17" s="3" t="s">
        <v>79</v>
      </c>
      <c r="B17" s="3">
        <v>533000</v>
      </c>
      <c r="C17" s="3">
        <v>0.2</v>
      </c>
      <c r="D17" s="3"/>
      <c r="E17" s="3">
        <v>1.7</v>
      </c>
      <c r="F17" s="3">
        <v>0.15</v>
      </c>
      <c r="G17" s="5">
        <f t="shared" si="2"/>
        <v>0.255</v>
      </c>
      <c r="H17" s="3">
        <v>0.8</v>
      </c>
      <c r="I17" s="3">
        <v>1111.425</v>
      </c>
      <c r="J17" s="5">
        <f t="shared" si="3"/>
        <v>226.73070000000001</v>
      </c>
      <c r="K17" s="5">
        <f t="shared" si="4"/>
        <v>2350806485.4031677</v>
      </c>
      <c r="L17" s="5">
        <f t="shared" si="5"/>
        <v>3996.3710251853854</v>
      </c>
      <c r="M17" s="5">
        <f t="shared" si="6"/>
        <v>2.3508064854031678</v>
      </c>
    </row>
    <row r="18" spans="1:13" ht="15.75" customHeight="1" x14ac:dyDescent="0.15">
      <c r="A18" s="3" t="s">
        <v>64</v>
      </c>
      <c r="B18" s="3">
        <v>528000</v>
      </c>
      <c r="C18" s="3">
        <v>0.2</v>
      </c>
      <c r="D18" s="3"/>
      <c r="E18" s="3">
        <v>1.7</v>
      </c>
      <c r="F18" s="3">
        <v>0.15</v>
      </c>
      <c r="G18" s="5">
        <f t="shared" si="2"/>
        <v>0.255</v>
      </c>
      <c r="H18" s="3">
        <v>0.8</v>
      </c>
      <c r="I18" s="3">
        <v>1160.7</v>
      </c>
      <c r="J18" s="5">
        <f t="shared" si="3"/>
        <v>236.78280000000001</v>
      </c>
      <c r="K18" s="5">
        <f t="shared" si="4"/>
        <v>2229891698.2145662</v>
      </c>
      <c r="L18" s="5">
        <f t="shared" si="5"/>
        <v>3790.8158869647627</v>
      </c>
      <c r="M18" s="5">
        <f t="shared" si="6"/>
        <v>2.229891698214566</v>
      </c>
    </row>
    <row r="19" spans="1:13" ht="15.75" customHeight="1" x14ac:dyDescent="0.15">
      <c r="A19" s="3" t="s">
        <v>196</v>
      </c>
      <c r="B19" s="3">
        <v>518000</v>
      </c>
      <c r="C19" s="3">
        <v>0.2</v>
      </c>
      <c r="D19" s="3"/>
      <c r="E19" s="3">
        <v>1.7</v>
      </c>
      <c r="F19" s="3">
        <v>0.15</v>
      </c>
      <c r="G19" s="5">
        <f t="shared" si="2"/>
        <v>0.255</v>
      </c>
      <c r="H19" s="3">
        <v>0.8</v>
      </c>
      <c r="I19" s="3">
        <v>1874.2750000000001</v>
      </c>
      <c r="J19" s="5">
        <f t="shared" si="3"/>
        <v>382.35210000000001</v>
      </c>
      <c r="K19" s="5">
        <f t="shared" si="4"/>
        <v>1354772211.2680955</v>
      </c>
      <c r="L19" s="5">
        <f t="shared" si="5"/>
        <v>2303.112759155762</v>
      </c>
      <c r="M19" s="5">
        <f t="shared" si="6"/>
        <v>1.3547722112680955</v>
      </c>
    </row>
    <row r="20" spans="1:13" ht="15.75" customHeight="1" x14ac:dyDescent="0.15">
      <c r="A20" s="3" t="s">
        <v>197</v>
      </c>
      <c r="B20" s="3">
        <v>495000</v>
      </c>
      <c r="C20" s="3">
        <v>0.2</v>
      </c>
      <c r="D20" s="3"/>
      <c r="E20" s="3">
        <v>1.7</v>
      </c>
      <c r="F20" s="3">
        <v>0.15</v>
      </c>
      <c r="G20" s="5">
        <f t="shared" si="2"/>
        <v>0.255</v>
      </c>
      <c r="H20" s="3">
        <v>0.8</v>
      </c>
      <c r="I20" s="3">
        <v>1432.625</v>
      </c>
      <c r="J20" s="5">
        <f t="shared" si="3"/>
        <v>292.25550000000004</v>
      </c>
      <c r="K20" s="5">
        <f t="shared" si="4"/>
        <v>1693723471.4145668</v>
      </c>
      <c r="L20" s="5">
        <f t="shared" si="5"/>
        <v>2879.3299014047634</v>
      </c>
      <c r="M20" s="5">
        <f t="shared" si="6"/>
        <v>1.6937234714145668</v>
      </c>
    </row>
    <row r="21" spans="1:13" ht="15.75" customHeight="1" x14ac:dyDescent="0.15">
      <c r="A21" s="3" t="s">
        <v>77</v>
      </c>
      <c r="B21" s="3">
        <v>431000</v>
      </c>
      <c r="C21" s="3">
        <v>0.2</v>
      </c>
      <c r="D21" s="3"/>
      <c r="E21" s="3">
        <v>1.7</v>
      </c>
      <c r="F21" s="3">
        <v>0.15</v>
      </c>
      <c r="G21" s="5">
        <f t="shared" si="2"/>
        <v>0.255</v>
      </c>
      <c r="H21" s="3">
        <v>0.8</v>
      </c>
      <c r="I21" s="3">
        <v>1348.675</v>
      </c>
      <c r="J21" s="5">
        <f t="shared" si="3"/>
        <v>275.12970000000001</v>
      </c>
      <c r="K21" s="5">
        <f t="shared" si="4"/>
        <v>1566533892.9239554</v>
      </c>
      <c r="L21" s="5">
        <f t="shared" si="5"/>
        <v>2663.1076179707243</v>
      </c>
      <c r="M21" s="5">
        <f t="shared" si="6"/>
        <v>1.5665338929239554</v>
      </c>
    </row>
    <row r="22" spans="1:13" ht="15.75" customHeight="1" x14ac:dyDescent="0.15">
      <c r="A22" s="3" t="s">
        <v>105</v>
      </c>
      <c r="B22" s="3">
        <v>309000</v>
      </c>
      <c r="C22" s="3">
        <v>0.2</v>
      </c>
      <c r="D22" s="3"/>
      <c r="E22" s="3">
        <v>1.7</v>
      </c>
      <c r="F22" s="3">
        <v>0.15</v>
      </c>
      <c r="G22" s="5">
        <f t="shared" si="2"/>
        <v>0.255</v>
      </c>
      <c r="H22" s="3">
        <v>0.8</v>
      </c>
      <c r="I22" s="3">
        <v>943.52499999999998</v>
      </c>
      <c r="J22" s="5">
        <f t="shared" si="3"/>
        <v>192.47910000000002</v>
      </c>
      <c r="K22" s="5">
        <f t="shared" si="4"/>
        <v>1605369102.4116383</v>
      </c>
      <c r="L22" s="5">
        <f t="shared" si="5"/>
        <v>2729.1274740997846</v>
      </c>
      <c r="M22" s="5">
        <f t="shared" si="6"/>
        <v>1.6053691024116383</v>
      </c>
    </row>
    <row r="23" spans="1:13" ht="15.75" customHeight="1" x14ac:dyDescent="0.15">
      <c r="A23" s="3" t="s">
        <v>198</v>
      </c>
      <c r="B23" s="3">
        <v>291000</v>
      </c>
      <c r="C23" s="3">
        <v>0.2</v>
      </c>
      <c r="D23" s="3"/>
      <c r="E23" s="3">
        <v>1.7</v>
      </c>
      <c r="F23" s="3">
        <v>0.15</v>
      </c>
      <c r="G23" s="5">
        <f t="shared" si="2"/>
        <v>0.255</v>
      </c>
      <c r="H23" s="3">
        <v>0.8</v>
      </c>
      <c r="I23" s="3">
        <v>1432.625</v>
      </c>
      <c r="J23" s="5">
        <f t="shared" si="3"/>
        <v>292.25550000000004</v>
      </c>
      <c r="K23" s="5">
        <f t="shared" si="4"/>
        <v>995704101.37704837</v>
      </c>
      <c r="L23" s="5">
        <f t="shared" si="5"/>
        <v>1692.6969723409823</v>
      </c>
      <c r="M23" s="5">
        <f t="shared" si="6"/>
        <v>0.99570410137704835</v>
      </c>
    </row>
    <row r="24" spans="1:13" ht="15.75" customHeight="1" x14ac:dyDescent="0.15">
      <c r="A24" s="3" t="s">
        <v>199</v>
      </c>
      <c r="B24" s="3">
        <v>249500</v>
      </c>
      <c r="C24" s="3">
        <v>0.2</v>
      </c>
      <c r="D24" s="3"/>
      <c r="E24" s="3">
        <v>1.7</v>
      </c>
      <c r="F24" s="3">
        <v>0.15</v>
      </c>
      <c r="G24" s="5">
        <f t="shared" si="2"/>
        <v>0.255</v>
      </c>
      <c r="H24" s="3">
        <v>0.8</v>
      </c>
      <c r="I24" s="3">
        <v>1450.875</v>
      </c>
      <c r="J24" s="5">
        <f t="shared" si="3"/>
        <v>295.9785</v>
      </c>
      <c r="K24" s="5">
        <f t="shared" si="4"/>
        <v>842966634.40080953</v>
      </c>
      <c r="L24" s="5">
        <f t="shared" si="5"/>
        <v>1433.0432784813761</v>
      </c>
      <c r="M24" s="5">
        <f t="shared" si="6"/>
        <v>0.84296663440080954</v>
      </c>
    </row>
    <row r="25" spans="1:13" ht="15.75" customHeight="1" x14ac:dyDescent="0.15">
      <c r="A25" s="3" t="s">
        <v>92</v>
      </c>
      <c r="B25" s="3">
        <v>238000</v>
      </c>
      <c r="C25" s="3">
        <v>0.2</v>
      </c>
      <c r="D25" s="3"/>
      <c r="E25" s="3">
        <v>1.7</v>
      </c>
      <c r="F25" s="3">
        <v>0.15</v>
      </c>
      <c r="G25" s="5">
        <f t="shared" si="2"/>
        <v>0.255</v>
      </c>
      <c r="H25" s="3">
        <v>0.8</v>
      </c>
      <c r="I25" s="3">
        <v>1981.25</v>
      </c>
      <c r="J25" s="5">
        <f t="shared" si="3"/>
        <v>404.17500000000001</v>
      </c>
      <c r="K25" s="5">
        <f t="shared" si="4"/>
        <v>588853838.06519449</v>
      </c>
      <c r="L25" s="5">
        <f t="shared" si="5"/>
        <v>1001.0515247108306</v>
      </c>
      <c r="M25" s="5">
        <f t="shared" si="6"/>
        <v>0.58885383806519453</v>
      </c>
    </row>
    <row r="26" spans="1:13" ht="15.75" customHeight="1" x14ac:dyDescent="0.15">
      <c r="A26" s="3" t="s">
        <v>101</v>
      </c>
      <c r="B26" s="3">
        <v>234000</v>
      </c>
      <c r="C26" s="3">
        <v>0.2</v>
      </c>
      <c r="D26" s="3"/>
      <c r="E26" s="3">
        <v>1.7</v>
      </c>
      <c r="F26" s="3">
        <v>0.15</v>
      </c>
      <c r="G26" s="5">
        <f t="shared" si="2"/>
        <v>0.255</v>
      </c>
      <c r="H26" s="3">
        <v>0.8</v>
      </c>
      <c r="I26" s="3">
        <v>1589.575</v>
      </c>
      <c r="J26" s="5">
        <f t="shared" si="3"/>
        <v>324.27330000000001</v>
      </c>
      <c r="K26" s="5">
        <f t="shared" si="4"/>
        <v>721613527.84826875</v>
      </c>
      <c r="L26" s="5">
        <f t="shared" si="5"/>
        <v>1226.7429973420567</v>
      </c>
      <c r="M26" s="5">
        <f t="shared" si="6"/>
        <v>0.72161352784826871</v>
      </c>
    </row>
    <row r="27" spans="1:13" ht="15.75" customHeight="1" x14ac:dyDescent="0.15">
      <c r="A27" s="3" t="s">
        <v>200</v>
      </c>
      <c r="B27" s="3">
        <v>224000</v>
      </c>
      <c r="C27" s="3">
        <v>0.2</v>
      </c>
      <c r="D27" s="3"/>
      <c r="E27" s="3">
        <v>1.7</v>
      </c>
      <c r="F27" s="3">
        <v>0.15</v>
      </c>
      <c r="G27" s="5">
        <f t="shared" si="2"/>
        <v>0.255</v>
      </c>
      <c r="H27" s="3">
        <v>0.8</v>
      </c>
      <c r="I27" s="3">
        <v>1850.55</v>
      </c>
      <c r="J27" s="5">
        <f t="shared" si="3"/>
        <v>377.51220000000001</v>
      </c>
      <c r="K27" s="5">
        <f t="shared" si="4"/>
        <v>593358307.36066282</v>
      </c>
      <c r="L27" s="5">
        <f t="shared" si="5"/>
        <v>1008.7091225131268</v>
      </c>
      <c r="M27" s="5">
        <f t="shared" si="6"/>
        <v>0.59335830736066286</v>
      </c>
    </row>
    <row r="30" spans="1:13" ht="15.75" customHeight="1" x14ac:dyDescent="0.15">
      <c r="A30" s="3" t="s">
        <v>66</v>
      </c>
      <c r="B30" s="3">
        <v>5920000</v>
      </c>
      <c r="C30" s="3" t="s">
        <v>188</v>
      </c>
      <c r="D30" s="3"/>
      <c r="E30" s="3">
        <v>1.7</v>
      </c>
      <c r="F30" s="3">
        <v>0.13</v>
      </c>
      <c r="G30" s="5">
        <f t="shared" ref="G30:G45" si="7">F30*E30</f>
        <v>0.221</v>
      </c>
      <c r="H30" s="3">
        <v>0.8</v>
      </c>
      <c r="I30" s="3">
        <v>1564.0250000000001</v>
      </c>
      <c r="J30" s="5">
        <f t="shared" ref="J30:J45" si="8">I30*H30*G30</f>
        <v>276.51962000000003</v>
      </c>
      <c r="K30" s="5">
        <f t="shared" ref="K30:K45" si="9">(B30*10^6)/J30</f>
        <v>21408969099.552498</v>
      </c>
      <c r="L30" s="5">
        <f t="shared" ref="L30:L45" si="10">(K30*1.7)/1000000</f>
        <v>36395.247469239242</v>
      </c>
      <c r="M30" s="5">
        <f t="shared" ref="M30:M55" si="11">K30/1000000000</f>
        <v>21.408969099552497</v>
      </c>
    </row>
    <row r="31" spans="1:13" ht="15.75" customHeight="1" x14ac:dyDescent="0.15">
      <c r="A31" s="3" t="s">
        <v>106</v>
      </c>
      <c r="B31" s="3">
        <v>3913000</v>
      </c>
      <c r="C31" s="3">
        <v>0.13</v>
      </c>
      <c r="D31" s="3"/>
      <c r="E31" s="3">
        <v>1.7</v>
      </c>
      <c r="F31" s="3">
        <v>0.13</v>
      </c>
      <c r="G31" s="5">
        <f t="shared" si="7"/>
        <v>0.221</v>
      </c>
      <c r="H31" s="3">
        <v>0.8</v>
      </c>
      <c r="I31" s="3">
        <v>1516.575</v>
      </c>
      <c r="J31" s="5">
        <f t="shared" si="8"/>
        <v>268.13046000000003</v>
      </c>
      <c r="K31" s="5">
        <f t="shared" si="9"/>
        <v>14593642214.316118</v>
      </c>
      <c r="L31" s="5">
        <f t="shared" si="10"/>
        <v>24809.1917643374</v>
      </c>
      <c r="M31" s="5">
        <f t="shared" si="11"/>
        <v>14.593642214316118</v>
      </c>
    </row>
    <row r="32" spans="1:13" ht="15.75" customHeight="1" x14ac:dyDescent="0.15">
      <c r="A32" s="3" t="s">
        <v>97</v>
      </c>
      <c r="B32" s="3">
        <v>1065000</v>
      </c>
      <c r="C32" s="3">
        <v>0.13</v>
      </c>
      <c r="D32" s="3"/>
      <c r="E32" s="3">
        <v>1.7</v>
      </c>
      <c r="F32" s="3">
        <v>0.13</v>
      </c>
      <c r="G32" s="5">
        <f t="shared" si="7"/>
        <v>0.221</v>
      </c>
      <c r="H32" s="3">
        <v>0.8</v>
      </c>
      <c r="I32" s="3">
        <v>1178.95</v>
      </c>
      <c r="J32" s="5">
        <f t="shared" si="8"/>
        <v>208.43836000000002</v>
      </c>
      <c r="K32" s="5">
        <f t="shared" si="9"/>
        <v>5109424196.1988182</v>
      </c>
      <c r="L32" s="5">
        <f t="shared" si="10"/>
        <v>8686.02113353799</v>
      </c>
      <c r="M32" s="5">
        <f t="shared" si="11"/>
        <v>5.1094241961988178</v>
      </c>
    </row>
    <row r="33" spans="1:13" ht="15.75" customHeight="1" x14ac:dyDescent="0.15">
      <c r="A33" s="3" t="s">
        <v>84</v>
      </c>
      <c r="B33" s="3">
        <v>1001191</v>
      </c>
      <c r="C33" s="3">
        <v>0.13</v>
      </c>
      <c r="D33" s="3"/>
      <c r="E33" s="3">
        <v>1.7</v>
      </c>
      <c r="F33" s="3">
        <v>0.13</v>
      </c>
      <c r="G33" s="5">
        <f t="shared" si="7"/>
        <v>0.221</v>
      </c>
      <c r="H33" s="3">
        <v>0.8</v>
      </c>
      <c r="I33" s="3">
        <v>1717.325</v>
      </c>
      <c r="J33" s="5">
        <f t="shared" si="8"/>
        <v>303.62306000000001</v>
      </c>
      <c r="K33" s="5">
        <f t="shared" si="9"/>
        <v>3297480105.7600827</v>
      </c>
      <c r="L33" s="5">
        <f t="shared" si="10"/>
        <v>5605.7161797921399</v>
      </c>
      <c r="M33" s="5">
        <f t="shared" si="11"/>
        <v>3.2974801057600827</v>
      </c>
    </row>
    <row r="34" spans="1:13" ht="15.75" customHeight="1" x14ac:dyDescent="0.15">
      <c r="A34" s="3" t="s">
        <v>88</v>
      </c>
      <c r="B34" s="3">
        <v>934000</v>
      </c>
      <c r="C34" s="3">
        <v>0.13</v>
      </c>
      <c r="D34" s="3"/>
      <c r="E34" s="3">
        <v>1.7</v>
      </c>
      <c r="F34" s="3">
        <v>0.13</v>
      </c>
      <c r="G34" s="5">
        <f t="shared" si="7"/>
        <v>0.221</v>
      </c>
      <c r="H34" s="3">
        <v>0.8</v>
      </c>
      <c r="I34" s="3">
        <v>1315.825</v>
      </c>
      <c r="J34" s="5">
        <f t="shared" si="8"/>
        <v>232.63786000000002</v>
      </c>
      <c r="K34" s="5">
        <f t="shared" si="9"/>
        <v>4014823726.4562178</v>
      </c>
      <c r="L34" s="5">
        <f t="shared" si="10"/>
        <v>6825.2003349755696</v>
      </c>
      <c r="M34" s="5">
        <f t="shared" si="11"/>
        <v>4.0148237264562177</v>
      </c>
    </row>
    <row r="35" spans="1:13" ht="15.75" customHeight="1" x14ac:dyDescent="0.15">
      <c r="A35" s="3" t="s">
        <v>79</v>
      </c>
      <c r="B35" s="3">
        <v>533000</v>
      </c>
      <c r="C35" s="3">
        <v>0.13</v>
      </c>
      <c r="D35" s="3"/>
      <c r="E35" s="3">
        <v>1.7</v>
      </c>
      <c r="F35" s="3">
        <v>0.13</v>
      </c>
      <c r="G35" s="5">
        <f t="shared" si="7"/>
        <v>0.221</v>
      </c>
      <c r="H35" s="3">
        <v>0.8</v>
      </c>
      <c r="I35" s="3">
        <v>1111.425</v>
      </c>
      <c r="J35" s="5">
        <f t="shared" si="8"/>
        <v>196.49994000000001</v>
      </c>
      <c r="K35" s="5">
        <f t="shared" si="9"/>
        <v>2712469021.6190395</v>
      </c>
      <c r="L35" s="5">
        <f t="shared" si="10"/>
        <v>4611.1973367523669</v>
      </c>
      <c r="M35" s="5">
        <f t="shared" si="11"/>
        <v>2.7124690216190395</v>
      </c>
    </row>
    <row r="36" spans="1:13" ht="15.75" customHeight="1" x14ac:dyDescent="0.15">
      <c r="A36" s="3" t="s">
        <v>64</v>
      </c>
      <c r="B36" s="3">
        <v>528000</v>
      </c>
      <c r="C36" s="3">
        <v>0.13</v>
      </c>
      <c r="D36" s="3"/>
      <c r="E36" s="3">
        <v>1.7</v>
      </c>
      <c r="F36" s="3">
        <v>0.13</v>
      </c>
      <c r="G36" s="5">
        <f t="shared" si="7"/>
        <v>0.221</v>
      </c>
      <c r="H36" s="3">
        <v>0.8</v>
      </c>
      <c r="I36" s="3">
        <v>1160.7</v>
      </c>
      <c r="J36" s="5">
        <f t="shared" si="8"/>
        <v>205.21176000000003</v>
      </c>
      <c r="K36" s="5">
        <f t="shared" si="9"/>
        <v>2572951959.4783454</v>
      </c>
      <c r="L36" s="5">
        <f t="shared" si="10"/>
        <v>4374.0183311131868</v>
      </c>
      <c r="M36" s="5">
        <f t="shared" si="11"/>
        <v>2.5729519594783454</v>
      </c>
    </row>
    <row r="37" spans="1:13" ht="15.75" customHeight="1" x14ac:dyDescent="0.15">
      <c r="A37" s="3" t="s">
        <v>196</v>
      </c>
      <c r="B37" s="3">
        <v>518000</v>
      </c>
      <c r="C37" s="3">
        <v>0.13</v>
      </c>
      <c r="D37" s="3"/>
      <c r="E37" s="3">
        <v>1.7</v>
      </c>
      <c r="F37" s="3">
        <v>0.13</v>
      </c>
      <c r="G37" s="5">
        <f t="shared" si="7"/>
        <v>0.221</v>
      </c>
      <c r="H37" s="3">
        <v>0.8</v>
      </c>
      <c r="I37" s="3">
        <v>1874.2750000000001</v>
      </c>
      <c r="J37" s="5">
        <f t="shared" si="8"/>
        <v>331.37182000000001</v>
      </c>
      <c r="K37" s="5">
        <f t="shared" si="9"/>
        <v>1563198705.309341</v>
      </c>
      <c r="L37" s="5">
        <f t="shared" si="10"/>
        <v>2657.4377990258795</v>
      </c>
      <c r="M37" s="5">
        <f t="shared" si="11"/>
        <v>1.563198705309341</v>
      </c>
    </row>
    <row r="38" spans="1:13" ht="15.75" customHeight="1" x14ac:dyDescent="0.15">
      <c r="A38" s="3" t="s">
        <v>197</v>
      </c>
      <c r="B38" s="3">
        <v>495000</v>
      </c>
      <c r="C38" s="3">
        <v>0.13</v>
      </c>
      <c r="D38" s="3"/>
      <c r="E38" s="3">
        <v>1.7</v>
      </c>
      <c r="F38" s="3">
        <v>0.13</v>
      </c>
      <c r="G38" s="5">
        <f t="shared" si="7"/>
        <v>0.221</v>
      </c>
      <c r="H38" s="3">
        <v>0.8</v>
      </c>
      <c r="I38" s="3">
        <v>1432.625</v>
      </c>
      <c r="J38" s="5">
        <f t="shared" si="8"/>
        <v>253.28810000000004</v>
      </c>
      <c r="K38" s="5">
        <f t="shared" si="9"/>
        <v>1954296313.1706541</v>
      </c>
      <c r="L38" s="5">
        <f t="shared" si="10"/>
        <v>3322.3037323901121</v>
      </c>
      <c r="M38" s="5">
        <f t="shared" si="11"/>
        <v>1.9542963131706541</v>
      </c>
    </row>
    <row r="39" spans="1:13" ht="15.75" customHeight="1" x14ac:dyDescent="0.15">
      <c r="A39" s="3" t="s">
        <v>77</v>
      </c>
      <c r="B39" s="3">
        <v>431000</v>
      </c>
      <c r="C39" s="3">
        <v>0.13</v>
      </c>
      <c r="D39" s="3"/>
      <c r="E39" s="3">
        <v>1.7</v>
      </c>
      <c r="F39" s="3">
        <v>0.13</v>
      </c>
      <c r="G39" s="5">
        <f t="shared" si="7"/>
        <v>0.221</v>
      </c>
      <c r="H39" s="3">
        <v>0.8</v>
      </c>
      <c r="I39" s="3">
        <v>1348.675</v>
      </c>
      <c r="J39" s="5">
        <f t="shared" si="8"/>
        <v>238.44574</v>
      </c>
      <c r="K39" s="5">
        <f t="shared" si="9"/>
        <v>1807539107.2199488</v>
      </c>
      <c r="L39" s="5">
        <f t="shared" si="10"/>
        <v>3072.8164822739127</v>
      </c>
      <c r="M39" s="5">
        <f t="shared" si="11"/>
        <v>1.8075391072199487</v>
      </c>
    </row>
    <row r="40" spans="1:13" ht="15.75" customHeight="1" x14ac:dyDescent="0.15">
      <c r="A40" s="3" t="s">
        <v>105</v>
      </c>
      <c r="B40" s="3">
        <v>309000</v>
      </c>
      <c r="C40" s="3">
        <v>0.13</v>
      </c>
      <c r="D40" s="3"/>
      <c r="E40" s="3">
        <v>1.7</v>
      </c>
      <c r="F40" s="3">
        <v>0.13</v>
      </c>
      <c r="G40" s="5">
        <f t="shared" si="7"/>
        <v>0.221</v>
      </c>
      <c r="H40" s="3">
        <v>0.8</v>
      </c>
      <c r="I40" s="3">
        <v>943.52499999999998</v>
      </c>
      <c r="J40" s="5">
        <f t="shared" si="8"/>
        <v>166.81522000000001</v>
      </c>
      <c r="K40" s="5">
        <f t="shared" si="9"/>
        <v>1852348964.3211212</v>
      </c>
      <c r="L40" s="5">
        <f t="shared" si="10"/>
        <v>3148.9932393459057</v>
      </c>
      <c r="M40" s="5">
        <f t="shared" si="11"/>
        <v>1.8523489643211213</v>
      </c>
    </row>
    <row r="41" spans="1:13" ht="15.75" customHeight="1" x14ac:dyDescent="0.15">
      <c r="A41" s="3" t="s">
        <v>198</v>
      </c>
      <c r="B41" s="3">
        <v>291000</v>
      </c>
      <c r="C41" s="3">
        <v>0.13</v>
      </c>
      <c r="D41" s="3"/>
      <c r="E41" s="3">
        <v>1.7</v>
      </c>
      <c r="F41" s="3">
        <v>0.13</v>
      </c>
      <c r="G41" s="5">
        <f t="shared" si="7"/>
        <v>0.221</v>
      </c>
      <c r="H41" s="3">
        <v>0.8</v>
      </c>
      <c r="I41" s="3">
        <v>1432.625</v>
      </c>
      <c r="J41" s="5">
        <f t="shared" si="8"/>
        <v>253.28810000000004</v>
      </c>
      <c r="K41" s="5">
        <f t="shared" si="9"/>
        <v>1148889347.742748</v>
      </c>
      <c r="L41" s="5">
        <f t="shared" si="10"/>
        <v>1953.1118911626716</v>
      </c>
      <c r="M41" s="5">
        <f t="shared" si="11"/>
        <v>1.148889347742748</v>
      </c>
    </row>
    <row r="42" spans="1:13" ht="15.75" customHeight="1" x14ac:dyDescent="0.15">
      <c r="A42" s="3" t="s">
        <v>199</v>
      </c>
      <c r="B42" s="3">
        <v>249500</v>
      </c>
      <c r="C42" s="3">
        <v>0.13</v>
      </c>
      <c r="D42" s="3"/>
      <c r="E42" s="3">
        <v>1.7</v>
      </c>
      <c r="F42" s="3">
        <v>0.13</v>
      </c>
      <c r="G42" s="5">
        <f t="shared" si="7"/>
        <v>0.221</v>
      </c>
      <c r="H42" s="3">
        <v>0.8</v>
      </c>
      <c r="I42" s="3">
        <v>1450.875</v>
      </c>
      <c r="J42" s="5">
        <f t="shared" si="8"/>
        <v>256.5147</v>
      </c>
      <c r="K42" s="5">
        <f t="shared" si="9"/>
        <v>972653808.92401099</v>
      </c>
      <c r="L42" s="5">
        <f t="shared" si="10"/>
        <v>1653.5114751708186</v>
      </c>
      <c r="M42" s="5">
        <f t="shared" si="11"/>
        <v>0.97265380892401099</v>
      </c>
    </row>
    <row r="43" spans="1:13" ht="15.75" customHeight="1" x14ac:dyDescent="0.15">
      <c r="A43" s="3" t="s">
        <v>92</v>
      </c>
      <c r="B43" s="3">
        <v>238000</v>
      </c>
      <c r="C43" s="3">
        <v>0.13</v>
      </c>
      <c r="D43" s="3"/>
      <c r="E43" s="3">
        <v>1.7</v>
      </c>
      <c r="F43" s="3">
        <v>0.13</v>
      </c>
      <c r="G43" s="5">
        <f t="shared" si="7"/>
        <v>0.221</v>
      </c>
      <c r="H43" s="3">
        <v>0.8</v>
      </c>
      <c r="I43" s="3">
        <v>1981.25</v>
      </c>
      <c r="J43" s="5">
        <f t="shared" si="8"/>
        <v>350.28500000000003</v>
      </c>
      <c r="K43" s="5">
        <f t="shared" si="9"/>
        <v>679446736.22907054</v>
      </c>
      <c r="L43" s="5">
        <f t="shared" si="10"/>
        <v>1155.05945158942</v>
      </c>
      <c r="M43" s="5">
        <f t="shared" si="11"/>
        <v>0.67944673622907059</v>
      </c>
    </row>
    <row r="44" spans="1:13" ht="15.75" customHeight="1" x14ac:dyDescent="0.15">
      <c r="A44" s="3" t="s">
        <v>101</v>
      </c>
      <c r="B44" s="3">
        <v>234000</v>
      </c>
      <c r="C44" s="3">
        <v>0.13</v>
      </c>
      <c r="D44" s="3"/>
      <c r="E44" s="3">
        <v>1.7</v>
      </c>
      <c r="F44" s="3">
        <v>0.13</v>
      </c>
      <c r="G44" s="5">
        <f t="shared" si="7"/>
        <v>0.221</v>
      </c>
      <c r="H44" s="3">
        <v>0.8</v>
      </c>
      <c r="I44" s="3">
        <v>1589.575</v>
      </c>
      <c r="J44" s="5">
        <f t="shared" si="8"/>
        <v>281.03686000000005</v>
      </c>
      <c r="K44" s="5">
        <f t="shared" si="9"/>
        <v>832630993.67107916</v>
      </c>
      <c r="L44" s="5">
        <f t="shared" si="10"/>
        <v>1415.4726892408344</v>
      </c>
      <c r="M44" s="5">
        <f t="shared" si="11"/>
        <v>0.83263099367107918</v>
      </c>
    </row>
    <row r="45" spans="1:13" ht="15.75" customHeight="1" x14ac:dyDescent="0.15">
      <c r="A45" s="3" t="s">
        <v>200</v>
      </c>
      <c r="B45" s="3">
        <v>224000</v>
      </c>
      <c r="C45" s="3">
        <v>0.13</v>
      </c>
      <c r="D45" s="3"/>
      <c r="E45" s="3">
        <v>1.7</v>
      </c>
      <c r="F45" s="3">
        <v>0.13</v>
      </c>
      <c r="G45" s="5">
        <f t="shared" si="7"/>
        <v>0.221</v>
      </c>
      <c r="H45" s="3">
        <v>0.8</v>
      </c>
      <c r="I45" s="3">
        <v>1850.55</v>
      </c>
      <c r="J45" s="5">
        <f t="shared" si="8"/>
        <v>327.17724000000004</v>
      </c>
      <c r="K45" s="5">
        <f t="shared" si="9"/>
        <v>684644200.80076468</v>
      </c>
      <c r="L45" s="5">
        <f t="shared" si="10"/>
        <v>1163.8951413612999</v>
      </c>
      <c r="M45" s="5">
        <f t="shared" si="11"/>
        <v>0.68464420080076471</v>
      </c>
    </row>
    <row r="46" spans="1:13" ht="15.75" customHeight="1" x14ac:dyDescent="0.15">
      <c r="A46" s="3" t="s">
        <v>201</v>
      </c>
      <c r="B46" s="3">
        <v>218000</v>
      </c>
      <c r="C46" s="3">
        <v>0.2</v>
      </c>
      <c r="D46" s="3"/>
      <c r="E46" s="3">
        <v>1.7</v>
      </c>
      <c r="F46" s="3">
        <v>0.15</v>
      </c>
      <c r="H46" s="3"/>
      <c r="I46" s="3"/>
      <c r="M46" s="5">
        <f t="shared" si="11"/>
        <v>0</v>
      </c>
    </row>
    <row r="47" spans="1:13" ht="15.75" customHeight="1" x14ac:dyDescent="0.15">
      <c r="A47" s="3" t="s">
        <v>202</v>
      </c>
      <c r="B47" s="3">
        <v>212000</v>
      </c>
      <c r="C47" s="3">
        <v>0.2</v>
      </c>
      <c r="D47" s="3"/>
      <c r="E47" s="3">
        <v>1.7</v>
      </c>
      <c r="F47" s="3">
        <v>0.15</v>
      </c>
      <c r="H47" s="3"/>
      <c r="I47" s="3"/>
      <c r="M47" s="5">
        <f t="shared" si="11"/>
        <v>0</v>
      </c>
    </row>
    <row r="48" spans="1:13" ht="15.75" customHeight="1" x14ac:dyDescent="0.15">
      <c r="A48" s="3" t="s">
        <v>104</v>
      </c>
      <c r="B48" s="3">
        <v>207000</v>
      </c>
      <c r="C48" s="3">
        <v>0.2</v>
      </c>
      <c r="D48" s="3"/>
      <c r="E48" s="3">
        <v>1.7</v>
      </c>
      <c r="F48" s="3">
        <v>0.15</v>
      </c>
      <c r="H48" s="3"/>
      <c r="I48" s="3"/>
      <c r="M48" s="5">
        <f t="shared" si="11"/>
        <v>0</v>
      </c>
    </row>
    <row r="49" spans="1:22" ht="15.75" customHeight="1" x14ac:dyDescent="0.15">
      <c r="A49" s="3" t="s">
        <v>85</v>
      </c>
      <c r="B49" s="3">
        <v>195000</v>
      </c>
      <c r="C49" s="3">
        <v>0.2</v>
      </c>
      <c r="D49" s="3"/>
      <c r="E49" s="3">
        <v>1.7</v>
      </c>
      <c r="F49" s="3">
        <v>0.15</v>
      </c>
      <c r="H49" s="3"/>
      <c r="I49" s="3"/>
      <c r="M49" s="5">
        <f t="shared" si="11"/>
        <v>0</v>
      </c>
    </row>
    <row r="50" spans="1:22" ht="15.75" customHeight="1" x14ac:dyDescent="0.15">
      <c r="A50" s="3" t="s">
        <v>203</v>
      </c>
      <c r="B50" s="3">
        <v>143000</v>
      </c>
      <c r="C50" s="3">
        <v>0.2</v>
      </c>
      <c r="D50" s="3"/>
      <c r="E50" s="3">
        <v>1.7</v>
      </c>
      <c r="F50" s="3">
        <v>0.15</v>
      </c>
      <c r="H50" s="3"/>
      <c r="I50" s="3"/>
      <c r="M50" s="5">
        <f t="shared" si="11"/>
        <v>0</v>
      </c>
    </row>
    <row r="51" spans="1:22" ht="15.75" customHeight="1" x14ac:dyDescent="0.15">
      <c r="A51" s="3" t="s">
        <v>204</v>
      </c>
      <c r="B51" s="3">
        <v>143000</v>
      </c>
      <c r="C51" s="3">
        <v>0.2</v>
      </c>
      <c r="D51" s="3"/>
      <c r="E51" s="3">
        <v>1.7</v>
      </c>
      <c r="F51" s="3">
        <v>0.15</v>
      </c>
      <c r="H51" s="3"/>
      <c r="I51" s="3"/>
      <c r="M51" s="5">
        <f t="shared" si="11"/>
        <v>0</v>
      </c>
    </row>
    <row r="52" spans="1:22" ht="15.75" customHeight="1" x14ac:dyDescent="0.15">
      <c r="A52" s="3" t="s">
        <v>94</v>
      </c>
      <c r="B52" s="3">
        <v>142000</v>
      </c>
      <c r="C52" s="3">
        <v>0.2</v>
      </c>
      <c r="D52" s="3"/>
      <c r="E52" s="3">
        <v>1.7</v>
      </c>
      <c r="F52" s="3">
        <v>0.15</v>
      </c>
      <c r="H52" s="3"/>
      <c r="I52" s="3"/>
      <c r="M52" s="5">
        <f t="shared" si="11"/>
        <v>0</v>
      </c>
    </row>
    <row r="53" spans="1:22" ht="15.75" customHeight="1" x14ac:dyDescent="0.15">
      <c r="A53" s="3" t="s">
        <v>205</v>
      </c>
      <c r="B53" s="3">
        <v>131000</v>
      </c>
      <c r="C53" s="3">
        <v>0.2</v>
      </c>
      <c r="D53" s="3"/>
      <c r="E53" s="3">
        <v>1.7</v>
      </c>
      <c r="F53" s="3">
        <v>0.15</v>
      </c>
      <c r="H53" s="3"/>
      <c r="I53" s="3"/>
      <c r="M53" s="5">
        <f t="shared" si="11"/>
        <v>0</v>
      </c>
    </row>
    <row r="54" spans="1:22" ht="15.75" customHeight="1" x14ac:dyDescent="0.15">
      <c r="A54" s="3" t="s">
        <v>102</v>
      </c>
      <c r="B54" s="3">
        <v>127000</v>
      </c>
      <c r="C54" s="3">
        <v>0.2</v>
      </c>
      <c r="D54" s="3"/>
      <c r="E54" s="3">
        <v>1.7</v>
      </c>
      <c r="F54" s="3">
        <v>0.15</v>
      </c>
      <c r="H54" s="3"/>
      <c r="I54" s="3"/>
      <c r="M54" s="5">
        <f t="shared" si="11"/>
        <v>0</v>
      </c>
    </row>
    <row r="55" spans="1:22" ht="15.75" customHeight="1" x14ac:dyDescent="0.15">
      <c r="A55" s="3" t="s">
        <v>206</v>
      </c>
      <c r="B55" s="3">
        <v>126400</v>
      </c>
      <c r="C55" s="3">
        <v>0.2</v>
      </c>
      <c r="D55" s="3"/>
      <c r="E55" s="3">
        <v>1.7</v>
      </c>
      <c r="F55" s="3">
        <v>0.15</v>
      </c>
      <c r="H55" s="3"/>
      <c r="I55" s="3"/>
      <c r="M55" s="5">
        <f t="shared" si="11"/>
        <v>0</v>
      </c>
    </row>
    <row r="56" spans="1:22" ht="15.75" customHeight="1" x14ac:dyDescent="0.15">
      <c r="A56" s="3"/>
      <c r="B56" s="3"/>
      <c r="C56" s="3"/>
      <c r="D56" s="3"/>
      <c r="E56" s="3"/>
      <c r="F56" s="3"/>
      <c r="H56" s="3"/>
      <c r="I56" s="3"/>
    </row>
    <row r="57" spans="1:22" ht="15.75" customHeight="1" x14ac:dyDescent="0.15">
      <c r="A57" s="3"/>
      <c r="B57" s="3"/>
      <c r="C57" s="3"/>
      <c r="D57" s="3"/>
      <c r="E57" s="3"/>
      <c r="F57" s="3"/>
      <c r="H57" s="3"/>
      <c r="I57" s="3"/>
    </row>
    <row r="58" spans="1:22" ht="15.75" customHeight="1" x14ac:dyDescent="0.15">
      <c r="B58" s="3" t="s">
        <v>187</v>
      </c>
      <c r="C58" s="3" t="s">
        <v>188</v>
      </c>
      <c r="D58" s="3"/>
      <c r="E58" s="3" t="s">
        <v>189</v>
      </c>
      <c r="F58" s="3" t="s">
        <v>190</v>
      </c>
      <c r="G58" s="3" t="s">
        <v>156</v>
      </c>
      <c r="H58" s="3" t="s">
        <v>157</v>
      </c>
      <c r="I58" s="3" t="s">
        <v>191</v>
      </c>
      <c r="J58" s="3" t="s">
        <v>192</v>
      </c>
      <c r="K58" s="3" t="s">
        <v>193</v>
      </c>
      <c r="L58" s="3" t="s">
        <v>194</v>
      </c>
      <c r="M58" s="3" t="s">
        <v>195</v>
      </c>
    </row>
    <row r="59" spans="1:22" ht="15.75" customHeight="1" x14ac:dyDescent="0.15">
      <c r="A59" s="3" t="s">
        <v>207</v>
      </c>
      <c r="B59" s="3">
        <v>22315000</v>
      </c>
      <c r="C59" s="3">
        <v>0.2</v>
      </c>
      <c r="D59" s="3"/>
      <c r="E59" s="3">
        <v>1.7</v>
      </c>
      <c r="F59" s="3">
        <v>0.15</v>
      </c>
      <c r="G59" s="5">
        <f>E59*F59</f>
        <v>0.255</v>
      </c>
      <c r="H59" s="3">
        <v>0.8</v>
      </c>
      <c r="I59" s="3">
        <v>1600</v>
      </c>
      <c r="J59" s="5">
        <f>I59*H59*G59</f>
        <v>326.39999999999998</v>
      </c>
      <c r="K59" s="5">
        <f>(B59*1000000)/J59</f>
        <v>68367034313.725494</v>
      </c>
      <c r="L59" s="5">
        <f>E59*K59/1000000</f>
        <v>116223.95833333334</v>
      </c>
      <c r="M59" s="5">
        <f>K59/1000000000</f>
        <v>68.367034313725497</v>
      </c>
      <c r="V59" s="5">
        <f>S68+R68</f>
        <v>3851.6762839468665</v>
      </c>
    </row>
    <row r="61" spans="1:22" ht="15.75" customHeight="1" x14ac:dyDescent="0.15">
      <c r="F61" s="3" t="s">
        <v>208</v>
      </c>
      <c r="H61" s="2" t="s">
        <v>208</v>
      </c>
      <c r="I61" s="3" t="s">
        <v>209</v>
      </c>
      <c r="J61" s="3" t="s">
        <v>210</v>
      </c>
      <c r="K61" s="3" t="s">
        <v>211</v>
      </c>
      <c r="L61" s="3" t="s">
        <v>212</v>
      </c>
      <c r="M61" s="3" t="s">
        <v>213</v>
      </c>
      <c r="N61" s="3" t="s">
        <v>214</v>
      </c>
      <c r="O61" s="3" t="s">
        <v>215</v>
      </c>
      <c r="P61" s="3" t="s">
        <v>216</v>
      </c>
      <c r="Q61" s="3" t="s">
        <v>217</v>
      </c>
      <c r="R61" s="3" t="s">
        <v>218</v>
      </c>
      <c r="S61" s="3" t="s">
        <v>219</v>
      </c>
      <c r="T61" s="3" t="s">
        <v>220</v>
      </c>
    </row>
    <row r="62" spans="1:22" ht="15.75" customHeight="1" x14ac:dyDescent="0.15">
      <c r="A62" s="3" t="s">
        <v>221</v>
      </c>
      <c r="B62" s="3">
        <v>431000</v>
      </c>
      <c r="C62" s="3">
        <v>0.2</v>
      </c>
      <c r="D62" s="3"/>
      <c r="E62" s="3">
        <v>1.7</v>
      </c>
      <c r="F62" s="3">
        <v>0.15</v>
      </c>
      <c r="G62" s="5">
        <f>F62*E62</f>
        <v>0.255</v>
      </c>
      <c r="H62" s="5">
        <f>1250*1.15</f>
        <v>1437.5</v>
      </c>
      <c r="I62" s="5">
        <f>1500*1.15</f>
        <v>1724.9999999999998</v>
      </c>
      <c r="J62" s="5">
        <f>1050*1.15</f>
        <v>1207.5</v>
      </c>
      <c r="K62" s="3">
        <v>0.8</v>
      </c>
      <c r="L62" s="5">
        <f>H62*K62*G62</f>
        <v>293.25</v>
      </c>
      <c r="M62" s="5">
        <f>I62*K62*G62</f>
        <v>351.90000000000003</v>
      </c>
      <c r="N62" s="5">
        <f>J62*G62*K62</f>
        <v>246.33000000000004</v>
      </c>
      <c r="O62" s="5">
        <f>(B62*1000000)/L62</f>
        <v>1469735720.3751066</v>
      </c>
      <c r="P62" s="17">
        <f>(B62*1000000)/M62</f>
        <v>1224779766.9792554</v>
      </c>
      <c r="Q62" s="17">
        <f>(B62*1000000)/N62</f>
        <v>1749685381.398936</v>
      </c>
      <c r="R62" s="5">
        <f t="shared" ref="R62:T62" si="12">(O62*1.7)/1000000</f>
        <v>2498.550724637681</v>
      </c>
      <c r="S62" s="5">
        <f t="shared" si="12"/>
        <v>2082.1256038647343</v>
      </c>
      <c r="T62" s="5">
        <f t="shared" si="12"/>
        <v>2974.4651483781909</v>
      </c>
    </row>
    <row r="63" spans="1:22" ht="15.75" customHeight="1" x14ac:dyDescent="0.15">
      <c r="K63" s="3" t="s">
        <v>222</v>
      </c>
    </row>
    <row r="64" spans="1:22" ht="15.75" customHeight="1" x14ac:dyDescent="0.15">
      <c r="A64" s="3" t="s">
        <v>207</v>
      </c>
      <c r="B64" s="3">
        <v>22315000</v>
      </c>
      <c r="C64" s="3">
        <v>0.2</v>
      </c>
      <c r="D64" s="3"/>
      <c r="E64" s="3">
        <f>1.7*12</f>
        <v>20.399999999999999</v>
      </c>
      <c r="F64" s="3">
        <v>0.15</v>
      </c>
      <c r="G64" s="5">
        <f>F64*E64</f>
        <v>3.0599999999999996</v>
      </c>
      <c r="H64" s="3">
        <v>0.8</v>
      </c>
      <c r="I64" s="3">
        <v>1348</v>
      </c>
      <c r="J64" s="3">
        <v>832</v>
      </c>
      <c r="K64" s="3">
        <v>10000</v>
      </c>
      <c r="L64" s="5">
        <f>B64/J64</f>
        <v>26820.913461538461</v>
      </c>
    </row>
    <row r="65" spans="1:28" ht="13" x14ac:dyDescent="0.15">
      <c r="L65" s="5">
        <f>(L64*290000000)/1000000000</f>
        <v>7778.0649038461534</v>
      </c>
    </row>
    <row r="67" spans="1:28" ht="13" x14ac:dyDescent="0.15">
      <c r="A67" s="3" t="s">
        <v>186</v>
      </c>
      <c r="B67" s="3" t="s">
        <v>187</v>
      </c>
      <c r="C67" s="3" t="s">
        <v>188</v>
      </c>
      <c r="D67" s="3"/>
      <c r="E67" s="3" t="s">
        <v>189</v>
      </c>
      <c r="F67" s="3" t="s">
        <v>190</v>
      </c>
      <c r="G67" s="3" t="s">
        <v>156</v>
      </c>
      <c r="H67" s="3" t="s">
        <v>157</v>
      </c>
      <c r="I67" s="3" t="s">
        <v>191</v>
      </c>
      <c r="J67" s="3" t="s">
        <v>192</v>
      </c>
      <c r="K67" s="3" t="s">
        <v>193</v>
      </c>
      <c r="L67" s="3" t="s">
        <v>194</v>
      </c>
      <c r="M67" s="3" t="s">
        <v>195</v>
      </c>
      <c r="N67" s="3" t="s">
        <v>223</v>
      </c>
      <c r="O67" s="3" t="s">
        <v>224</v>
      </c>
      <c r="P67" s="3" t="s">
        <v>225</v>
      </c>
    </row>
    <row r="68" spans="1:28" ht="13" x14ac:dyDescent="0.15">
      <c r="A68" s="3" t="s">
        <v>66</v>
      </c>
      <c r="B68" s="3">
        <v>5920000</v>
      </c>
      <c r="C68" s="3">
        <v>0.18</v>
      </c>
      <c r="D68" s="3"/>
      <c r="E68" s="3">
        <v>1.7</v>
      </c>
      <c r="F68" s="3">
        <v>0.15</v>
      </c>
      <c r="G68" s="5">
        <f t="shared" ref="G68:G83" si="13">F68*E68</f>
        <v>0.255</v>
      </c>
      <c r="H68" s="3">
        <v>0.8</v>
      </c>
      <c r="I68" s="3">
        <v>1564.0250000000001</v>
      </c>
      <c r="J68" s="5">
        <f t="shared" ref="J68:J84" si="14">I68*H68*G68</f>
        <v>319.06110000000007</v>
      </c>
      <c r="K68" s="5">
        <f t="shared" ref="K68:K83" si="15">(B68*10^6)/J68</f>
        <v>18554439886.278831</v>
      </c>
      <c r="L68" s="5">
        <f t="shared" ref="L68:L83" si="16">(K68*1.7)/1000000</f>
        <v>31542.547806674011</v>
      </c>
      <c r="M68" s="5">
        <f t="shared" ref="M68:M84" si="17">K68/1000000000</f>
        <v>18.554439886278832</v>
      </c>
      <c r="N68" s="3">
        <v>832</v>
      </c>
      <c r="O68" s="3">
        <v>290000000</v>
      </c>
      <c r="P68" s="5">
        <f t="shared" ref="P68:P84" si="18">(B68/$N$68)*($O$68/1000000000)</f>
        <v>2063.4615384615381</v>
      </c>
      <c r="Q68" s="5">
        <f t="shared" ref="Q68:Q84" si="19">(B68*10^6)/(H68*I68)</f>
        <v>4731382171.0011015</v>
      </c>
      <c r="R68" s="5">
        <f t="shared" ref="R68:R84" si="20">(80+70+110+100+60+367)*Q68/1000000000</f>
        <v>3723.5977685778666</v>
      </c>
      <c r="S68" s="5">
        <f t="shared" ref="S68:S84" si="21">(9+3.3+7.57+1.5+4+1.7)*Q68/1000000000</f>
        <v>128.07851536899983</v>
      </c>
      <c r="T68" s="18">
        <f t="shared" ref="T68:T84" si="22">(80+70+110+100+60+373)*Q68/1000000000</f>
        <v>3751.9860616038736</v>
      </c>
      <c r="U68" s="18">
        <f t="shared" ref="U68:U84" si="23">(80+70+110+100+60+338)*Q68/1000000000</f>
        <v>3586.3876856188349</v>
      </c>
      <c r="V68" s="5">
        <f t="shared" ref="V68:V84" si="24">6*B68*10^6/(100*1000000000)</f>
        <v>355.2</v>
      </c>
      <c r="W68" s="3">
        <v>1</v>
      </c>
      <c r="X68" s="5">
        <f t="shared" ref="X68:X88" si="25">$R$68*10^9/(1+0.08)^W68</f>
        <v>3447775711646.1729</v>
      </c>
      <c r="Y68" s="5">
        <f t="shared" ref="Y68:Y88" si="26">$B$68*10^6/(1+0.08)^W68</f>
        <v>5481481481481.4814</v>
      </c>
      <c r="Z68" s="18">
        <f>X88/Y88*100</f>
        <v>62.898610955707213</v>
      </c>
      <c r="AA68" s="5">
        <f t="shared" ref="AA68:AA84" si="27">(R68+20*S68)/V68</f>
        <v>17.694729943575066</v>
      </c>
      <c r="AB68" s="3"/>
    </row>
    <row r="69" spans="1:28" ht="13" x14ac:dyDescent="0.15">
      <c r="A69" s="3" t="s">
        <v>106</v>
      </c>
      <c r="B69" s="3">
        <v>3913000</v>
      </c>
      <c r="C69" s="3">
        <v>0.18</v>
      </c>
      <c r="D69" s="3"/>
      <c r="E69" s="3">
        <v>1.7</v>
      </c>
      <c r="F69" s="3">
        <v>0.15</v>
      </c>
      <c r="G69" s="5">
        <f t="shared" si="13"/>
        <v>0.255</v>
      </c>
      <c r="H69" s="3">
        <v>0.8</v>
      </c>
      <c r="I69" s="3">
        <v>1516.575</v>
      </c>
      <c r="J69" s="5">
        <f t="shared" si="14"/>
        <v>309.38130000000001</v>
      </c>
      <c r="K69" s="5">
        <f t="shared" si="15"/>
        <v>12647823252.407305</v>
      </c>
      <c r="L69" s="5">
        <f t="shared" si="16"/>
        <v>21501.299529092419</v>
      </c>
      <c r="M69" s="5">
        <f t="shared" si="17"/>
        <v>12.647823252407305</v>
      </c>
      <c r="N69" s="3">
        <v>832</v>
      </c>
      <c r="O69" s="3">
        <v>290000000</v>
      </c>
      <c r="P69" s="5">
        <f t="shared" si="18"/>
        <v>1363.90625</v>
      </c>
      <c r="Q69" s="5">
        <f t="shared" si="19"/>
        <v>3225194929.3638625</v>
      </c>
      <c r="R69" s="5">
        <f t="shared" si="20"/>
        <v>2538.2284094093598</v>
      </c>
      <c r="S69" s="5">
        <f t="shared" si="21"/>
        <v>87.306026737879762</v>
      </c>
      <c r="T69" s="18">
        <f t="shared" si="22"/>
        <v>2557.5795789855429</v>
      </c>
      <c r="U69" s="18">
        <f t="shared" si="23"/>
        <v>2444.6977564578078</v>
      </c>
      <c r="V69" s="5">
        <f t="shared" si="24"/>
        <v>234.78</v>
      </c>
      <c r="W69" s="3">
        <v>2</v>
      </c>
      <c r="X69" s="5">
        <f t="shared" si="25"/>
        <v>3192384918190.9004</v>
      </c>
      <c r="Y69" s="5">
        <f t="shared" si="26"/>
        <v>5075445816186.5566</v>
      </c>
      <c r="AA69" s="5">
        <f t="shared" si="27"/>
        <v>18.248355669848177</v>
      </c>
    </row>
    <row r="70" spans="1:28" ht="13" x14ac:dyDescent="0.15">
      <c r="A70" s="3" t="s">
        <v>97</v>
      </c>
      <c r="B70" s="3">
        <v>1065000</v>
      </c>
      <c r="C70" s="3">
        <v>0.18</v>
      </c>
      <c r="D70" s="3"/>
      <c r="E70" s="3">
        <v>1.7</v>
      </c>
      <c r="F70" s="3">
        <v>0.15</v>
      </c>
      <c r="G70" s="5">
        <f t="shared" si="13"/>
        <v>0.255</v>
      </c>
      <c r="H70" s="3">
        <v>0.8</v>
      </c>
      <c r="I70" s="3">
        <v>1178.95</v>
      </c>
      <c r="J70" s="5">
        <f t="shared" si="14"/>
        <v>240.50580000000002</v>
      </c>
      <c r="K70" s="5">
        <f t="shared" si="15"/>
        <v>4428167636.7056427</v>
      </c>
      <c r="L70" s="5">
        <f t="shared" si="16"/>
        <v>7527.8849823995924</v>
      </c>
      <c r="M70" s="5">
        <f t="shared" si="17"/>
        <v>4.4281676367056431</v>
      </c>
      <c r="N70" s="3">
        <v>832</v>
      </c>
      <c r="O70" s="3">
        <v>290000000</v>
      </c>
      <c r="P70" s="5">
        <f t="shared" si="18"/>
        <v>371.21394230769226</v>
      </c>
      <c r="Q70" s="5">
        <f t="shared" si="19"/>
        <v>1129182747.3599389</v>
      </c>
      <c r="R70" s="5">
        <f t="shared" si="20"/>
        <v>888.66682217227185</v>
      </c>
      <c r="S70" s="5">
        <f t="shared" si="21"/>
        <v>30.566976971033547</v>
      </c>
      <c r="T70" s="18">
        <f t="shared" si="22"/>
        <v>895.44191865643154</v>
      </c>
      <c r="U70" s="18">
        <f t="shared" si="23"/>
        <v>855.92052249883363</v>
      </c>
      <c r="V70" s="5">
        <f t="shared" si="24"/>
        <v>63.9</v>
      </c>
      <c r="W70" s="3">
        <v>3</v>
      </c>
      <c r="X70" s="5">
        <f t="shared" si="25"/>
        <v>2955911961287.8706</v>
      </c>
      <c r="Y70" s="5">
        <f t="shared" si="26"/>
        <v>4699486866839.4043</v>
      </c>
      <c r="AA70" s="5">
        <f t="shared" si="27"/>
        <v>23.474277959200982</v>
      </c>
    </row>
    <row r="71" spans="1:28" ht="13" x14ac:dyDescent="0.15">
      <c r="A71" s="3" t="s">
        <v>84</v>
      </c>
      <c r="B71" s="3">
        <v>1001191</v>
      </c>
      <c r="C71" s="3">
        <v>0.18</v>
      </c>
      <c r="D71" s="3"/>
      <c r="E71" s="3">
        <v>1.7</v>
      </c>
      <c r="F71" s="3">
        <v>0.15</v>
      </c>
      <c r="G71" s="5">
        <f t="shared" si="13"/>
        <v>0.255</v>
      </c>
      <c r="H71" s="3">
        <v>0.8</v>
      </c>
      <c r="I71" s="3">
        <v>1717.325</v>
      </c>
      <c r="J71" s="5">
        <f t="shared" si="14"/>
        <v>350.33430000000004</v>
      </c>
      <c r="K71" s="5">
        <f t="shared" si="15"/>
        <v>2857816091.6587381</v>
      </c>
      <c r="L71" s="5">
        <f t="shared" si="16"/>
        <v>4858.2873558198544</v>
      </c>
      <c r="M71" s="5">
        <f t="shared" si="17"/>
        <v>2.8578160916587381</v>
      </c>
      <c r="N71" s="3">
        <v>832</v>
      </c>
      <c r="O71" s="3">
        <v>290000000</v>
      </c>
      <c r="P71" s="5">
        <f t="shared" si="18"/>
        <v>348.97282451923076</v>
      </c>
      <c r="Q71" s="5">
        <f t="shared" si="19"/>
        <v>728743103.37297821</v>
      </c>
      <c r="R71" s="5">
        <f t="shared" si="20"/>
        <v>573.52082235453383</v>
      </c>
      <c r="S71" s="5">
        <f t="shared" si="21"/>
        <v>19.72707580830652</v>
      </c>
      <c r="T71" s="18">
        <f t="shared" si="22"/>
        <v>577.89328097477176</v>
      </c>
      <c r="U71" s="18">
        <f t="shared" si="23"/>
        <v>552.38727235671752</v>
      </c>
      <c r="V71" s="5">
        <f t="shared" si="24"/>
        <v>60.071460000000002</v>
      </c>
      <c r="W71" s="3">
        <v>4</v>
      </c>
      <c r="X71" s="5">
        <f t="shared" si="25"/>
        <v>2736955519710.9912</v>
      </c>
      <c r="Y71" s="5">
        <f t="shared" si="26"/>
        <v>4351376728555.0034</v>
      </c>
      <c r="AA71" s="5">
        <f t="shared" si="27"/>
        <v>16.115179130333512</v>
      </c>
    </row>
    <row r="72" spans="1:28" ht="13" x14ac:dyDescent="0.15">
      <c r="A72" s="3" t="s">
        <v>88</v>
      </c>
      <c r="B72" s="3">
        <v>934000</v>
      </c>
      <c r="C72" s="3">
        <v>0.18</v>
      </c>
      <c r="D72" s="3"/>
      <c r="E72" s="3">
        <v>1.7</v>
      </c>
      <c r="F72" s="3">
        <v>0.15</v>
      </c>
      <c r="G72" s="5">
        <f t="shared" si="13"/>
        <v>0.255</v>
      </c>
      <c r="H72" s="3">
        <v>0.8</v>
      </c>
      <c r="I72" s="3">
        <v>1315.825</v>
      </c>
      <c r="J72" s="5">
        <f t="shared" si="14"/>
        <v>268.42830000000004</v>
      </c>
      <c r="K72" s="5">
        <f t="shared" si="15"/>
        <v>3479513896.2620554</v>
      </c>
      <c r="L72" s="5">
        <f t="shared" si="16"/>
        <v>5915.1736236454944</v>
      </c>
      <c r="M72" s="5">
        <f t="shared" si="17"/>
        <v>3.4795138962620555</v>
      </c>
      <c r="N72" s="3">
        <v>832</v>
      </c>
      <c r="O72" s="3">
        <v>290000000</v>
      </c>
      <c r="P72" s="5">
        <f t="shared" si="18"/>
        <v>325.55288461538458</v>
      </c>
      <c r="Q72" s="5">
        <f t="shared" si="19"/>
        <v>887276043.54682422</v>
      </c>
      <c r="R72" s="5">
        <f t="shared" si="20"/>
        <v>698.28624627135071</v>
      </c>
      <c r="S72" s="5">
        <f t="shared" si="21"/>
        <v>24.018562498812532</v>
      </c>
      <c r="T72" s="18">
        <f t="shared" si="22"/>
        <v>703.60990253263162</v>
      </c>
      <c r="U72" s="18">
        <f t="shared" si="23"/>
        <v>672.55524100849277</v>
      </c>
      <c r="V72" s="5">
        <f t="shared" si="24"/>
        <v>56.04</v>
      </c>
      <c r="W72" s="3">
        <v>5</v>
      </c>
      <c r="X72" s="5">
        <f t="shared" si="25"/>
        <v>2534218073806.4731</v>
      </c>
      <c r="Y72" s="5">
        <f t="shared" si="26"/>
        <v>4029052526439.8179</v>
      </c>
      <c r="AA72" s="5">
        <f t="shared" si="27"/>
        <v>21.032432124332644</v>
      </c>
    </row>
    <row r="73" spans="1:28" ht="13" x14ac:dyDescent="0.15">
      <c r="A73" s="3" t="s">
        <v>79</v>
      </c>
      <c r="B73" s="3">
        <v>533000</v>
      </c>
      <c r="C73" s="3">
        <v>0.18</v>
      </c>
      <c r="D73" s="3"/>
      <c r="E73" s="3">
        <v>1.7</v>
      </c>
      <c r="F73" s="3">
        <v>0.15</v>
      </c>
      <c r="G73" s="5">
        <f t="shared" si="13"/>
        <v>0.255</v>
      </c>
      <c r="H73" s="3">
        <v>0.8</v>
      </c>
      <c r="I73" s="3">
        <v>1111.425</v>
      </c>
      <c r="J73" s="5">
        <f t="shared" si="14"/>
        <v>226.73070000000001</v>
      </c>
      <c r="K73" s="5">
        <f t="shared" si="15"/>
        <v>2350806485.4031677</v>
      </c>
      <c r="L73" s="5">
        <f t="shared" si="16"/>
        <v>3996.3710251853854</v>
      </c>
      <c r="M73" s="5">
        <f t="shared" si="17"/>
        <v>2.3508064854031678</v>
      </c>
      <c r="N73" s="3">
        <v>832</v>
      </c>
      <c r="O73" s="3">
        <v>290000000</v>
      </c>
      <c r="P73" s="5">
        <f t="shared" si="18"/>
        <v>185.78125</v>
      </c>
      <c r="Q73" s="5">
        <f t="shared" si="19"/>
        <v>599455653.77780783</v>
      </c>
      <c r="R73" s="5">
        <f t="shared" si="20"/>
        <v>471.77159952313474</v>
      </c>
      <c r="S73" s="5">
        <f t="shared" si="21"/>
        <v>16.227264547765259</v>
      </c>
      <c r="T73" s="18">
        <f t="shared" si="22"/>
        <v>475.36833344580162</v>
      </c>
      <c r="U73" s="18">
        <f t="shared" si="23"/>
        <v>454.38738556357833</v>
      </c>
      <c r="V73" s="5">
        <f t="shared" si="24"/>
        <v>31.98</v>
      </c>
      <c r="W73" s="3">
        <v>6</v>
      </c>
      <c r="X73" s="5">
        <f t="shared" si="25"/>
        <v>2346498216487.4751</v>
      </c>
      <c r="Y73" s="5">
        <f t="shared" si="26"/>
        <v>3730604191147.979</v>
      </c>
      <c r="AA73" s="5">
        <f t="shared" si="27"/>
        <v>24.900465618462789</v>
      </c>
    </row>
    <row r="74" spans="1:28" ht="13" x14ac:dyDescent="0.15">
      <c r="A74" s="3" t="s">
        <v>64</v>
      </c>
      <c r="B74" s="3">
        <v>528000</v>
      </c>
      <c r="C74" s="3">
        <v>0.18</v>
      </c>
      <c r="D74" s="3"/>
      <c r="E74" s="3">
        <v>1.7</v>
      </c>
      <c r="F74" s="3">
        <v>0.15</v>
      </c>
      <c r="G74" s="5">
        <f t="shared" si="13"/>
        <v>0.255</v>
      </c>
      <c r="H74" s="3">
        <v>0.8</v>
      </c>
      <c r="I74" s="3">
        <v>1160.7</v>
      </c>
      <c r="J74" s="5">
        <f t="shared" si="14"/>
        <v>236.78280000000001</v>
      </c>
      <c r="K74" s="5">
        <f t="shared" si="15"/>
        <v>2229891698.2145662</v>
      </c>
      <c r="L74" s="5">
        <f t="shared" si="16"/>
        <v>3790.8158869647627</v>
      </c>
      <c r="M74" s="5">
        <f t="shared" si="17"/>
        <v>2.229891698214566</v>
      </c>
      <c r="N74" s="3">
        <v>832</v>
      </c>
      <c r="O74" s="3">
        <v>290000000</v>
      </c>
      <c r="P74" s="5">
        <f t="shared" si="18"/>
        <v>184.03846153846155</v>
      </c>
      <c r="Q74" s="5">
        <f t="shared" si="19"/>
        <v>568622383.04471433</v>
      </c>
      <c r="R74" s="5">
        <f t="shared" si="20"/>
        <v>447.50581545619019</v>
      </c>
      <c r="S74" s="5">
        <f t="shared" si="21"/>
        <v>15.392607909020416</v>
      </c>
      <c r="T74" s="18">
        <f t="shared" si="22"/>
        <v>450.91754975445843</v>
      </c>
      <c r="U74" s="18">
        <f t="shared" si="23"/>
        <v>431.01576634789348</v>
      </c>
      <c r="V74" s="5">
        <f t="shared" si="24"/>
        <v>31.68</v>
      </c>
      <c r="W74" s="3">
        <v>7</v>
      </c>
      <c r="X74" s="5">
        <f t="shared" si="25"/>
        <v>2172683533784.699</v>
      </c>
      <c r="Y74" s="5">
        <f t="shared" si="26"/>
        <v>3454263139951.8325</v>
      </c>
      <c r="AA74" s="5">
        <f t="shared" si="27"/>
        <v>23.843370379943131</v>
      </c>
    </row>
    <row r="75" spans="1:28" ht="13" x14ac:dyDescent="0.15">
      <c r="A75" s="3" t="s">
        <v>196</v>
      </c>
      <c r="B75" s="3">
        <v>518000</v>
      </c>
      <c r="C75" s="3">
        <v>0.18</v>
      </c>
      <c r="D75" s="3"/>
      <c r="E75" s="3">
        <v>1.7</v>
      </c>
      <c r="F75" s="3">
        <v>0.15</v>
      </c>
      <c r="G75" s="5">
        <f t="shared" si="13"/>
        <v>0.255</v>
      </c>
      <c r="H75" s="3">
        <v>0.8</v>
      </c>
      <c r="I75" s="3">
        <v>1874.2750000000001</v>
      </c>
      <c r="J75" s="5">
        <f t="shared" si="14"/>
        <v>382.35210000000001</v>
      </c>
      <c r="K75" s="5">
        <f t="shared" si="15"/>
        <v>1354772211.2680955</v>
      </c>
      <c r="L75" s="5">
        <f t="shared" si="16"/>
        <v>2303.112759155762</v>
      </c>
      <c r="M75" s="5">
        <f t="shared" si="17"/>
        <v>1.3547722112680955</v>
      </c>
      <c r="N75" s="3">
        <v>832</v>
      </c>
      <c r="O75" s="3">
        <v>290000000</v>
      </c>
      <c r="P75" s="5">
        <f t="shared" si="18"/>
        <v>180.55288461538458</v>
      </c>
      <c r="Q75" s="5">
        <f t="shared" si="19"/>
        <v>345466913.87336433</v>
      </c>
      <c r="R75" s="5">
        <f t="shared" si="20"/>
        <v>271.88246121833771</v>
      </c>
      <c r="S75" s="5">
        <f t="shared" si="21"/>
        <v>9.351789358551974</v>
      </c>
      <c r="T75" s="18">
        <f t="shared" si="22"/>
        <v>273.95526270157791</v>
      </c>
      <c r="U75" s="18">
        <f t="shared" si="23"/>
        <v>261.86392071601017</v>
      </c>
      <c r="V75" s="5">
        <f t="shared" si="24"/>
        <v>31.08</v>
      </c>
      <c r="W75" s="3">
        <v>8</v>
      </c>
      <c r="X75" s="5">
        <f t="shared" si="25"/>
        <v>2011744012763.6101</v>
      </c>
      <c r="Y75" s="5">
        <f t="shared" si="26"/>
        <v>3198391796251.6968</v>
      </c>
      <c r="AA75" s="5">
        <f t="shared" si="27"/>
        <v>14.765709407637619</v>
      </c>
    </row>
    <row r="76" spans="1:28" ht="13" x14ac:dyDescent="0.15">
      <c r="A76" s="3" t="s">
        <v>197</v>
      </c>
      <c r="B76" s="3">
        <v>495000</v>
      </c>
      <c r="C76" s="3">
        <v>0.18</v>
      </c>
      <c r="D76" s="3"/>
      <c r="E76" s="3">
        <v>1.7</v>
      </c>
      <c r="F76" s="3">
        <v>0.15</v>
      </c>
      <c r="G76" s="5">
        <f t="shared" si="13"/>
        <v>0.255</v>
      </c>
      <c r="H76" s="3">
        <v>0.8</v>
      </c>
      <c r="I76" s="3">
        <v>1432.625</v>
      </c>
      <c r="J76" s="5">
        <f t="shared" si="14"/>
        <v>292.25550000000004</v>
      </c>
      <c r="K76" s="5">
        <f t="shared" si="15"/>
        <v>1693723471.4145668</v>
      </c>
      <c r="L76" s="5">
        <f t="shared" si="16"/>
        <v>2879.3299014047634</v>
      </c>
      <c r="M76" s="5">
        <f t="shared" si="17"/>
        <v>1.6937234714145668</v>
      </c>
      <c r="N76" s="3">
        <v>832</v>
      </c>
      <c r="O76" s="3">
        <v>290000000</v>
      </c>
      <c r="P76" s="5">
        <f t="shared" si="18"/>
        <v>172.53605769230768</v>
      </c>
      <c r="Q76" s="5">
        <f t="shared" si="19"/>
        <v>431899485.21071452</v>
      </c>
      <c r="R76" s="5">
        <f t="shared" si="20"/>
        <v>339.90489486083231</v>
      </c>
      <c r="S76" s="5">
        <f t="shared" si="21"/>
        <v>11.691519064654042</v>
      </c>
      <c r="T76" s="18">
        <f t="shared" si="22"/>
        <v>342.49629177209664</v>
      </c>
      <c r="U76" s="18">
        <f t="shared" si="23"/>
        <v>327.37980978972161</v>
      </c>
      <c r="V76" s="5">
        <f t="shared" si="24"/>
        <v>29.7</v>
      </c>
      <c r="W76" s="3">
        <v>9</v>
      </c>
      <c r="X76" s="5">
        <f t="shared" si="25"/>
        <v>1862725937744.0833</v>
      </c>
      <c r="Y76" s="5">
        <f t="shared" si="26"/>
        <v>2961473885418.2373</v>
      </c>
      <c r="AA76" s="5">
        <f t="shared" si="27"/>
        <v>19.317686065788326</v>
      </c>
    </row>
    <row r="77" spans="1:28" ht="13" x14ac:dyDescent="0.15">
      <c r="A77" s="3" t="s">
        <v>77</v>
      </c>
      <c r="B77" s="3">
        <v>431000</v>
      </c>
      <c r="C77" s="3">
        <v>0.18</v>
      </c>
      <c r="D77" s="3"/>
      <c r="E77" s="3">
        <v>1.7</v>
      </c>
      <c r="F77" s="3">
        <v>0.15</v>
      </c>
      <c r="G77" s="5">
        <f t="shared" si="13"/>
        <v>0.255</v>
      </c>
      <c r="H77" s="3">
        <v>0.8</v>
      </c>
      <c r="I77" s="3">
        <v>1348.675</v>
      </c>
      <c r="J77" s="5">
        <f t="shared" si="14"/>
        <v>275.12970000000001</v>
      </c>
      <c r="K77" s="5">
        <f t="shared" si="15"/>
        <v>1566533892.9239554</v>
      </c>
      <c r="L77" s="5">
        <f t="shared" si="16"/>
        <v>2663.1076179707243</v>
      </c>
      <c r="M77" s="5">
        <f t="shared" si="17"/>
        <v>1.5665338929239554</v>
      </c>
      <c r="N77" s="3">
        <v>832</v>
      </c>
      <c r="O77" s="3">
        <v>290000000</v>
      </c>
      <c r="P77" s="5">
        <f t="shared" si="18"/>
        <v>150.22836538461539</v>
      </c>
      <c r="Q77" s="5">
        <f t="shared" si="19"/>
        <v>399466142.69560862</v>
      </c>
      <c r="R77" s="5">
        <f t="shared" si="20"/>
        <v>314.37985430144397</v>
      </c>
      <c r="S77" s="5">
        <f t="shared" si="21"/>
        <v>10.813548482770125</v>
      </c>
      <c r="T77" s="18">
        <f t="shared" si="22"/>
        <v>316.77665115761761</v>
      </c>
      <c r="U77" s="18">
        <f t="shared" si="23"/>
        <v>302.79533616327132</v>
      </c>
      <c r="V77" s="5">
        <f t="shared" si="24"/>
        <v>25.86</v>
      </c>
      <c r="W77" s="3">
        <v>10</v>
      </c>
      <c r="X77" s="5">
        <f t="shared" si="25"/>
        <v>1724746238651.929</v>
      </c>
      <c r="Y77" s="5">
        <f t="shared" si="26"/>
        <v>2742105449461.3306</v>
      </c>
      <c r="AA77" s="5">
        <f t="shared" si="27"/>
        <v>20.520140137542402</v>
      </c>
    </row>
    <row r="78" spans="1:28" ht="13" x14ac:dyDescent="0.15">
      <c r="A78" s="3" t="s">
        <v>105</v>
      </c>
      <c r="B78" s="3">
        <v>309000</v>
      </c>
      <c r="C78" s="3">
        <v>0.18</v>
      </c>
      <c r="D78" s="3"/>
      <c r="E78" s="3">
        <v>1.7</v>
      </c>
      <c r="F78" s="3">
        <v>0.15</v>
      </c>
      <c r="G78" s="5">
        <f t="shared" si="13"/>
        <v>0.255</v>
      </c>
      <c r="H78" s="3">
        <v>0.8</v>
      </c>
      <c r="I78" s="3">
        <v>943.52499999999998</v>
      </c>
      <c r="J78" s="5">
        <f t="shared" si="14"/>
        <v>192.47910000000002</v>
      </c>
      <c r="K78" s="5">
        <f t="shared" si="15"/>
        <v>1605369102.4116383</v>
      </c>
      <c r="L78" s="5">
        <f t="shared" si="16"/>
        <v>2729.1274740997846</v>
      </c>
      <c r="M78" s="5">
        <f t="shared" si="17"/>
        <v>1.6053691024116383</v>
      </c>
      <c r="N78" s="3">
        <v>832</v>
      </c>
      <c r="O78" s="3">
        <v>290000000</v>
      </c>
      <c r="P78" s="5">
        <f t="shared" si="18"/>
        <v>107.70432692307692</v>
      </c>
      <c r="Q78" s="5">
        <f t="shared" si="19"/>
        <v>409369121.11496776</v>
      </c>
      <c r="R78" s="5">
        <f t="shared" si="20"/>
        <v>322.17349831747964</v>
      </c>
      <c r="S78" s="5">
        <f t="shared" si="21"/>
        <v>11.081622108582177</v>
      </c>
      <c r="T78" s="18">
        <f t="shared" si="22"/>
        <v>324.62971304416942</v>
      </c>
      <c r="U78" s="18">
        <f t="shared" si="23"/>
        <v>310.30179380514556</v>
      </c>
      <c r="V78" s="5">
        <f t="shared" si="24"/>
        <v>18.54</v>
      </c>
      <c r="W78" s="3">
        <v>11</v>
      </c>
      <c r="X78" s="5">
        <f t="shared" si="25"/>
        <v>1596987258011.0454</v>
      </c>
      <c r="Y78" s="5">
        <f t="shared" si="26"/>
        <v>2538986527279.0098</v>
      </c>
      <c r="AA78" s="5">
        <f t="shared" si="27"/>
        <v>29.331496250761774</v>
      </c>
    </row>
    <row r="79" spans="1:28" ht="13" x14ac:dyDescent="0.15">
      <c r="A79" s="3" t="s">
        <v>198</v>
      </c>
      <c r="B79" s="3">
        <v>291000</v>
      </c>
      <c r="C79" s="3">
        <v>0.18</v>
      </c>
      <c r="D79" s="3"/>
      <c r="E79" s="3">
        <v>1.7</v>
      </c>
      <c r="F79" s="3">
        <v>0.15</v>
      </c>
      <c r="G79" s="5">
        <f t="shared" si="13"/>
        <v>0.255</v>
      </c>
      <c r="H79" s="3">
        <v>0.8</v>
      </c>
      <c r="I79" s="3">
        <v>1432.625</v>
      </c>
      <c r="J79" s="5">
        <f t="shared" si="14"/>
        <v>292.25550000000004</v>
      </c>
      <c r="K79" s="5">
        <f t="shared" si="15"/>
        <v>995704101.37704837</v>
      </c>
      <c r="L79" s="5">
        <f t="shared" si="16"/>
        <v>1692.6969723409823</v>
      </c>
      <c r="M79" s="5">
        <f t="shared" si="17"/>
        <v>0.99570410137704835</v>
      </c>
      <c r="N79" s="3">
        <v>832</v>
      </c>
      <c r="O79" s="3">
        <v>290000000</v>
      </c>
      <c r="P79" s="5">
        <f t="shared" si="18"/>
        <v>101.43028846153845</v>
      </c>
      <c r="Q79" s="5">
        <f t="shared" si="19"/>
        <v>253904545.85114735</v>
      </c>
      <c r="R79" s="5">
        <f t="shared" si="20"/>
        <v>199.82287758485296</v>
      </c>
      <c r="S79" s="5">
        <f t="shared" si="21"/>
        <v>6.873196056190559</v>
      </c>
      <c r="T79" s="18">
        <f t="shared" si="22"/>
        <v>201.34630485995984</v>
      </c>
      <c r="U79" s="18">
        <f t="shared" si="23"/>
        <v>192.4596457551697</v>
      </c>
      <c r="V79" s="5">
        <f t="shared" si="24"/>
        <v>17.46</v>
      </c>
      <c r="W79" s="3">
        <v>12</v>
      </c>
      <c r="X79" s="5">
        <f t="shared" si="25"/>
        <v>1478691905565.7827</v>
      </c>
      <c r="Y79" s="5">
        <f t="shared" si="26"/>
        <v>2350913451184.2686</v>
      </c>
      <c r="AA79" s="5">
        <f t="shared" si="27"/>
        <v>19.317686065788322</v>
      </c>
    </row>
    <row r="80" spans="1:28" ht="13" x14ac:dyDescent="0.15">
      <c r="A80" s="3" t="s">
        <v>199</v>
      </c>
      <c r="B80" s="3">
        <v>249500</v>
      </c>
      <c r="C80" s="3">
        <v>0.18</v>
      </c>
      <c r="D80" s="3"/>
      <c r="E80" s="3">
        <v>1.7</v>
      </c>
      <c r="F80" s="3">
        <v>0.15</v>
      </c>
      <c r="G80" s="5">
        <f t="shared" si="13"/>
        <v>0.255</v>
      </c>
      <c r="H80" s="3">
        <v>0.8</v>
      </c>
      <c r="I80" s="3">
        <v>1450.875</v>
      </c>
      <c r="J80" s="5">
        <f t="shared" si="14"/>
        <v>295.9785</v>
      </c>
      <c r="K80" s="5">
        <f t="shared" si="15"/>
        <v>842966634.40080953</v>
      </c>
      <c r="L80" s="5">
        <f t="shared" si="16"/>
        <v>1433.0432784813761</v>
      </c>
      <c r="M80" s="5">
        <f t="shared" si="17"/>
        <v>0.84296663440080954</v>
      </c>
      <c r="N80" s="3">
        <v>832</v>
      </c>
      <c r="O80" s="3">
        <v>290000000</v>
      </c>
      <c r="P80" s="5">
        <f t="shared" si="18"/>
        <v>86.965144230769226</v>
      </c>
      <c r="Q80" s="5">
        <f t="shared" si="19"/>
        <v>214956491.77220643</v>
      </c>
      <c r="R80" s="5">
        <f t="shared" si="20"/>
        <v>169.17075902472646</v>
      </c>
      <c r="S80" s="5">
        <f t="shared" si="21"/>
        <v>5.8188722322736286</v>
      </c>
      <c r="T80" s="18">
        <f t="shared" si="22"/>
        <v>170.46049797535971</v>
      </c>
      <c r="U80" s="18">
        <f t="shared" si="23"/>
        <v>162.93702076333247</v>
      </c>
      <c r="V80" s="5">
        <f t="shared" si="24"/>
        <v>14.97</v>
      </c>
      <c r="W80" s="3">
        <v>13</v>
      </c>
      <c r="X80" s="5">
        <f t="shared" si="25"/>
        <v>1369159171820.1692</v>
      </c>
      <c r="Y80" s="5">
        <f t="shared" si="26"/>
        <v>2176771714059.5078</v>
      </c>
      <c r="AA80" s="5">
        <f t="shared" si="27"/>
        <v>19.074696303954511</v>
      </c>
    </row>
    <row r="81" spans="1:27" ht="13" x14ac:dyDescent="0.15">
      <c r="A81" s="3" t="s">
        <v>92</v>
      </c>
      <c r="B81" s="3">
        <v>238000</v>
      </c>
      <c r="C81" s="3">
        <v>0.18</v>
      </c>
      <c r="D81" s="3"/>
      <c r="E81" s="3">
        <v>1.7</v>
      </c>
      <c r="F81" s="3">
        <v>0.15</v>
      </c>
      <c r="G81" s="5">
        <f t="shared" si="13"/>
        <v>0.255</v>
      </c>
      <c r="H81" s="3">
        <v>0.8</v>
      </c>
      <c r="I81" s="3">
        <v>1981.25</v>
      </c>
      <c r="J81" s="5">
        <f t="shared" si="14"/>
        <v>404.17500000000001</v>
      </c>
      <c r="K81" s="5">
        <f t="shared" si="15"/>
        <v>588853838.06519449</v>
      </c>
      <c r="L81" s="5">
        <f t="shared" si="16"/>
        <v>1001.0515247108306</v>
      </c>
      <c r="M81" s="5">
        <f t="shared" si="17"/>
        <v>0.58885383806519453</v>
      </c>
      <c r="N81" s="3">
        <v>832</v>
      </c>
      <c r="O81" s="3">
        <v>290000000</v>
      </c>
      <c r="P81" s="5">
        <f t="shared" si="18"/>
        <v>82.956730769230774</v>
      </c>
      <c r="Q81" s="5">
        <f t="shared" si="19"/>
        <v>150157728.7066246</v>
      </c>
      <c r="R81" s="5">
        <f t="shared" si="20"/>
        <v>118.17413249211356</v>
      </c>
      <c r="S81" s="5">
        <f t="shared" si="21"/>
        <v>4.0647697160883283</v>
      </c>
      <c r="T81" s="18">
        <f t="shared" si="22"/>
        <v>119.0750788643533</v>
      </c>
      <c r="U81" s="18">
        <f t="shared" si="23"/>
        <v>113.81955835962144</v>
      </c>
      <c r="V81" s="5">
        <f t="shared" si="24"/>
        <v>14.28</v>
      </c>
      <c r="W81" s="3">
        <v>14</v>
      </c>
      <c r="X81" s="5">
        <f t="shared" si="25"/>
        <v>1267739973907.5637</v>
      </c>
      <c r="Y81" s="5">
        <f t="shared" si="26"/>
        <v>2015529364869.9141</v>
      </c>
      <c r="AA81" s="5">
        <f t="shared" si="27"/>
        <v>13.968454258675079</v>
      </c>
    </row>
    <row r="82" spans="1:27" ht="13" x14ac:dyDescent="0.15">
      <c r="A82" s="3" t="s">
        <v>101</v>
      </c>
      <c r="B82" s="3">
        <v>234000</v>
      </c>
      <c r="C82" s="3">
        <v>0.18</v>
      </c>
      <c r="D82" s="3"/>
      <c r="E82" s="3">
        <v>1.7</v>
      </c>
      <c r="F82" s="3">
        <v>0.15</v>
      </c>
      <c r="G82" s="5">
        <f t="shared" si="13"/>
        <v>0.255</v>
      </c>
      <c r="H82" s="3">
        <v>0.8</v>
      </c>
      <c r="I82" s="3">
        <v>1589.575</v>
      </c>
      <c r="J82" s="5">
        <f t="shared" si="14"/>
        <v>324.27330000000001</v>
      </c>
      <c r="K82" s="5">
        <f t="shared" si="15"/>
        <v>721613527.84826875</v>
      </c>
      <c r="L82" s="5">
        <f t="shared" si="16"/>
        <v>1226.7429973420567</v>
      </c>
      <c r="M82" s="5">
        <f t="shared" si="17"/>
        <v>0.72161352784826871</v>
      </c>
      <c r="N82" s="3">
        <v>832</v>
      </c>
      <c r="O82" s="3">
        <v>290000000</v>
      </c>
      <c r="P82" s="5">
        <f t="shared" si="18"/>
        <v>81.5625</v>
      </c>
      <c r="Q82" s="5">
        <f t="shared" si="19"/>
        <v>184011449.60130852</v>
      </c>
      <c r="R82" s="5">
        <f t="shared" si="20"/>
        <v>144.8170108362298</v>
      </c>
      <c r="S82" s="5">
        <f t="shared" si="21"/>
        <v>4.9811899407074218</v>
      </c>
      <c r="T82" s="18">
        <f t="shared" si="22"/>
        <v>145.92107953383766</v>
      </c>
      <c r="U82" s="18">
        <f t="shared" si="23"/>
        <v>139.48067879779188</v>
      </c>
      <c r="V82" s="5">
        <f t="shared" si="24"/>
        <v>14.04</v>
      </c>
      <c r="W82" s="3">
        <v>15</v>
      </c>
      <c r="X82" s="5">
        <f t="shared" si="25"/>
        <v>1173833309173.6702</v>
      </c>
      <c r="Y82" s="5">
        <f t="shared" si="26"/>
        <v>1866230893398.0686</v>
      </c>
      <c r="AA82" s="5">
        <f t="shared" si="27"/>
        <v>17.410314077662267</v>
      </c>
    </row>
    <row r="83" spans="1:27" ht="13" x14ac:dyDescent="0.15">
      <c r="A83" s="3" t="s">
        <v>200</v>
      </c>
      <c r="B83" s="3">
        <v>224000</v>
      </c>
      <c r="C83" s="3">
        <v>0.18</v>
      </c>
      <c r="D83" s="3"/>
      <c r="E83" s="3">
        <v>1.7</v>
      </c>
      <c r="F83" s="3">
        <v>0.15</v>
      </c>
      <c r="G83" s="5">
        <f t="shared" si="13"/>
        <v>0.255</v>
      </c>
      <c r="H83" s="3">
        <v>0.8</v>
      </c>
      <c r="I83" s="3">
        <v>1850.55</v>
      </c>
      <c r="J83" s="5">
        <f t="shared" si="14"/>
        <v>377.51220000000001</v>
      </c>
      <c r="K83" s="5">
        <f t="shared" si="15"/>
        <v>593358307.36066282</v>
      </c>
      <c r="L83" s="5">
        <f t="shared" si="16"/>
        <v>1008.7091225131268</v>
      </c>
      <c r="M83" s="5">
        <f t="shared" si="17"/>
        <v>0.59335830736066286</v>
      </c>
      <c r="N83" s="3">
        <v>832</v>
      </c>
      <c r="O83" s="3">
        <v>290000000</v>
      </c>
      <c r="P83" s="5">
        <f t="shared" si="18"/>
        <v>78.076923076923066</v>
      </c>
      <c r="Q83" s="5">
        <f t="shared" si="19"/>
        <v>151306368.37696901</v>
      </c>
      <c r="R83" s="5">
        <f t="shared" si="20"/>
        <v>119.0781119126746</v>
      </c>
      <c r="S83" s="5">
        <f t="shared" si="21"/>
        <v>4.0958633919645511</v>
      </c>
      <c r="T83" s="18">
        <f t="shared" si="22"/>
        <v>119.98595012293643</v>
      </c>
      <c r="U83" s="18">
        <f t="shared" si="23"/>
        <v>114.6902272297425</v>
      </c>
      <c r="V83" s="5">
        <f t="shared" si="24"/>
        <v>13.44</v>
      </c>
      <c r="W83" s="3">
        <v>16</v>
      </c>
      <c r="X83" s="5">
        <f t="shared" si="25"/>
        <v>1086882693679.3241</v>
      </c>
      <c r="Y83" s="5">
        <f t="shared" si="26"/>
        <v>1727991567961.1746</v>
      </c>
      <c r="AA83" s="5">
        <f t="shared" si="27"/>
        <v>14.955013374402204</v>
      </c>
    </row>
    <row r="84" spans="1:27" ht="13" x14ac:dyDescent="0.15">
      <c r="A84" s="3" t="s">
        <v>207</v>
      </c>
      <c r="B84" s="3">
        <v>22315000</v>
      </c>
      <c r="C84" s="3">
        <v>0.18</v>
      </c>
      <c r="D84" s="3"/>
      <c r="E84" s="3">
        <v>1.7</v>
      </c>
      <c r="F84" s="3">
        <v>0.15</v>
      </c>
      <c r="G84" s="5">
        <f>E84*F84</f>
        <v>0.255</v>
      </c>
      <c r="H84" s="3">
        <v>0.8</v>
      </c>
      <c r="I84" s="3">
        <v>1600</v>
      </c>
      <c r="J84" s="5">
        <f t="shared" si="14"/>
        <v>326.39999999999998</v>
      </c>
      <c r="K84" s="5">
        <f>(B84*1000000)/J84</f>
        <v>68367034313.725494</v>
      </c>
      <c r="L84" s="5">
        <f>E84*K84/1000000</f>
        <v>116223.95833333334</v>
      </c>
      <c r="M84" s="5">
        <f t="shared" si="17"/>
        <v>68.367034313725497</v>
      </c>
      <c r="N84" s="3">
        <v>832</v>
      </c>
      <c r="O84" s="3">
        <v>290000000</v>
      </c>
      <c r="P84" s="7">
        <f t="shared" si="18"/>
        <v>7778.0649038461534</v>
      </c>
      <c r="Q84" s="5">
        <f t="shared" si="19"/>
        <v>17433593750</v>
      </c>
      <c r="R84" s="5">
        <f t="shared" si="20"/>
        <v>13720.23828125</v>
      </c>
      <c r="S84" s="5">
        <f t="shared" si="21"/>
        <v>471.92738281250001</v>
      </c>
      <c r="T84" s="18">
        <f t="shared" si="22"/>
        <v>13824.83984375</v>
      </c>
      <c r="U84" s="18">
        <f t="shared" si="23"/>
        <v>13214.6640625</v>
      </c>
      <c r="V84" s="5">
        <f t="shared" si="24"/>
        <v>1338.9</v>
      </c>
      <c r="W84" s="3">
        <v>17</v>
      </c>
      <c r="X84" s="5">
        <f t="shared" si="25"/>
        <v>1006372864517.8927</v>
      </c>
      <c r="Y84" s="5">
        <f t="shared" si="26"/>
        <v>1599992192556.6431</v>
      </c>
      <c r="AA84" s="5">
        <f t="shared" si="27"/>
        <v>17.296875</v>
      </c>
    </row>
    <row r="85" spans="1:27" ht="13" x14ac:dyDescent="0.15">
      <c r="W85" s="3">
        <v>18</v>
      </c>
      <c r="X85" s="5">
        <f t="shared" si="25"/>
        <v>931826726405.45618</v>
      </c>
      <c r="Y85" s="5">
        <f t="shared" si="26"/>
        <v>1481474252367.262</v>
      </c>
    </row>
    <row r="86" spans="1:27" ht="13" x14ac:dyDescent="0.15">
      <c r="W86" s="3">
        <v>19</v>
      </c>
      <c r="X86" s="5">
        <f t="shared" si="25"/>
        <v>862802524449.49634</v>
      </c>
      <c r="Y86" s="5">
        <f t="shared" si="26"/>
        <v>1371735418858.5759</v>
      </c>
    </row>
    <row r="87" spans="1:27" ht="13" x14ac:dyDescent="0.15">
      <c r="A87" s="3" t="s">
        <v>77</v>
      </c>
      <c r="B87" s="3">
        <v>431000</v>
      </c>
      <c r="C87" s="3">
        <v>0.2</v>
      </c>
      <c r="D87" s="3"/>
      <c r="E87" s="3">
        <v>1.7</v>
      </c>
      <c r="F87" s="3">
        <v>0.15</v>
      </c>
      <c r="G87" s="5">
        <f>F87*E87</f>
        <v>0.255</v>
      </c>
      <c r="H87" s="3">
        <v>0.8</v>
      </c>
      <c r="I87" s="3">
        <v>1348.675</v>
      </c>
      <c r="J87" s="5">
        <f>I87*H87*G87</f>
        <v>275.12970000000001</v>
      </c>
      <c r="K87" s="5">
        <f>(B87*10^6)/J87</f>
        <v>1566533892.9239554</v>
      </c>
      <c r="L87" s="5">
        <f>(K87*1.7)/1000000</f>
        <v>2663.1076179707243</v>
      </c>
      <c r="M87" s="5">
        <f>K87/1000000000</f>
        <v>1.5665338929239554</v>
      </c>
      <c r="N87" s="3">
        <v>832</v>
      </c>
      <c r="O87" s="3">
        <v>290000000</v>
      </c>
      <c r="P87" s="5">
        <f>(B87/$N$68)*($O$68/1000000000)</f>
        <v>150.22836538461539</v>
      </c>
      <c r="W87" s="3">
        <v>20</v>
      </c>
      <c r="X87" s="5">
        <f t="shared" si="25"/>
        <v>798891226342.12622</v>
      </c>
      <c r="Y87" s="5">
        <f t="shared" si="26"/>
        <v>1270125387832.0146</v>
      </c>
    </row>
    <row r="88" spans="1:27" ht="13" x14ac:dyDescent="0.15">
      <c r="A88" s="3" t="s">
        <v>169</v>
      </c>
      <c r="X88" s="5">
        <f t="shared" si="25"/>
        <v>3723597768577.8667</v>
      </c>
      <c r="Y88" s="5">
        <f t="shared" si="26"/>
        <v>5920000000000</v>
      </c>
    </row>
    <row r="89" spans="1:27" ht="13" x14ac:dyDescent="0.15">
      <c r="B89" s="5">
        <f>(B87*10^6)/(0.8*1348)</f>
        <v>399666172.10682487</v>
      </c>
      <c r="C89" s="5">
        <f>(70+80+110+100+60+429)*B89/1000000000</f>
        <v>339.31658011869433</v>
      </c>
    </row>
    <row r="96" spans="1:27" ht="13" x14ac:dyDescent="0.15">
      <c r="D96" s="3">
        <f>0.255/1.7</f>
        <v>0.15</v>
      </c>
      <c r="E96" s="3">
        <f>(5+3+1.4+1.5+0.6)*500*10^3</f>
        <v>5750000</v>
      </c>
      <c r="K96" s="5">
        <f>79838801849.4778*10^-9</f>
        <v>79.838801849477804</v>
      </c>
    </row>
    <row r="97" spans="1:31" ht="13" x14ac:dyDescent="0.15">
      <c r="I97" s="5">
        <f>34790613077.8103*10^-9</f>
        <v>34.790613077810306</v>
      </c>
    </row>
    <row r="98" spans="1:31" ht="13" x14ac:dyDescent="0.15">
      <c r="N98" s="19" t="s">
        <v>226</v>
      </c>
    </row>
    <row r="99" spans="1:31" ht="13" x14ac:dyDescent="0.15">
      <c r="D99" s="5">
        <f>1.7*0.15</f>
        <v>0.255</v>
      </c>
    </row>
    <row r="100" spans="1:31" ht="13" x14ac:dyDescent="0.15">
      <c r="A100" s="3" t="s">
        <v>227</v>
      </c>
      <c r="B100" s="3" t="s">
        <v>154</v>
      </c>
      <c r="C100" s="3" t="s">
        <v>155</v>
      </c>
      <c r="E100" s="3" t="s">
        <v>156</v>
      </c>
      <c r="F100" s="3" t="s">
        <v>157</v>
      </c>
      <c r="G100" s="3" t="s">
        <v>158</v>
      </c>
      <c r="H100" s="3" t="s">
        <v>159</v>
      </c>
      <c r="I100" s="3" t="s">
        <v>160</v>
      </c>
      <c r="J100" s="3" t="s">
        <v>161</v>
      </c>
      <c r="K100" s="3" t="s">
        <v>162</v>
      </c>
      <c r="L100" s="3" t="s">
        <v>14</v>
      </c>
      <c r="M100" s="3" t="s">
        <v>41</v>
      </c>
      <c r="N100" s="3" t="s">
        <v>37</v>
      </c>
      <c r="P100" s="3" t="s">
        <v>32</v>
      </c>
    </row>
    <row r="101" spans="1:31" ht="13" x14ac:dyDescent="0.15">
      <c r="A101" s="20" t="s">
        <v>228</v>
      </c>
      <c r="B101" s="20">
        <v>15179480</v>
      </c>
      <c r="C101" s="20">
        <v>12548</v>
      </c>
      <c r="D101" s="20"/>
      <c r="E101" s="20">
        <v>0.255</v>
      </c>
      <c r="F101" s="20">
        <v>0.8</v>
      </c>
      <c r="G101" s="20">
        <v>1768</v>
      </c>
      <c r="H101" s="21">
        <f t="shared" ref="H101:H172" si="28">E101*F101*G101</f>
        <v>360.67200000000003</v>
      </c>
      <c r="I101" s="21">
        <f t="shared" ref="I101:I107" si="29">(C101*10^9)/H101</f>
        <v>34790613077.81031</v>
      </c>
      <c r="J101" s="21">
        <f t="shared" ref="J101:J107" si="30">(I101*1.7)/1000000</f>
        <v>59144.042232277527</v>
      </c>
      <c r="K101" s="21">
        <f t="shared" ref="K101:K172" si="31">J101/B101*100</f>
        <v>0.38963154358566648</v>
      </c>
      <c r="L101" s="21">
        <f t="shared" ref="L101:L107" si="32">I101*E101*10^-6</f>
        <v>8871.6063348416283</v>
      </c>
      <c r="M101" s="21">
        <f t="shared" ref="M101:M156" si="33">C101*10^3/(L101*365*24)*100</f>
        <v>16.146118721461189</v>
      </c>
      <c r="N101" s="21">
        <f t="shared" ref="N101:N172" si="34">C101/8760</f>
        <v>1.4324200913242009</v>
      </c>
      <c r="O101" s="21">
        <f t="shared" ref="O101:O108" si="35">N101*10^12/(J101*10^6)</f>
        <v>24.219178082191782</v>
      </c>
      <c r="P101" s="21">
        <f t="shared" ref="P101:P172" si="36">O101*M101/100</f>
        <v>3.910457246512792</v>
      </c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1:31" ht="13" x14ac:dyDescent="0.15">
      <c r="A102" s="3" t="s">
        <v>229</v>
      </c>
      <c r="B102" s="22">
        <v>19274871</v>
      </c>
      <c r="C102" s="3">
        <v>4827</v>
      </c>
      <c r="D102" s="3"/>
      <c r="E102" s="3">
        <v>0.255</v>
      </c>
      <c r="F102" s="3">
        <v>0.8</v>
      </c>
      <c r="G102" s="3">
        <v>1610</v>
      </c>
      <c r="H102" s="5">
        <f t="shared" si="28"/>
        <v>328.44</v>
      </c>
      <c r="I102" s="5">
        <f t="shared" si="29"/>
        <v>14696748264.523201</v>
      </c>
      <c r="J102" s="5">
        <f t="shared" si="30"/>
        <v>24984.472049689441</v>
      </c>
      <c r="K102" s="5">
        <f t="shared" si="31"/>
        <v>0.12962199357748977</v>
      </c>
      <c r="L102" s="5">
        <f t="shared" si="32"/>
        <v>3747.6708074534163</v>
      </c>
      <c r="M102" s="5">
        <f t="shared" si="33"/>
        <v>14.703196347031961</v>
      </c>
      <c r="N102" s="5">
        <f t="shared" si="34"/>
        <v>0.55102739726027394</v>
      </c>
      <c r="O102" s="5">
        <f t="shared" si="35"/>
        <v>22.054794520547944</v>
      </c>
      <c r="P102" s="5">
        <f t="shared" si="36"/>
        <v>3.2427597422906103</v>
      </c>
    </row>
    <row r="103" spans="1:31" ht="13" x14ac:dyDescent="0.15">
      <c r="A103" s="3" t="s">
        <v>230</v>
      </c>
      <c r="B103" s="3">
        <v>10269941</v>
      </c>
      <c r="C103" s="3">
        <v>3666</v>
      </c>
      <c r="D103" s="3"/>
      <c r="E103" s="3">
        <v>0.255</v>
      </c>
      <c r="F103" s="3">
        <v>0.8</v>
      </c>
      <c r="G103" s="3">
        <v>1177</v>
      </c>
      <c r="H103" s="5">
        <f t="shared" si="28"/>
        <v>240.108</v>
      </c>
      <c r="I103" s="5">
        <f t="shared" si="29"/>
        <v>15268129341.796192</v>
      </c>
      <c r="J103" s="5">
        <f t="shared" si="30"/>
        <v>25955.819881053529</v>
      </c>
      <c r="K103" s="5">
        <f t="shared" si="31"/>
        <v>0.25273582273796441</v>
      </c>
      <c r="L103" s="5">
        <f t="shared" si="32"/>
        <v>3893.3729821580291</v>
      </c>
      <c r="M103" s="5">
        <f t="shared" si="33"/>
        <v>10.748858447488585</v>
      </c>
      <c r="N103" s="5">
        <f t="shared" si="34"/>
        <v>0.41849315068493148</v>
      </c>
      <c r="O103" s="5">
        <f t="shared" si="35"/>
        <v>16.123287671232873</v>
      </c>
      <c r="P103" s="5">
        <f t="shared" si="36"/>
        <v>1.7330693688622003</v>
      </c>
    </row>
    <row r="104" spans="1:31" ht="13" x14ac:dyDescent="0.15">
      <c r="A104" s="3" t="s">
        <v>231</v>
      </c>
      <c r="B104" s="22">
        <v>19364450</v>
      </c>
      <c r="C104" s="3">
        <v>1515</v>
      </c>
      <c r="D104" s="3"/>
      <c r="E104" s="3">
        <v>0.255</v>
      </c>
      <c r="F104" s="3">
        <v>0.8</v>
      </c>
      <c r="G104" s="3">
        <v>1955</v>
      </c>
      <c r="H104" s="5">
        <f t="shared" si="28"/>
        <v>398.82000000000005</v>
      </c>
      <c r="I104" s="5">
        <f t="shared" si="29"/>
        <v>3798706183.2405591</v>
      </c>
      <c r="J104" s="5">
        <f t="shared" si="30"/>
        <v>6457.80051150895</v>
      </c>
      <c r="K104" s="5">
        <f t="shared" si="31"/>
        <v>3.3348742213225521E-2</v>
      </c>
      <c r="L104" s="5">
        <f t="shared" si="32"/>
        <v>968.67007672634247</v>
      </c>
      <c r="M104" s="5">
        <f t="shared" si="33"/>
        <v>17.853881278538818</v>
      </c>
      <c r="N104" s="5">
        <f t="shared" si="34"/>
        <v>0.17294520547945205</v>
      </c>
      <c r="O104" s="5">
        <f t="shared" si="35"/>
        <v>26.780821917808225</v>
      </c>
      <c r="P104" s="5">
        <f t="shared" si="36"/>
        <v>4.7814161506223831</v>
      </c>
    </row>
    <row r="105" spans="1:31" ht="13" x14ac:dyDescent="0.15">
      <c r="A105" s="3" t="s">
        <v>232</v>
      </c>
      <c r="B105" s="3">
        <v>30415873</v>
      </c>
      <c r="C105" s="3">
        <v>840</v>
      </c>
      <c r="D105" s="3"/>
      <c r="E105" s="3">
        <v>0.255</v>
      </c>
      <c r="F105" s="3">
        <v>0.8</v>
      </c>
      <c r="G105" s="3">
        <v>2175</v>
      </c>
      <c r="H105" s="5">
        <f t="shared" si="28"/>
        <v>443.70000000000005</v>
      </c>
      <c r="I105" s="5">
        <f t="shared" si="29"/>
        <v>1893171061.5280592</v>
      </c>
      <c r="J105" s="5">
        <f t="shared" si="30"/>
        <v>3218.3908045977005</v>
      </c>
      <c r="K105" s="5">
        <f t="shared" si="31"/>
        <v>1.0581286963545976E-2</v>
      </c>
      <c r="L105" s="5">
        <f t="shared" si="32"/>
        <v>482.75862068965512</v>
      </c>
      <c r="M105" s="5">
        <f t="shared" si="33"/>
        <v>19.863013698630137</v>
      </c>
      <c r="N105" s="5">
        <f t="shared" si="34"/>
        <v>9.5890410958904104E-2</v>
      </c>
      <c r="O105" s="5">
        <f t="shared" si="35"/>
        <v>29.794520547945208</v>
      </c>
      <c r="P105" s="5">
        <f t="shared" si="36"/>
        <v>5.9180896978795268</v>
      </c>
    </row>
    <row r="106" spans="1:31" ht="13" x14ac:dyDescent="0.15">
      <c r="A106" s="3" t="s">
        <v>233</v>
      </c>
      <c r="B106" s="3">
        <v>22000000</v>
      </c>
      <c r="C106" s="3">
        <v>1476</v>
      </c>
      <c r="D106" s="3"/>
      <c r="E106" s="3">
        <v>0.255</v>
      </c>
      <c r="F106" s="3">
        <v>0.8</v>
      </c>
      <c r="G106" s="3">
        <v>1133</v>
      </c>
      <c r="H106" s="5">
        <f t="shared" si="28"/>
        <v>231.13200000000001</v>
      </c>
      <c r="I106" s="5">
        <f t="shared" si="29"/>
        <v>6385961268.8853121</v>
      </c>
      <c r="J106" s="5">
        <f t="shared" si="30"/>
        <v>10856.134157105031</v>
      </c>
      <c r="K106" s="5">
        <f t="shared" si="31"/>
        <v>4.9346064350477413E-2</v>
      </c>
      <c r="L106" s="5">
        <f t="shared" si="32"/>
        <v>1628.4201235657545</v>
      </c>
      <c r="M106" s="5">
        <f t="shared" si="33"/>
        <v>10.34703196347032</v>
      </c>
      <c r="N106" s="5">
        <f t="shared" si="34"/>
        <v>0.16849315068493151</v>
      </c>
      <c r="O106" s="5">
        <f t="shared" si="35"/>
        <v>15.520547945205482</v>
      </c>
      <c r="P106" s="5">
        <f t="shared" si="36"/>
        <v>1.6059160567961472</v>
      </c>
    </row>
    <row r="107" spans="1:31" ht="13" x14ac:dyDescent="0.15">
      <c r="A107" s="3" t="s">
        <v>234</v>
      </c>
      <c r="B107" s="22">
        <v>6915772</v>
      </c>
      <c r="C107" s="3">
        <v>1206</v>
      </c>
      <c r="D107" s="3"/>
      <c r="E107" s="3">
        <v>0.255</v>
      </c>
      <c r="F107" s="3">
        <v>0.8</v>
      </c>
      <c r="G107" s="3">
        <v>1967</v>
      </c>
      <c r="H107" s="5">
        <f t="shared" si="28"/>
        <v>401.26800000000003</v>
      </c>
      <c r="I107" s="5">
        <f t="shared" si="29"/>
        <v>3005472651.6941295</v>
      </c>
      <c r="J107" s="5">
        <f t="shared" si="30"/>
        <v>5109.3035078800203</v>
      </c>
      <c r="K107" s="5">
        <f t="shared" si="31"/>
        <v>7.3879004511427218E-2</v>
      </c>
      <c r="L107" s="5">
        <f t="shared" si="32"/>
        <v>766.39552618200298</v>
      </c>
      <c r="M107" s="5">
        <f t="shared" si="33"/>
        <v>17.963470319634705</v>
      </c>
      <c r="N107" s="5">
        <f t="shared" si="34"/>
        <v>0.13767123287671232</v>
      </c>
      <c r="O107" s="5">
        <f t="shared" si="35"/>
        <v>26.945205479452053</v>
      </c>
      <c r="P107" s="5">
        <f t="shared" si="36"/>
        <v>4.8402939888659544</v>
      </c>
    </row>
    <row r="108" spans="1:31" ht="13" x14ac:dyDescent="0.15">
      <c r="A108" s="19" t="s">
        <v>235</v>
      </c>
      <c r="B108" s="19">
        <f t="shared" ref="B108:C108" si="37">SUM(B101:B107)</f>
        <v>123420387</v>
      </c>
      <c r="C108" s="19">
        <f t="shared" si="37"/>
        <v>26078</v>
      </c>
      <c r="D108" s="19"/>
      <c r="E108" s="19">
        <v>0.255</v>
      </c>
      <c r="F108" s="19">
        <v>0.8</v>
      </c>
      <c r="G108" s="23">
        <f>SUM(G101:G107)/7</f>
        <v>1683.5714285714287</v>
      </c>
      <c r="H108" s="23">
        <f t="shared" si="28"/>
        <v>343.44857142857148</v>
      </c>
      <c r="I108" s="23">
        <f t="shared" ref="I108:J108" si="38">SUM(I101:I107)</f>
        <v>79838801849.477753</v>
      </c>
      <c r="J108" s="23">
        <f t="shared" si="38"/>
        <v>135725.9631441122</v>
      </c>
      <c r="K108" s="23">
        <f t="shared" si="31"/>
        <v>0.10997045661841282</v>
      </c>
      <c r="L108" s="23">
        <f>SUM(L101:L107)</f>
        <v>20358.89447161683</v>
      </c>
      <c r="M108" s="23">
        <f t="shared" si="33"/>
        <v>14.622309887305923</v>
      </c>
      <c r="N108" s="23">
        <f t="shared" si="34"/>
        <v>2.9769406392694062</v>
      </c>
      <c r="O108" s="23">
        <f t="shared" si="35"/>
        <v>21.933464830958883</v>
      </c>
      <c r="P108" s="23">
        <f t="shared" si="36"/>
        <v>3.2071791966060683</v>
      </c>
    </row>
    <row r="109" spans="1:31" ht="13" x14ac:dyDescent="0.15">
      <c r="A109" s="3" t="s">
        <v>236</v>
      </c>
      <c r="B109" s="3">
        <v>29932083</v>
      </c>
      <c r="C109" s="3">
        <f>0.05666136*D1</f>
        <v>56661.36</v>
      </c>
      <c r="E109" s="3">
        <v>0.255</v>
      </c>
      <c r="F109" s="3">
        <v>0.8</v>
      </c>
      <c r="G109" s="3">
        <v>1768</v>
      </c>
      <c r="H109" s="5">
        <f t="shared" si="28"/>
        <v>360.67200000000003</v>
      </c>
      <c r="I109" s="5">
        <f t="shared" ref="I109:I156" si="39">(C109*10^9)/H109</f>
        <v>157099414426.40402</v>
      </c>
      <c r="J109" s="5">
        <f t="shared" ref="J109:J172" si="40">(I109*1.7)/1000000</f>
        <v>267069.00452488684</v>
      </c>
      <c r="K109" s="5">
        <f t="shared" si="31"/>
        <v>0.89224997981225307</v>
      </c>
      <c r="L109" s="5">
        <f t="shared" ref="L109:L172" si="41">I109*E109*10^-6</f>
        <v>40060.350678733026</v>
      </c>
      <c r="M109" s="5">
        <f t="shared" si="33"/>
        <v>16.146118721461189</v>
      </c>
      <c r="N109" s="5">
        <f t="shared" si="34"/>
        <v>6.4681917808219183</v>
      </c>
      <c r="O109" s="5">
        <f t="shared" ref="O109:O172" si="42">N109*10^12/(B109*10^6)</f>
        <v>0.21609561154904983</v>
      </c>
      <c r="P109" s="5">
        <f t="shared" si="36"/>
        <v>3.4891053992577185E-2</v>
      </c>
    </row>
    <row r="110" spans="1:31" ht="13" x14ac:dyDescent="0.15">
      <c r="A110" s="3" t="s">
        <v>229</v>
      </c>
      <c r="B110" s="3">
        <v>19612761</v>
      </c>
      <c r="C110" s="5">
        <f>0.02030598*D1</f>
        <v>20305.98</v>
      </c>
      <c r="E110" s="3">
        <v>0.255</v>
      </c>
      <c r="F110" s="3">
        <v>0.8</v>
      </c>
      <c r="G110" s="3">
        <v>1610</v>
      </c>
      <c r="H110" s="5">
        <f t="shared" si="28"/>
        <v>328.44</v>
      </c>
      <c r="I110" s="5">
        <f t="shared" si="39"/>
        <v>61825538911.21666</v>
      </c>
      <c r="J110" s="5">
        <f t="shared" si="40"/>
        <v>105103.41614906832</v>
      </c>
      <c r="K110" s="5">
        <f t="shared" si="31"/>
        <v>0.53589301449738935</v>
      </c>
      <c r="L110" s="5">
        <f t="shared" si="41"/>
        <v>15765.512422360247</v>
      </c>
      <c r="M110" s="5">
        <f t="shared" si="33"/>
        <v>14.703196347031962</v>
      </c>
      <c r="N110" s="5">
        <f t="shared" si="34"/>
        <v>2.3180342465753423</v>
      </c>
      <c r="O110" s="5">
        <f t="shared" si="42"/>
        <v>0.11819010319736942</v>
      </c>
      <c r="P110" s="5">
        <f t="shared" si="36"/>
        <v>1.7377722935868926E-2</v>
      </c>
    </row>
    <row r="111" spans="1:31" ht="13" x14ac:dyDescent="0.15">
      <c r="A111" s="3" t="s">
        <v>230</v>
      </c>
      <c r="B111" s="3">
        <v>8166759</v>
      </c>
      <c r="C111" s="5">
        <f>0.01557257*D1</f>
        <v>15572.570000000002</v>
      </c>
      <c r="E111" s="3">
        <v>0.255</v>
      </c>
      <c r="F111" s="3">
        <v>0.8</v>
      </c>
      <c r="G111" s="3">
        <v>1177</v>
      </c>
      <c r="H111" s="5">
        <f t="shared" si="28"/>
        <v>240.108</v>
      </c>
      <c r="I111" s="5">
        <f t="shared" si="39"/>
        <v>64856522898.029228</v>
      </c>
      <c r="J111" s="5">
        <f t="shared" si="40"/>
        <v>110256.08892664968</v>
      </c>
      <c r="K111" s="5">
        <f t="shared" si="31"/>
        <v>1.3500592943498111</v>
      </c>
      <c r="L111" s="5">
        <f t="shared" si="41"/>
        <v>16538.413338997452</v>
      </c>
      <c r="M111" s="5">
        <f t="shared" si="33"/>
        <v>10.748858447488585</v>
      </c>
      <c r="N111" s="5">
        <f t="shared" si="34"/>
        <v>1.7776906392694065</v>
      </c>
      <c r="O111" s="5">
        <f t="shared" si="42"/>
        <v>0.21767394376023666</v>
      </c>
      <c r="P111" s="5">
        <f t="shared" si="36"/>
        <v>2.3397464091853747E-2</v>
      </c>
    </row>
    <row r="112" spans="1:31" ht="13" x14ac:dyDescent="0.15">
      <c r="A112" s="3" t="s">
        <v>231</v>
      </c>
      <c r="B112" s="3">
        <v>20559783</v>
      </c>
      <c r="C112" s="5">
        <f>0.00738505*D1</f>
        <v>7385.05</v>
      </c>
      <c r="E112" s="3">
        <v>0.255</v>
      </c>
      <c r="F112" s="3">
        <v>0.8</v>
      </c>
      <c r="G112" s="3">
        <v>1955</v>
      </c>
      <c r="H112" s="5">
        <f t="shared" si="28"/>
        <v>398.82000000000005</v>
      </c>
      <c r="I112" s="5">
        <f t="shared" si="39"/>
        <v>18517250890.12587</v>
      </c>
      <c r="J112" s="5">
        <f t="shared" si="40"/>
        <v>31479.326513213979</v>
      </c>
      <c r="K112" s="5">
        <f t="shared" si="31"/>
        <v>0.15311118076107116</v>
      </c>
      <c r="L112" s="5">
        <f t="shared" si="41"/>
        <v>4721.8989769820964</v>
      </c>
      <c r="M112" s="5">
        <f t="shared" si="33"/>
        <v>17.853881278538815</v>
      </c>
      <c r="N112" s="5">
        <f t="shared" si="34"/>
        <v>0.84304223744292239</v>
      </c>
      <c r="O112" s="5">
        <f t="shared" si="42"/>
        <v>4.100443265587591E-2</v>
      </c>
      <c r="P112" s="5">
        <f t="shared" si="36"/>
        <v>7.3208827253184849E-3</v>
      </c>
    </row>
    <row r="113" spans="1:16" ht="13" x14ac:dyDescent="0.15">
      <c r="A113" s="3" t="s">
        <v>232</v>
      </c>
      <c r="B113" s="3">
        <v>23115085</v>
      </c>
      <c r="C113" s="5">
        <f>0.00701289*D1</f>
        <v>7012.89</v>
      </c>
      <c r="E113" s="3">
        <v>0.255</v>
      </c>
      <c r="F113" s="3">
        <v>0.8</v>
      </c>
      <c r="G113" s="3">
        <v>2175</v>
      </c>
      <c r="H113" s="5">
        <f t="shared" si="28"/>
        <v>443.70000000000005</v>
      </c>
      <c r="I113" s="5">
        <f t="shared" si="39"/>
        <v>15805476673.42799</v>
      </c>
      <c r="J113" s="5">
        <f t="shared" si="40"/>
        <v>26869.310344827583</v>
      </c>
      <c r="K113" s="5">
        <f t="shared" si="31"/>
        <v>0.11624145160975001</v>
      </c>
      <c r="L113" s="5">
        <f t="shared" si="41"/>
        <v>4030.3965517241372</v>
      </c>
      <c r="M113" s="5">
        <f t="shared" si="33"/>
        <v>19.863013698630141</v>
      </c>
      <c r="N113" s="5">
        <f t="shared" si="34"/>
        <v>0.80055821917808223</v>
      </c>
      <c r="O113" s="5">
        <f t="shared" si="42"/>
        <v>3.463358318509676E-2</v>
      </c>
      <c r="P113" s="5">
        <f t="shared" si="36"/>
        <v>6.8792733723822344E-3</v>
      </c>
    </row>
    <row r="114" spans="1:16" ht="13" x14ac:dyDescent="0.15">
      <c r="A114" s="3" t="s">
        <v>233</v>
      </c>
      <c r="B114" s="3">
        <v>22129898</v>
      </c>
      <c r="C114" s="5">
        <f>0.00792003*D1</f>
        <v>7920.03</v>
      </c>
      <c r="E114" s="3">
        <v>0.255</v>
      </c>
      <c r="F114" s="3">
        <v>0.8</v>
      </c>
      <c r="G114" s="3">
        <v>1133</v>
      </c>
      <c r="H114" s="5">
        <f t="shared" si="28"/>
        <v>231.13200000000001</v>
      </c>
      <c r="I114" s="5">
        <f t="shared" si="39"/>
        <v>34266263433.881935</v>
      </c>
      <c r="J114" s="5">
        <f t="shared" si="40"/>
        <v>58252.647837599288</v>
      </c>
      <c r="K114" s="5">
        <f t="shared" si="31"/>
        <v>0.26323053019765064</v>
      </c>
      <c r="L114" s="5">
        <f t="shared" si="41"/>
        <v>8737.8971756398932</v>
      </c>
      <c r="M114" s="5">
        <f t="shared" si="33"/>
        <v>10.347031963470322</v>
      </c>
      <c r="N114" s="5">
        <f t="shared" si="34"/>
        <v>0.90411301369863006</v>
      </c>
      <c r="O114" s="5">
        <f t="shared" si="42"/>
        <v>4.0854820645744958E-2</v>
      </c>
      <c r="P114" s="5">
        <f t="shared" si="36"/>
        <v>4.2272613508337028E-3</v>
      </c>
    </row>
    <row r="115" spans="1:16" ht="13" x14ac:dyDescent="0.15">
      <c r="A115" s="3" t="s">
        <v>234</v>
      </c>
      <c r="B115" s="3">
        <v>2380033</v>
      </c>
      <c r="C115" s="5">
        <f>0.00626857*D1</f>
        <v>6268.5700000000006</v>
      </c>
      <c r="E115" s="3">
        <v>0.255</v>
      </c>
      <c r="F115" s="3">
        <v>0.8</v>
      </c>
      <c r="G115" s="3">
        <v>1967</v>
      </c>
      <c r="H115" s="5">
        <f t="shared" si="28"/>
        <v>401.26800000000003</v>
      </c>
      <c r="I115" s="5">
        <f t="shared" si="39"/>
        <v>15621903565.696743</v>
      </c>
      <c r="J115" s="5">
        <f t="shared" si="40"/>
        <v>26557.236061684463</v>
      </c>
      <c r="K115" s="5">
        <f t="shared" si="31"/>
        <v>1.1158347830338682</v>
      </c>
      <c r="L115" s="5">
        <f t="shared" si="41"/>
        <v>3983.5854092526693</v>
      </c>
      <c r="M115" s="5">
        <f t="shared" si="33"/>
        <v>17.963470319634709</v>
      </c>
      <c r="N115" s="5">
        <f t="shared" si="34"/>
        <v>0.71559018264840191</v>
      </c>
      <c r="O115" s="5">
        <f t="shared" si="42"/>
        <v>0.30066397509967374</v>
      </c>
      <c r="P115" s="5">
        <f t="shared" si="36"/>
        <v>5.400968392886378E-2</v>
      </c>
    </row>
    <row r="116" spans="1:16" ht="13" x14ac:dyDescent="0.15">
      <c r="A116" s="19" t="s">
        <v>237</v>
      </c>
      <c r="B116" s="19">
        <v>125896402</v>
      </c>
      <c r="C116" s="23">
        <f>SUM(C109:C115)</f>
        <v>121126.45000000001</v>
      </c>
      <c r="D116" s="23"/>
      <c r="E116" s="19">
        <v>0.255</v>
      </c>
      <c r="F116" s="19">
        <v>0.8</v>
      </c>
      <c r="G116" s="23">
        <f>SUM(G109:G115)/7</f>
        <v>1683.5714285714287</v>
      </c>
      <c r="H116" s="23">
        <f t="shared" si="28"/>
        <v>343.44857142857148</v>
      </c>
      <c r="I116" s="23">
        <f t="shared" si="39"/>
        <v>352677111149.93304</v>
      </c>
      <c r="J116" s="23">
        <f t="shared" si="40"/>
        <v>599551.08895488607</v>
      </c>
      <c r="K116" s="23">
        <f t="shared" si="31"/>
        <v>0.47622575342136148</v>
      </c>
      <c r="L116" s="23">
        <f t="shared" si="41"/>
        <v>89932.663343232925</v>
      </c>
      <c r="M116" s="23">
        <f t="shared" si="33"/>
        <v>15.375081539465102</v>
      </c>
      <c r="N116" s="23">
        <f t="shared" si="34"/>
        <v>13.827220319634705</v>
      </c>
      <c r="O116" s="23">
        <f t="shared" si="42"/>
        <v>0.10983014685069956</v>
      </c>
      <c r="P116" s="23">
        <f t="shared" si="36"/>
        <v>1.6886474633209317E-2</v>
      </c>
    </row>
    <row r="117" spans="1:16" ht="13" x14ac:dyDescent="0.15">
      <c r="A117" s="3" t="s">
        <v>238</v>
      </c>
      <c r="B117" s="3">
        <v>29932083</v>
      </c>
      <c r="C117" s="5">
        <f>0.06174367*D1</f>
        <v>61743.67</v>
      </c>
      <c r="E117" s="3">
        <v>0.255</v>
      </c>
      <c r="F117" s="3">
        <v>0.8</v>
      </c>
      <c r="G117" s="3">
        <v>1768</v>
      </c>
      <c r="H117" s="5">
        <f t="shared" si="28"/>
        <v>360.67200000000003</v>
      </c>
      <c r="I117" s="5">
        <f t="shared" si="39"/>
        <v>171190638585.75104</v>
      </c>
      <c r="J117" s="24">
        <f t="shared" si="40"/>
        <v>291024.08559577673</v>
      </c>
      <c r="K117" s="24">
        <f t="shared" si="31"/>
        <v>0.97228143325600402</v>
      </c>
      <c r="L117" s="24">
        <f t="shared" si="41"/>
        <v>43653.612839366513</v>
      </c>
      <c r="M117" s="24">
        <f t="shared" si="33"/>
        <v>16.146118721461189</v>
      </c>
      <c r="N117" s="5">
        <f t="shared" si="34"/>
        <v>7.0483641552511411</v>
      </c>
      <c r="O117" s="5">
        <f t="shared" si="42"/>
        <v>0.23547857178035828</v>
      </c>
      <c r="P117" s="5">
        <f t="shared" si="36"/>
        <v>3.8020649763257849E-2</v>
      </c>
    </row>
    <row r="118" spans="1:16" ht="13" x14ac:dyDescent="0.15">
      <c r="A118" s="3" t="s">
        <v>229</v>
      </c>
      <c r="B118" s="3">
        <v>19612761</v>
      </c>
      <c r="C118" s="5">
        <f>0.01932906*D1</f>
        <v>19329.059999999998</v>
      </c>
      <c r="E118" s="3">
        <v>0.255</v>
      </c>
      <c r="F118" s="3">
        <v>0.8</v>
      </c>
      <c r="G118" s="3">
        <v>1610</v>
      </c>
      <c r="H118" s="5">
        <f t="shared" si="28"/>
        <v>328.44</v>
      </c>
      <c r="I118" s="5">
        <f t="shared" si="39"/>
        <v>58851114358.78698</v>
      </c>
      <c r="J118" s="24">
        <f t="shared" si="40"/>
        <v>100046.89440993787</v>
      </c>
      <c r="K118" s="24">
        <f t="shared" si="31"/>
        <v>0.51011121998548736</v>
      </c>
      <c r="L118" s="24">
        <f t="shared" si="41"/>
        <v>15007.034161490679</v>
      </c>
      <c r="M118" s="24">
        <f t="shared" si="33"/>
        <v>14.703196347031966</v>
      </c>
      <c r="N118" s="5">
        <f t="shared" si="34"/>
        <v>2.2065136986301366</v>
      </c>
      <c r="O118" s="5">
        <f t="shared" si="42"/>
        <v>0.11250398139405955</v>
      </c>
      <c r="P118" s="5">
        <f t="shared" si="36"/>
        <v>1.6541681282596886E-2</v>
      </c>
    </row>
    <row r="119" spans="1:16" ht="13" x14ac:dyDescent="0.15">
      <c r="A119" s="3" t="s">
        <v>230</v>
      </c>
      <c r="B119" s="3">
        <v>8166759</v>
      </c>
      <c r="C119" s="5">
        <f>0.01516552*D1</f>
        <v>15165.52</v>
      </c>
      <c r="E119" s="3">
        <v>0.255</v>
      </c>
      <c r="F119" s="3">
        <v>0.8</v>
      </c>
      <c r="G119" s="3">
        <v>1177</v>
      </c>
      <c r="H119" s="5">
        <f t="shared" si="28"/>
        <v>240.108</v>
      </c>
      <c r="I119" s="5">
        <f t="shared" si="39"/>
        <v>63161244106.818596</v>
      </c>
      <c r="J119" s="24">
        <f t="shared" si="40"/>
        <v>107374.11498159161</v>
      </c>
      <c r="K119" s="24">
        <f t="shared" si="31"/>
        <v>1.3147702164541848</v>
      </c>
      <c r="L119" s="24">
        <f t="shared" si="41"/>
        <v>16106.117247238742</v>
      </c>
      <c r="M119" s="24">
        <f t="shared" si="33"/>
        <v>10.748858447488585</v>
      </c>
      <c r="N119" s="5">
        <f t="shared" si="34"/>
        <v>1.7312237442922376</v>
      </c>
      <c r="O119" s="5">
        <f t="shared" si="42"/>
        <v>0.21198418421459939</v>
      </c>
      <c r="P119" s="5">
        <f t="shared" si="36"/>
        <v>2.2785879892290729E-2</v>
      </c>
    </row>
    <row r="120" spans="1:16" ht="13" x14ac:dyDescent="0.15">
      <c r="A120" s="3" t="s">
        <v>231</v>
      </c>
      <c r="B120" s="3">
        <v>20559783</v>
      </c>
      <c r="C120" s="5">
        <f>0.00781536*D1</f>
        <v>7815.3600000000006</v>
      </c>
      <c r="E120" s="3">
        <v>0.255</v>
      </c>
      <c r="F120" s="3">
        <v>0.8</v>
      </c>
      <c r="G120" s="3">
        <v>1955</v>
      </c>
      <c r="H120" s="5">
        <f t="shared" si="28"/>
        <v>398.82000000000005</v>
      </c>
      <c r="I120" s="5">
        <f t="shared" si="39"/>
        <v>19596208816.007221</v>
      </c>
      <c r="J120" s="24">
        <f t="shared" si="40"/>
        <v>33313.554987212279</v>
      </c>
      <c r="K120" s="24">
        <f t="shared" si="31"/>
        <v>0.16203261964006274</v>
      </c>
      <c r="L120" s="24">
        <f t="shared" si="41"/>
        <v>4997.0332480818415</v>
      </c>
      <c r="M120" s="24">
        <f t="shared" si="33"/>
        <v>17.853881278538815</v>
      </c>
      <c r="N120" s="5">
        <f t="shared" si="34"/>
        <v>0.89216438356164385</v>
      </c>
      <c r="O120" s="5">
        <f t="shared" si="42"/>
        <v>4.3393667314564739E-2</v>
      </c>
      <c r="P120" s="5">
        <f t="shared" si="36"/>
        <v>7.7474538447464903E-3</v>
      </c>
    </row>
    <row r="121" spans="1:16" ht="13" x14ac:dyDescent="0.15">
      <c r="A121" s="3" t="s">
        <v>232</v>
      </c>
      <c r="B121" s="3">
        <v>23115085</v>
      </c>
      <c r="C121" s="5">
        <f>0.00740831*D1</f>
        <v>7408.31</v>
      </c>
      <c r="E121" s="3">
        <v>0.255</v>
      </c>
      <c r="F121" s="3">
        <v>0.8</v>
      </c>
      <c r="G121" s="3">
        <v>2175</v>
      </c>
      <c r="H121" s="5">
        <f t="shared" si="28"/>
        <v>443.70000000000005</v>
      </c>
      <c r="I121" s="5">
        <f t="shared" si="39"/>
        <v>16696664412.891592</v>
      </c>
      <c r="J121" s="24">
        <f t="shared" si="40"/>
        <v>28384.329501915705</v>
      </c>
      <c r="K121" s="24">
        <f t="shared" si="31"/>
        <v>0.12279569597912232</v>
      </c>
      <c r="L121" s="24">
        <f t="shared" si="41"/>
        <v>4257.6494252873554</v>
      </c>
      <c r="M121" s="24">
        <f t="shared" si="33"/>
        <v>19.863013698630144</v>
      </c>
      <c r="N121" s="5">
        <f t="shared" si="34"/>
        <v>0.84569748858447491</v>
      </c>
      <c r="O121" s="5">
        <f t="shared" si="42"/>
        <v>3.6586388870491926E-2</v>
      </c>
      <c r="P121" s="5">
        <f t="shared" si="36"/>
        <v>7.2671594331799065E-3</v>
      </c>
    </row>
    <row r="122" spans="1:16" ht="13" x14ac:dyDescent="0.15">
      <c r="A122" s="3" t="s">
        <v>233</v>
      </c>
      <c r="B122" s="3">
        <v>22129898</v>
      </c>
      <c r="C122" s="5">
        <f>0.00794329*D1</f>
        <v>7943.2900000000009</v>
      </c>
      <c r="E122" s="3">
        <v>0.255</v>
      </c>
      <c r="F122" s="3">
        <v>0.8</v>
      </c>
      <c r="G122" s="3">
        <v>1133</v>
      </c>
      <c r="H122" s="5">
        <f t="shared" si="28"/>
        <v>231.13200000000001</v>
      </c>
      <c r="I122" s="5">
        <f t="shared" si="39"/>
        <v>34366898568.783211</v>
      </c>
      <c r="J122" s="24">
        <f t="shared" si="40"/>
        <v>58423.727566931455</v>
      </c>
      <c r="K122" s="24">
        <f t="shared" si="31"/>
        <v>0.26400360077091839</v>
      </c>
      <c r="L122" s="24">
        <f t="shared" si="41"/>
        <v>8763.559135039719</v>
      </c>
      <c r="M122" s="24">
        <f t="shared" si="33"/>
        <v>10.34703196347032</v>
      </c>
      <c r="N122" s="5">
        <f t="shared" si="34"/>
        <v>0.9067682648401828</v>
      </c>
      <c r="O122" s="5">
        <f t="shared" si="42"/>
        <v>4.0974805434719257E-2</v>
      </c>
      <c r="P122" s="5">
        <f t="shared" si="36"/>
        <v>4.2396762153001756E-3</v>
      </c>
    </row>
    <row r="123" spans="1:16" ht="13" x14ac:dyDescent="0.15">
      <c r="A123" s="3" t="s">
        <v>234</v>
      </c>
      <c r="B123" s="3">
        <v>2380033</v>
      </c>
      <c r="C123" s="5">
        <f>0.00643139*D1</f>
        <v>6431.39</v>
      </c>
      <c r="E123" s="3">
        <v>0.255</v>
      </c>
      <c r="F123" s="3">
        <v>0.8</v>
      </c>
      <c r="G123" s="3">
        <v>1967</v>
      </c>
      <c r="H123" s="5">
        <f t="shared" si="28"/>
        <v>401.26800000000003</v>
      </c>
      <c r="I123" s="5">
        <f t="shared" si="39"/>
        <v>16027667294.675877</v>
      </c>
      <c r="J123" s="24">
        <f t="shared" si="40"/>
        <v>27247.034400948989</v>
      </c>
      <c r="K123" s="24">
        <f t="shared" si="31"/>
        <v>1.1448175046711113</v>
      </c>
      <c r="L123" s="24">
        <f t="shared" si="41"/>
        <v>4087.0551601423485</v>
      </c>
      <c r="M123" s="24">
        <f t="shared" si="33"/>
        <v>17.963470319634702</v>
      </c>
      <c r="N123" s="5">
        <f t="shared" si="34"/>
        <v>0.73417694063926942</v>
      </c>
      <c r="O123" s="5">
        <f t="shared" si="42"/>
        <v>0.30847342899836661</v>
      </c>
      <c r="P123" s="5">
        <f t="shared" si="36"/>
        <v>5.5412532862081011E-2</v>
      </c>
    </row>
    <row r="124" spans="1:16" ht="13" x14ac:dyDescent="0.15">
      <c r="A124" s="19" t="s">
        <v>239</v>
      </c>
      <c r="B124" s="19">
        <v>125896402</v>
      </c>
      <c r="C124" s="23">
        <f>SUM(C117:C123)</f>
        <v>125836.59999999999</v>
      </c>
      <c r="D124" s="23"/>
      <c r="E124" s="19">
        <v>0.255</v>
      </c>
      <c r="F124" s="19">
        <v>0.8</v>
      </c>
      <c r="G124" s="23">
        <f>SUM(G117:G123)/7</f>
        <v>1683.5714285714287</v>
      </c>
      <c r="H124" s="23">
        <f t="shared" si="28"/>
        <v>343.44857142857148</v>
      </c>
      <c r="I124" s="23">
        <f t="shared" si="39"/>
        <v>366391391516.30096</v>
      </c>
      <c r="J124" s="23">
        <f t="shared" si="40"/>
        <v>622865.36557771172</v>
      </c>
      <c r="K124" s="23">
        <f t="shared" si="31"/>
        <v>0.49474437369362767</v>
      </c>
      <c r="L124" s="23">
        <f t="shared" si="41"/>
        <v>93429.804836656753</v>
      </c>
      <c r="M124" s="23">
        <f t="shared" si="33"/>
        <v>15.375081539465102</v>
      </c>
      <c r="N124" s="23">
        <f t="shared" si="34"/>
        <v>14.364908675799086</v>
      </c>
      <c r="O124" s="23">
        <f t="shared" si="42"/>
        <v>0.11410102630096677</v>
      </c>
      <c r="P124" s="23">
        <f t="shared" si="36"/>
        <v>1.7543125831140163E-2</v>
      </c>
    </row>
    <row r="125" spans="1:16" ht="13" x14ac:dyDescent="0.15">
      <c r="A125" s="3" t="s">
        <v>240</v>
      </c>
      <c r="B125" s="3">
        <v>29932083</v>
      </c>
      <c r="C125" s="5">
        <f>0.06467443*D1</f>
        <v>64674.430000000008</v>
      </c>
      <c r="E125" s="3">
        <v>0.255</v>
      </c>
      <c r="F125" s="3">
        <v>0.8</v>
      </c>
      <c r="G125" s="3">
        <v>1768</v>
      </c>
      <c r="H125" s="5">
        <f t="shared" si="28"/>
        <v>360.67200000000003</v>
      </c>
      <c r="I125" s="5">
        <f t="shared" si="39"/>
        <v>179316470366.42712</v>
      </c>
      <c r="J125" s="24">
        <f t="shared" si="40"/>
        <v>304837.99962292606</v>
      </c>
      <c r="K125" s="24">
        <f t="shared" si="31"/>
        <v>1.0184322942807758</v>
      </c>
      <c r="L125" s="24">
        <f t="shared" si="41"/>
        <v>45725.699943438914</v>
      </c>
      <c r="M125" s="5">
        <f t="shared" si="33"/>
        <v>16.146118721461189</v>
      </c>
      <c r="N125" s="5">
        <f t="shared" si="34"/>
        <v>7.3829257990867587</v>
      </c>
      <c r="O125" s="5">
        <f t="shared" si="42"/>
        <v>0.2466559309984126</v>
      </c>
      <c r="P125" s="5">
        <f t="shared" si="36"/>
        <v>3.9825359452529088E-2</v>
      </c>
    </row>
    <row r="126" spans="1:16" ht="13" x14ac:dyDescent="0.15">
      <c r="A126" s="3" t="s">
        <v>229</v>
      </c>
      <c r="B126" s="3">
        <v>19612761</v>
      </c>
      <c r="C126" s="5">
        <f>0.01868941*D1</f>
        <v>18689.41</v>
      </c>
      <c r="E126" s="3">
        <v>0.255</v>
      </c>
      <c r="F126" s="3">
        <v>0.8</v>
      </c>
      <c r="G126" s="3">
        <v>1610</v>
      </c>
      <c r="H126" s="5">
        <f t="shared" si="28"/>
        <v>328.44</v>
      </c>
      <c r="I126" s="5">
        <f t="shared" si="39"/>
        <v>56903574473.26757</v>
      </c>
      <c r="J126" s="24">
        <f t="shared" si="40"/>
        <v>96736.076604554866</v>
      </c>
      <c r="K126" s="24">
        <f t="shared" si="31"/>
        <v>0.49323028310269457</v>
      </c>
      <c r="L126" s="24">
        <f t="shared" si="41"/>
        <v>14510.411490683231</v>
      </c>
      <c r="M126" s="5">
        <f t="shared" si="33"/>
        <v>14.703196347031961</v>
      </c>
      <c r="N126" s="5">
        <f t="shared" si="34"/>
        <v>2.1334942922374429</v>
      </c>
      <c r="O126" s="5">
        <f t="shared" si="42"/>
        <v>0.1087809254514162</v>
      </c>
      <c r="P126" s="5">
        <f t="shared" si="36"/>
        <v>1.5994273057240188E-2</v>
      </c>
    </row>
    <row r="127" spans="1:16" ht="13" x14ac:dyDescent="0.15">
      <c r="A127" s="3" t="s">
        <v>230</v>
      </c>
      <c r="B127" s="3">
        <v>8166759</v>
      </c>
      <c r="C127" s="5">
        <f>0.0146538*D1</f>
        <v>14653.8</v>
      </c>
      <c r="E127" s="3">
        <v>0.255</v>
      </c>
      <c r="F127" s="3">
        <v>0.8</v>
      </c>
      <c r="G127" s="3">
        <v>1177</v>
      </c>
      <c r="H127" s="5">
        <f t="shared" si="28"/>
        <v>240.108</v>
      </c>
      <c r="I127" s="5">
        <f t="shared" si="39"/>
        <v>61030036483.58239</v>
      </c>
      <c r="J127" s="24">
        <f t="shared" si="40"/>
        <v>103751.06202209006</v>
      </c>
      <c r="K127" s="24">
        <f t="shared" si="31"/>
        <v>1.2704068042425405</v>
      </c>
      <c r="L127" s="24">
        <f t="shared" si="41"/>
        <v>15562.659303313509</v>
      </c>
      <c r="M127" s="5">
        <f t="shared" si="33"/>
        <v>10.748858447488585</v>
      </c>
      <c r="N127" s="5">
        <f t="shared" si="34"/>
        <v>1.6728082191780822</v>
      </c>
      <c r="O127" s="5">
        <f t="shared" si="42"/>
        <v>0.20483134364294114</v>
      </c>
      <c r="P127" s="5">
        <f t="shared" si="36"/>
        <v>2.2017031184268655E-2</v>
      </c>
    </row>
    <row r="128" spans="1:16" ht="13" x14ac:dyDescent="0.15">
      <c r="A128" s="3" t="s">
        <v>231</v>
      </c>
      <c r="B128" s="3">
        <v>20559783</v>
      </c>
      <c r="C128" s="5">
        <f>0.00812937*D1</f>
        <v>8129.3700000000008</v>
      </c>
      <c r="E128" s="3">
        <v>0.255</v>
      </c>
      <c r="F128" s="3">
        <v>0.8</v>
      </c>
      <c r="G128" s="3">
        <v>1955</v>
      </c>
      <c r="H128" s="5">
        <f t="shared" si="28"/>
        <v>398.82000000000005</v>
      </c>
      <c r="I128" s="5">
        <f t="shared" si="39"/>
        <v>20383556491.650368</v>
      </c>
      <c r="J128" s="24">
        <f t="shared" si="40"/>
        <v>34652.046035805623</v>
      </c>
      <c r="K128" s="24">
        <f t="shared" si="31"/>
        <v>0.16854285882202952</v>
      </c>
      <c r="L128" s="24">
        <f t="shared" si="41"/>
        <v>5197.8069053708441</v>
      </c>
      <c r="M128" s="5">
        <f t="shared" si="33"/>
        <v>17.853881278538815</v>
      </c>
      <c r="N128" s="5">
        <f t="shared" si="34"/>
        <v>0.92801027397260283</v>
      </c>
      <c r="O128" s="5">
        <f t="shared" si="42"/>
        <v>4.5137162876310651E-2</v>
      </c>
      <c r="P128" s="5">
        <f t="shared" si="36"/>
        <v>8.0587354724371996E-3</v>
      </c>
    </row>
    <row r="129" spans="1:16" ht="13" x14ac:dyDescent="0.15">
      <c r="A129" s="3" t="s">
        <v>232</v>
      </c>
      <c r="B129" s="3">
        <v>23115085</v>
      </c>
      <c r="C129" s="5">
        <f>0.00781536*D1</f>
        <v>7815.3600000000006</v>
      </c>
      <c r="E129" s="3">
        <v>0.255</v>
      </c>
      <c r="F129" s="3">
        <v>0.8</v>
      </c>
      <c r="G129" s="3">
        <v>2175</v>
      </c>
      <c r="H129" s="5">
        <f t="shared" si="28"/>
        <v>443.70000000000005</v>
      </c>
      <c r="I129" s="5">
        <f t="shared" si="39"/>
        <v>17614063556.457066</v>
      </c>
      <c r="J129" s="24">
        <f t="shared" si="40"/>
        <v>29943.908045977008</v>
      </c>
      <c r="K129" s="24">
        <f t="shared" si="31"/>
        <v>0.12954271224171143</v>
      </c>
      <c r="L129" s="24">
        <f t="shared" si="41"/>
        <v>4491.5862068965516</v>
      </c>
      <c r="M129" s="5">
        <f t="shared" si="33"/>
        <v>19.863013698630141</v>
      </c>
      <c r="N129" s="5">
        <f t="shared" si="34"/>
        <v>0.89216438356164385</v>
      </c>
      <c r="O129" s="5">
        <f t="shared" si="42"/>
        <v>3.8596630017222251E-2</v>
      </c>
      <c r="P129" s="5">
        <f t="shared" si="36"/>
        <v>7.6664539075304485E-3</v>
      </c>
    </row>
    <row r="130" spans="1:16" ht="13" x14ac:dyDescent="0.15">
      <c r="A130" s="3" t="s">
        <v>233</v>
      </c>
      <c r="B130" s="3">
        <v>22129898</v>
      </c>
      <c r="C130" s="5">
        <f>0.00801307*D1</f>
        <v>8013.0700000000006</v>
      </c>
      <c r="E130" s="3">
        <v>0.255</v>
      </c>
      <c r="F130" s="3">
        <v>0.8</v>
      </c>
      <c r="G130" s="3">
        <v>1133</v>
      </c>
      <c r="H130" s="5">
        <f t="shared" si="28"/>
        <v>231.13200000000001</v>
      </c>
      <c r="I130" s="5">
        <f t="shared" si="39"/>
        <v>34668803973.487015</v>
      </c>
      <c r="J130" s="24">
        <f t="shared" si="40"/>
        <v>58936.966754927926</v>
      </c>
      <c r="K130" s="24">
        <f t="shared" si="31"/>
        <v>0.26632281249072148</v>
      </c>
      <c r="L130" s="24">
        <f t="shared" si="41"/>
        <v>8840.5450132391888</v>
      </c>
      <c r="M130" s="5">
        <f t="shared" si="33"/>
        <v>10.34703196347032</v>
      </c>
      <c r="N130" s="5">
        <f t="shared" si="34"/>
        <v>0.91473401826484024</v>
      </c>
      <c r="O130" s="5">
        <f t="shared" si="42"/>
        <v>4.1334759801642112E-2</v>
      </c>
      <c r="P130" s="5">
        <f t="shared" si="36"/>
        <v>4.27692080869959E-3</v>
      </c>
    </row>
    <row r="131" spans="1:16" ht="13" x14ac:dyDescent="0.15">
      <c r="A131" s="3" t="s">
        <v>234</v>
      </c>
      <c r="B131" s="3">
        <v>2380033</v>
      </c>
      <c r="C131" s="5">
        <f>0.00647791*D1</f>
        <v>6477.91</v>
      </c>
      <c r="E131" s="3">
        <v>0.255</v>
      </c>
      <c r="F131" s="3">
        <v>0.8</v>
      </c>
      <c r="G131" s="3">
        <v>1967</v>
      </c>
      <c r="H131" s="5">
        <f t="shared" si="28"/>
        <v>401.26800000000003</v>
      </c>
      <c r="I131" s="5">
        <f t="shared" si="39"/>
        <v>16143599788.669914</v>
      </c>
      <c r="J131" s="24">
        <f t="shared" si="40"/>
        <v>27444.119640738852</v>
      </c>
      <c r="K131" s="24">
        <f t="shared" si="31"/>
        <v>1.1530982822817522</v>
      </c>
      <c r="L131" s="24">
        <f t="shared" si="41"/>
        <v>4116.6179461108286</v>
      </c>
      <c r="M131" s="5">
        <f t="shared" si="33"/>
        <v>17.963470319634705</v>
      </c>
      <c r="N131" s="5">
        <f t="shared" si="34"/>
        <v>0.73948744292237445</v>
      </c>
      <c r="O131" s="5">
        <f t="shared" si="42"/>
        <v>0.31070470154085023</v>
      </c>
      <c r="P131" s="5">
        <f t="shared" si="36"/>
        <v>5.5813346843000232E-2</v>
      </c>
    </row>
    <row r="132" spans="1:16" ht="13" x14ac:dyDescent="0.15">
      <c r="A132" s="19" t="s">
        <v>241</v>
      </c>
      <c r="B132" s="19">
        <v>125896402</v>
      </c>
      <c r="C132" s="23">
        <f>SUM(C125:C131)</f>
        <v>128453.35000000002</v>
      </c>
      <c r="D132" s="23"/>
      <c r="E132" s="19">
        <v>0.255</v>
      </c>
      <c r="F132" s="19">
        <v>0.8</v>
      </c>
      <c r="G132" s="23">
        <f>SUM(G125:G131)/7</f>
        <v>1683.5714285714287</v>
      </c>
      <c r="H132" s="23">
        <f t="shared" si="28"/>
        <v>343.44857142857148</v>
      </c>
      <c r="I132" s="23">
        <f t="shared" si="39"/>
        <v>374010436164.28326</v>
      </c>
      <c r="J132" s="23">
        <f t="shared" si="40"/>
        <v>635817.74147928145</v>
      </c>
      <c r="K132" s="23">
        <f t="shared" si="31"/>
        <v>0.50503249606710876</v>
      </c>
      <c r="L132" s="23">
        <f t="shared" si="41"/>
        <v>95372.661221892224</v>
      </c>
      <c r="M132" s="23">
        <f t="shared" si="33"/>
        <v>15.375081539465102</v>
      </c>
      <c r="N132" s="23">
        <f t="shared" si="34"/>
        <v>14.663624429223747</v>
      </c>
      <c r="O132" s="23">
        <f t="shared" si="42"/>
        <v>0.11647373710667082</v>
      </c>
      <c r="P132" s="23">
        <f t="shared" si="36"/>
        <v>1.7907932052212857E-2</v>
      </c>
    </row>
    <row r="133" spans="1:16" ht="13" x14ac:dyDescent="0.15">
      <c r="A133" s="3" t="s">
        <v>242</v>
      </c>
      <c r="B133" s="3">
        <v>29932083</v>
      </c>
      <c r="C133" s="5">
        <f>0.06743074*D1</f>
        <v>67430.740000000005</v>
      </c>
      <c r="E133" s="3">
        <v>0.255</v>
      </c>
      <c r="F133" s="3">
        <v>0.8</v>
      </c>
      <c r="G133" s="3">
        <v>1768</v>
      </c>
      <c r="H133" s="5">
        <f t="shared" si="28"/>
        <v>360.67200000000003</v>
      </c>
      <c r="I133" s="5">
        <f t="shared" si="39"/>
        <v>186958621683.96771</v>
      </c>
      <c r="J133" s="24">
        <f t="shared" si="40"/>
        <v>317829.65686274512</v>
      </c>
      <c r="K133" s="24">
        <f t="shared" si="31"/>
        <v>1.0618360802445495</v>
      </c>
      <c r="L133" s="24">
        <f t="shared" si="41"/>
        <v>47674.448529411762</v>
      </c>
      <c r="M133" s="5">
        <f t="shared" si="33"/>
        <v>16.146118721461185</v>
      </c>
      <c r="N133" s="5">
        <f t="shared" si="34"/>
        <v>7.6975730593607308</v>
      </c>
      <c r="O133" s="5">
        <f t="shared" si="42"/>
        <v>0.2571679712153922</v>
      </c>
      <c r="P133" s="5">
        <f t="shared" si="36"/>
        <v>4.152264594601035E-2</v>
      </c>
    </row>
    <row r="134" spans="1:16" ht="13" x14ac:dyDescent="0.15">
      <c r="A134" s="3" t="s">
        <v>229</v>
      </c>
      <c r="B134" s="3">
        <v>19612761</v>
      </c>
      <c r="C134" s="5">
        <f>0.01853822*D1</f>
        <v>18538.22</v>
      </c>
      <c r="E134" s="3">
        <v>0.255</v>
      </c>
      <c r="F134" s="3">
        <v>0.8</v>
      </c>
      <c r="G134" s="3">
        <v>1610</v>
      </c>
      <c r="H134" s="5">
        <f t="shared" si="28"/>
        <v>328.44</v>
      </c>
      <c r="I134" s="5">
        <f t="shared" si="39"/>
        <v>56443246863.962975</v>
      </c>
      <c r="J134" s="24">
        <f t="shared" si="40"/>
        <v>95953.519668737063</v>
      </c>
      <c r="K134" s="24">
        <f t="shared" si="31"/>
        <v>0.4892402434758526</v>
      </c>
      <c r="L134" s="24">
        <f t="shared" si="41"/>
        <v>14393.027950310558</v>
      </c>
      <c r="M134" s="5">
        <f t="shared" si="33"/>
        <v>14.703196347031966</v>
      </c>
      <c r="N134" s="5">
        <f t="shared" si="34"/>
        <v>2.1162351598173519</v>
      </c>
      <c r="O134" s="5">
        <f t="shared" si="42"/>
        <v>0.10790093041042777</v>
      </c>
      <c r="P134" s="5">
        <f t="shared" si="36"/>
        <v>1.5864885658519519E-2</v>
      </c>
    </row>
    <row r="135" spans="1:16" ht="13" x14ac:dyDescent="0.15">
      <c r="A135" s="3" t="s">
        <v>230</v>
      </c>
      <c r="B135" s="3">
        <v>8166759</v>
      </c>
      <c r="C135" s="5">
        <f>0.01438631*D1</f>
        <v>14386.31</v>
      </c>
      <c r="E135" s="3">
        <v>0.255</v>
      </c>
      <c r="F135" s="3">
        <v>0.8</v>
      </c>
      <c r="G135" s="3">
        <v>1177</v>
      </c>
      <c r="H135" s="5">
        <f t="shared" si="28"/>
        <v>240.108</v>
      </c>
      <c r="I135" s="5">
        <f t="shared" si="39"/>
        <v>59915996135.072548</v>
      </c>
      <c r="J135" s="24">
        <f t="shared" si="40"/>
        <v>101857.19342962332</v>
      </c>
      <c r="K135" s="24">
        <f t="shared" si="31"/>
        <v>1.2472168387682718</v>
      </c>
      <c r="L135" s="24">
        <f t="shared" si="41"/>
        <v>15278.5790144435</v>
      </c>
      <c r="M135" s="5">
        <f t="shared" si="33"/>
        <v>10.748858447488585</v>
      </c>
      <c r="N135" s="5">
        <f t="shared" si="34"/>
        <v>1.6422728310502281</v>
      </c>
      <c r="O135" s="5">
        <f t="shared" si="42"/>
        <v>0.20109235879866519</v>
      </c>
      <c r="P135" s="5">
        <f t="shared" si="36"/>
        <v>2.1615132995984377E-2</v>
      </c>
    </row>
    <row r="136" spans="1:16" ht="13" x14ac:dyDescent="0.15">
      <c r="A136" s="3" t="s">
        <v>231</v>
      </c>
      <c r="B136" s="3">
        <v>20559783</v>
      </c>
      <c r="C136" s="5">
        <f>0.00843175*D1</f>
        <v>8431.75</v>
      </c>
      <c r="E136" s="3">
        <v>0.255</v>
      </c>
      <c r="F136" s="3">
        <v>0.8</v>
      </c>
      <c r="G136" s="3">
        <v>1955</v>
      </c>
      <c r="H136" s="5">
        <f t="shared" si="28"/>
        <v>398.82000000000005</v>
      </c>
      <c r="I136" s="5">
        <f t="shared" si="39"/>
        <v>21141743142.269691</v>
      </c>
      <c r="J136" s="24">
        <f t="shared" si="40"/>
        <v>35940.963341858478</v>
      </c>
      <c r="K136" s="24">
        <f t="shared" si="31"/>
        <v>0.17481197803429382</v>
      </c>
      <c r="L136" s="24">
        <f t="shared" si="41"/>
        <v>5391.1445012787708</v>
      </c>
      <c r="M136" s="5">
        <f t="shared" si="33"/>
        <v>17.853881278538818</v>
      </c>
      <c r="N136" s="5">
        <f t="shared" si="34"/>
        <v>0.96252853881278544</v>
      </c>
      <c r="O136" s="5">
        <f t="shared" si="42"/>
        <v>4.6816084528362258E-2</v>
      </c>
      <c r="P136" s="5">
        <f t="shared" si="36"/>
        <v>8.358488150954177E-3</v>
      </c>
    </row>
    <row r="137" spans="1:16" ht="13" x14ac:dyDescent="0.15">
      <c r="A137" s="3" t="s">
        <v>232</v>
      </c>
      <c r="B137" s="3">
        <v>23115085</v>
      </c>
      <c r="C137" s="5">
        <f>0.00830382*D1</f>
        <v>8303.82</v>
      </c>
      <c r="E137" s="3">
        <v>0.255</v>
      </c>
      <c r="F137" s="3">
        <v>0.8</v>
      </c>
      <c r="G137" s="3">
        <v>2175</v>
      </c>
      <c r="H137" s="5">
        <f t="shared" si="28"/>
        <v>443.70000000000005</v>
      </c>
      <c r="I137" s="5">
        <f t="shared" si="39"/>
        <v>18714942528.73563</v>
      </c>
      <c r="J137" s="24">
        <f t="shared" si="40"/>
        <v>31815.402298850571</v>
      </c>
      <c r="K137" s="24">
        <f t="shared" si="31"/>
        <v>0.13763913175681841</v>
      </c>
      <c r="L137" s="24">
        <f t="shared" si="41"/>
        <v>4772.3103448275861</v>
      </c>
      <c r="M137" s="5">
        <f t="shared" si="33"/>
        <v>19.863013698630137</v>
      </c>
      <c r="N137" s="5">
        <f t="shared" si="34"/>
        <v>0.9479246575342466</v>
      </c>
      <c r="O137" s="5">
        <f t="shared" si="42"/>
        <v>4.1008919393298641E-2</v>
      </c>
      <c r="P137" s="5">
        <f t="shared" si="36"/>
        <v>8.1456072767511004E-3</v>
      </c>
    </row>
    <row r="138" spans="1:16" ht="13" x14ac:dyDescent="0.15">
      <c r="A138" s="3" t="s">
        <v>233</v>
      </c>
      <c r="B138" s="3">
        <v>22129898</v>
      </c>
      <c r="C138" s="5">
        <f>0.00798981*D1</f>
        <v>7989.81</v>
      </c>
      <c r="E138" s="3">
        <v>0.255</v>
      </c>
      <c r="F138" s="3">
        <v>0.8</v>
      </c>
      <c r="G138" s="3">
        <v>1133</v>
      </c>
      <c r="H138" s="5">
        <f t="shared" si="28"/>
        <v>231.13200000000001</v>
      </c>
      <c r="I138" s="5">
        <f t="shared" si="39"/>
        <v>34568168838.585739</v>
      </c>
      <c r="J138" s="24">
        <f t="shared" si="40"/>
        <v>58765.887025595759</v>
      </c>
      <c r="K138" s="24">
        <f t="shared" si="31"/>
        <v>0.26554974191745379</v>
      </c>
      <c r="L138" s="24">
        <f t="shared" si="41"/>
        <v>8814.8830538393631</v>
      </c>
      <c r="M138" s="5">
        <f t="shared" si="33"/>
        <v>10.347031963470322</v>
      </c>
      <c r="N138" s="5">
        <f t="shared" si="34"/>
        <v>0.91207876712328773</v>
      </c>
      <c r="O138" s="5">
        <f t="shared" si="42"/>
        <v>4.1214775012667827E-2</v>
      </c>
      <c r="P138" s="5">
        <f t="shared" si="36"/>
        <v>4.2645059442331197E-3</v>
      </c>
    </row>
    <row r="139" spans="1:16" ht="13" x14ac:dyDescent="0.15">
      <c r="A139" s="3" t="s">
        <v>234</v>
      </c>
      <c r="B139" s="3">
        <v>2380033</v>
      </c>
      <c r="C139" s="5">
        <f>0.00658258*D1</f>
        <v>6582.58</v>
      </c>
      <c r="E139" s="3">
        <v>0.255</v>
      </c>
      <c r="F139" s="3">
        <v>0.8</v>
      </c>
      <c r="G139" s="3">
        <v>1967</v>
      </c>
      <c r="H139" s="5">
        <f t="shared" si="28"/>
        <v>401.26800000000003</v>
      </c>
      <c r="I139" s="5">
        <f t="shared" si="39"/>
        <v>16404447900.156502</v>
      </c>
      <c r="J139" s="24">
        <f t="shared" si="40"/>
        <v>27887.561430266051</v>
      </c>
      <c r="K139" s="24">
        <f t="shared" si="31"/>
        <v>1.1717300319056942</v>
      </c>
      <c r="L139" s="24">
        <f t="shared" si="41"/>
        <v>4183.1342145399076</v>
      </c>
      <c r="M139" s="5">
        <f t="shared" si="33"/>
        <v>17.963470319634709</v>
      </c>
      <c r="N139" s="5">
        <f t="shared" si="34"/>
        <v>0.75143607305936078</v>
      </c>
      <c r="O139" s="5">
        <f t="shared" si="42"/>
        <v>0.31572506476143847</v>
      </c>
      <c r="P139" s="5">
        <f t="shared" si="36"/>
        <v>5.6715178300068461E-2</v>
      </c>
    </row>
    <row r="140" spans="1:16" ht="13" x14ac:dyDescent="0.15">
      <c r="A140" s="19" t="s">
        <v>243</v>
      </c>
      <c r="B140" s="19">
        <v>125896402</v>
      </c>
      <c r="C140" s="23">
        <f>SUM(C133:C139)</f>
        <v>131663.22999999998</v>
      </c>
      <c r="D140" s="23"/>
      <c r="E140" s="19">
        <v>0.255</v>
      </c>
      <c r="F140" s="19">
        <v>0.8</v>
      </c>
      <c r="G140" s="23">
        <f>SUM(G133:G139)/7</f>
        <v>1683.5714285714287</v>
      </c>
      <c r="H140" s="23">
        <f t="shared" si="28"/>
        <v>343.44857142857148</v>
      </c>
      <c r="I140" s="23">
        <f t="shared" si="39"/>
        <v>383356464265.80804</v>
      </c>
      <c r="J140" s="23">
        <f t="shared" si="40"/>
        <v>651705.98925187369</v>
      </c>
      <c r="K140" s="23">
        <f t="shared" si="31"/>
        <v>0.51765259284524567</v>
      </c>
      <c r="L140" s="23">
        <f t="shared" si="41"/>
        <v>97755.898387781053</v>
      </c>
      <c r="M140" s="23">
        <f t="shared" si="33"/>
        <v>15.375081539465105</v>
      </c>
      <c r="N140" s="23">
        <f t="shared" si="34"/>
        <v>15.030049086757989</v>
      </c>
      <c r="O140" s="23">
        <f t="shared" si="42"/>
        <v>0.11938426236166771</v>
      </c>
      <c r="P140" s="23">
        <f t="shared" si="36"/>
        <v>1.8355427683395362E-2</v>
      </c>
    </row>
    <row r="141" spans="1:16" ht="13" x14ac:dyDescent="0.15">
      <c r="A141" s="3" t="s">
        <v>244</v>
      </c>
      <c r="B141" s="3">
        <v>29932083</v>
      </c>
      <c r="C141" s="5">
        <f>0.07029172*D1</f>
        <v>70291.72</v>
      </c>
      <c r="E141" s="3">
        <v>0.255</v>
      </c>
      <c r="F141" s="3">
        <v>0.8</v>
      </c>
      <c r="G141" s="3">
        <v>1768</v>
      </c>
      <c r="H141" s="5">
        <f t="shared" si="28"/>
        <v>360.67200000000003</v>
      </c>
      <c r="I141" s="5">
        <f t="shared" si="39"/>
        <v>194890981279.38956</v>
      </c>
      <c r="J141" s="24">
        <f t="shared" si="40"/>
        <v>331314.66817496222</v>
      </c>
      <c r="K141" s="24">
        <f t="shared" si="31"/>
        <v>1.1068881112449214</v>
      </c>
      <c r="L141" s="24">
        <f t="shared" si="41"/>
        <v>49697.200226244335</v>
      </c>
      <c r="M141" s="5">
        <f t="shared" si="33"/>
        <v>16.146118721461193</v>
      </c>
      <c r="N141" s="5">
        <f t="shared" si="34"/>
        <v>8.0241689497716902</v>
      </c>
      <c r="O141" s="5">
        <f t="shared" si="42"/>
        <v>0.26807920283301667</v>
      </c>
      <c r="P141" s="5">
        <f t="shared" si="36"/>
        <v>4.3284386356965632E-2</v>
      </c>
    </row>
    <row r="142" spans="1:16" ht="13" x14ac:dyDescent="0.15">
      <c r="A142" s="3" t="s">
        <v>229</v>
      </c>
      <c r="B142" s="3">
        <v>19612761</v>
      </c>
      <c r="C142" s="5">
        <f>0.01848007*D1</f>
        <v>18480.07</v>
      </c>
      <c r="E142" s="3">
        <v>0.255</v>
      </c>
      <c r="F142" s="3">
        <v>0.8</v>
      </c>
      <c r="G142" s="3">
        <v>1610</v>
      </c>
      <c r="H142" s="5">
        <f t="shared" si="28"/>
        <v>328.44</v>
      </c>
      <c r="I142" s="5">
        <f t="shared" si="39"/>
        <v>56266197783.461212</v>
      </c>
      <c r="J142" s="24">
        <f t="shared" si="40"/>
        <v>95652.536231884063</v>
      </c>
      <c r="K142" s="24">
        <f t="shared" si="31"/>
        <v>0.48770561285014413</v>
      </c>
      <c r="L142" s="24">
        <f t="shared" si="41"/>
        <v>14347.88043478261</v>
      </c>
      <c r="M142" s="5">
        <f t="shared" si="33"/>
        <v>14.703196347031962</v>
      </c>
      <c r="N142" s="5">
        <f t="shared" si="34"/>
        <v>2.1095970319634705</v>
      </c>
      <c r="O142" s="5">
        <f t="shared" si="42"/>
        <v>0.10756247077927837</v>
      </c>
      <c r="P142" s="5">
        <f t="shared" si="36"/>
        <v>1.5815121274396181E-2</v>
      </c>
    </row>
    <row r="143" spans="1:16" ht="13" x14ac:dyDescent="0.15">
      <c r="A143" s="3" t="s">
        <v>230</v>
      </c>
      <c r="B143" s="3">
        <v>8166759</v>
      </c>
      <c r="C143" s="5">
        <f>0.01420023*D1</f>
        <v>14200.23</v>
      </c>
      <c r="E143" s="3">
        <v>0.255</v>
      </c>
      <c r="F143" s="3">
        <v>0.8</v>
      </c>
      <c r="G143" s="3">
        <v>1177</v>
      </c>
      <c r="H143" s="5">
        <f t="shared" si="28"/>
        <v>240.108</v>
      </c>
      <c r="I143" s="5">
        <f t="shared" si="39"/>
        <v>59141011544.80484</v>
      </c>
      <c r="J143" s="24">
        <f t="shared" si="40"/>
        <v>100539.71962616823</v>
      </c>
      <c r="K143" s="24">
        <f t="shared" si="31"/>
        <v>1.2310846888731286</v>
      </c>
      <c r="L143" s="24">
        <f t="shared" si="41"/>
        <v>15080.957943925234</v>
      </c>
      <c r="M143" s="5">
        <f t="shared" si="33"/>
        <v>10.748858447488583</v>
      </c>
      <c r="N143" s="5">
        <f t="shared" si="34"/>
        <v>1.6210308219178082</v>
      </c>
      <c r="O143" s="5">
        <f t="shared" si="42"/>
        <v>0.19849132586351678</v>
      </c>
      <c r="P143" s="5">
        <f t="shared" si="36"/>
        <v>2.1335551647612715E-2</v>
      </c>
    </row>
    <row r="144" spans="1:16" ht="13" x14ac:dyDescent="0.15">
      <c r="A144" s="3" t="s">
        <v>231</v>
      </c>
      <c r="B144" s="3">
        <v>20559783</v>
      </c>
      <c r="C144" s="5">
        <f>0.00873413*D1</f>
        <v>8734.1299999999992</v>
      </c>
      <c r="E144" s="3">
        <v>0.255</v>
      </c>
      <c r="F144" s="3">
        <v>0.8</v>
      </c>
      <c r="G144" s="3">
        <v>1955</v>
      </c>
      <c r="H144" s="5">
        <f t="shared" si="28"/>
        <v>398.82000000000005</v>
      </c>
      <c r="I144" s="5">
        <f t="shared" si="39"/>
        <v>21899929792.889019</v>
      </c>
      <c r="J144" s="24">
        <f t="shared" si="40"/>
        <v>37229.880647911334</v>
      </c>
      <c r="K144" s="24">
        <f t="shared" si="31"/>
        <v>0.18108109724655819</v>
      </c>
      <c r="L144" s="24">
        <f t="shared" si="41"/>
        <v>5584.4820971866993</v>
      </c>
      <c r="M144" s="5">
        <f t="shared" si="33"/>
        <v>17.853881278538815</v>
      </c>
      <c r="N144" s="5">
        <f t="shared" si="34"/>
        <v>0.99704680365296794</v>
      </c>
      <c r="O144" s="5">
        <f t="shared" si="42"/>
        <v>4.8495006180413865E-2</v>
      </c>
      <c r="P144" s="5">
        <f t="shared" si="36"/>
        <v>8.6582408294711526E-3</v>
      </c>
    </row>
    <row r="145" spans="1:16" ht="13" x14ac:dyDescent="0.15">
      <c r="A145" s="3" t="s">
        <v>232</v>
      </c>
      <c r="B145" s="3">
        <v>23115085</v>
      </c>
      <c r="C145" s="5">
        <f>0.00886206*D1</f>
        <v>8862.06</v>
      </c>
      <c r="E145" s="3">
        <v>0.255</v>
      </c>
      <c r="F145" s="3">
        <v>0.8</v>
      </c>
      <c r="G145" s="3">
        <v>2175</v>
      </c>
      <c r="H145" s="5">
        <f t="shared" si="28"/>
        <v>443.70000000000005</v>
      </c>
      <c r="I145" s="5">
        <f t="shared" si="39"/>
        <v>19973089925.62542</v>
      </c>
      <c r="J145" s="24">
        <f t="shared" si="40"/>
        <v>33954.252873563215</v>
      </c>
      <c r="K145" s="24">
        <f t="shared" si="31"/>
        <v>0.14689218263122639</v>
      </c>
      <c r="L145" s="24">
        <f t="shared" si="41"/>
        <v>5093.1379310344819</v>
      </c>
      <c r="M145" s="5">
        <f t="shared" si="33"/>
        <v>19.863013698630141</v>
      </c>
      <c r="N145" s="5">
        <f t="shared" si="34"/>
        <v>1.0116506849315068</v>
      </c>
      <c r="O145" s="5">
        <f t="shared" si="42"/>
        <v>4.3765821537385945E-2</v>
      </c>
      <c r="P145" s="5">
        <f t="shared" si="36"/>
        <v>8.6932111272889911E-3</v>
      </c>
    </row>
    <row r="146" spans="1:16" ht="13" x14ac:dyDescent="0.15">
      <c r="A146" s="3" t="s">
        <v>233</v>
      </c>
      <c r="B146" s="3">
        <v>22129898</v>
      </c>
      <c r="C146" s="5">
        <f>0.00804796*D1</f>
        <v>8047.96</v>
      </c>
      <c r="E146" s="3">
        <v>0.255</v>
      </c>
      <c r="F146" s="3">
        <v>0.8</v>
      </c>
      <c r="G146" s="3">
        <v>1133</v>
      </c>
      <c r="H146" s="5">
        <f t="shared" si="28"/>
        <v>231.13200000000001</v>
      </c>
      <c r="I146" s="5">
        <f t="shared" si="39"/>
        <v>34819756675.838913</v>
      </c>
      <c r="J146" s="24">
        <f t="shared" si="40"/>
        <v>59193.586348926146</v>
      </c>
      <c r="K146" s="24">
        <f t="shared" si="31"/>
        <v>0.26748241835062297</v>
      </c>
      <c r="L146" s="24">
        <f t="shared" si="41"/>
        <v>8879.037952338922</v>
      </c>
      <c r="M146" s="5">
        <f t="shared" si="33"/>
        <v>10.347031963470323</v>
      </c>
      <c r="N146" s="5">
        <f t="shared" si="34"/>
        <v>0.91871689497716891</v>
      </c>
      <c r="O146" s="5">
        <f t="shared" si="42"/>
        <v>4.1514736985103544E-2</v>
      </c>
      <c r="P146" s="5">
        <f t="shared" si="36"/>
        <v>4.2955431053993002E-3</v>
      </c>
    </row>
    <row r="147" spans="1:16" ht="13" x14ac:dyDescent="0.15">
      <c r="A147" s="3" t="s">
        <v>234</v>
      </c>
      <c r="B147" s="3">
        <v>2380033</v>
      </c>
      <c r="C147" s="5">
        <f>0.00685007*D1</f>
        <v>6850.07</v>
      </c>
      <c r="E147" s="3">
        <v>0.255</v>
      </c>
      <c r="F147" s="3">
        <v>0.8</v>
      </c>
      <c r="G147" s="3">
        <v>1967</v>
      </c>
      <c r="H147" s="5">
        <f t="shared" si="28"/>
        <v>401.26800000000003</v>
      </c>
      <c r="I147" s="5">
        <f t="shared" si="39"/>
        <v>17071059740.622227</v>
      </c>
      <c r="J147" s="24">
        <f t="shared" si="40"/>
        <v>29020.801559057785</v>
      </c>
      <c r="K147" s="24">
        <f t="shared" si="31"/>
        <v>1.2193445031668799</v>
      </c>
      <c r="L147" s="24">
        <f t="shared" si="41"/>
        <v>4353.1202338586681</v>
      </c>
      <c r="M147" s="5">
        <f t="shared" si="33"/>
        <v>17.963470319634702</v>
      </c>
      <c r="N147" s="5">
        <f t="shared" si="34"/>
        <v>0.78197146118721461</v>
      </c>
      <c r="O147" s="5">
        <f t="shared" si="42"/>
        <v>0.32855488188071957</v>
      </c>
      <c r="P147" s="5">
        <f t="shared" si="36"/>
        <v>5.9019858690353907E-2</v>
      </c>
    </row>
    <row r="148" spans="1:16" ht="13" x14ac:dyDescent="0.15">
      <c r="A148" s="19" t="s">
        <v>245</v>
      </c>
      <c r="B148" s="19">
        <v>125896402</v>
      </c>
      <c r="C148" s="23">
        <f>SUM(C141:C147)</f>
        <v>135466.24000000002</v>
      </c>
      <c r="D148" s="23"/>
      <c r="E148" s="19">
        <v>0.255</v>
      </c>
      <c r="F148" s="19">
        <v>0.8</v>
      </c>
      <c r="G148" s="23">
        <f>SUM(G141:G147)/7</f>
        <v>1683.5714285714287</v>
      </c>
      <c r="H148" s="23">
        <f t="shared" si="28"/>
        <v>343.44857142857148</v>
      </c>
      <c r="I148" s="23">
        <f t="shared" si="39"/>
        <v>394429475820.87561</v>
      </c>
      <c r="J148" s="23">
        <f t="shared" si="40"/>
        <v>670530.10889548855</v>
      </c>
      <c r="K148" s="23">
        <f t="shared" si="31"/>
        <v>0.5326046640280383</v>
      </c>
      <c r="L148" s="23">
        <f t="shared" si="41"/>
        <v>100579.51633432329</v>
      </c>
      <c r="M148" s="23">
        <f t="shared" si="33"/>
        <v>15.375081539465107</v>
      </c>
      <c r="N148" s="23">
        <f t="shared" si="34"/>
        <v>15.464182648401829</v>
      </c>
      <c r="O148" s="5">
        <f t="shared" si="42"/>
        <v>0.12283260206595761</v>
      </c>
      <c r="P148" s="23">
        <f t="shared" si="36"/>
        <v>1.8885612724687684E-2</v>
      </c>
    </row>
    <row r="149" spans="1:16" ht="13" x14ac:dyDescent="0.15">
      <c r="A149" s="3" t="s">
        <v>246</v>
      </c>
      <c r="B149" s="3">
        <v>29932083</v>
      </c>
      <c r="C149" s="5">
        <f>0.07272239*D1</f>
        <v>72722.39</v>
      </c>
      <c r="E149" s="3">
        <v>0.255</v>
      </c>
      <c r="F149" s="3">
        <v>0.8</v>
      </c>
      <c r="G149" s="3">
        <v>1768</v>
      </c>
      <c r="H149" s="5">
        <f t="shared" si="28"/>
        <v>360.67200000000003</v>
      </c>
      <c r="I149" s="5">
        <f t="shared" si="39"/>
        <v>201630262399.07727</v>
      </c>
      <c r="J149" s="24">
        <f t="shared" si="40"/>
        <v>342771.44607843133</v>
      </c>
      <c r="K149" s="24">
        <f t="shared" si="31"/>
        <v>1.145164023761498</v>
      </c>
      <c r="L149" s="24">
        <f t="shared" si="41"/>
        <v>51415.716911764699</v>
      </c>
      <c r="M149" s="5">
        <f t="shared" si="33"/>
        <v>16.146118721461193</v>
      </c>
      <c r="N149" s="5">
        <f t="shared" si="34"/>
        <v>8.3016426940639274</v>
      </c>
      <c r="O149" s="5">
        <f t="shared" si="42"/>
        <v>0.27734931424799031</v>
      </c>
      <c r="P149" s="5">
        <f t="shared" si="36"/>
        <v>4.4781149551638998E-2</v>
      </c>
    </row>
    <row r="150" spans="1:16" ht="13" x14ac:dyDescent="0.15">
      <c r="A150" s="3" t="s">
        <v>229</v>
      </c>
      <c r="B150" s="3">
        <v>19612761</v>
      </c>
      <c r="C150" s="5">
        <f>0.01843355*D1</f>
        <v>18433.55</v>
      </c>
      <c r="E150" s="3">
        <v>0.255</v>
      </c>
      <c r="F150" s="3">
        <v>0.8</v>
      </c>
      <c r="G150" s="3">
        <v>1610</v>
      </c>
      <c r="H150" s="5">
        <f t="shared" si="28"/>
        <v>328.44</v>
      </c>
      <c r="I150" s="5">
        <f t="shared" si="39"/>
        <v>56124558519.059799</v>
      </c>
      <c r="J150" s="24">
        <f t="shared" si="40"/>
        <v>95411.749482401661</v>
      </c>
      <c r="K150" s="24">
        <f t="shared" si="31"/>
        <v>0.48647790834957744</v>
      </c>
      <c r="L150" s="24">
        <f t="shared" si="41"/>
        <v>14311.762422360249</v>
      </c>
      <c r="M150" s="5">
        <f t="shared" si="33"/>
        <v>14.703196347031962</v>
      </c>
      <c r="N150" s="5">
        <f t="shared" si="34"/>
        <v>2.104286529680365</v>
      </c>
      <c r="O150" s="5">
        <f t="shared" si="42"/>
        <v>0.10729170307435883</v>
      </c>
      <c r="P150" s="5">
        <f t="shared" si="36"/>
        <v>1.5775309767097508E-2</v>
      </c>
    </row>
    <row r="151" spans="1:16" ht="13" x14ac:dyDescent="0.15">
      <c r="A151" s="3" t="s">
        <v>230</v>
      </c>
      <c r="B151" s="3">
        <v>8166759</v>
      </c>
      <c r="C151" s="5">
        <f>0.01399089*D1</f>
        <v>13990.890000000001</v>
      </c>
      <c r="E151" s="3">
        <v>0.255</v>
      </c>
      <c r="F151" s="3">
        <v>0.8</v>
      </c>
      <c r="G151" s="3">
        <v>1177</v>
      </c>
      <c r="H151" s="5">
        <f t="shared" si="28"/>
        <v>240.108</v>
      </c>
      <c r="I151" s="5">
        <f t="shared" si="39"/>
        <v>58269153880.75367</v>
      </c>
      <c r="J151" s="24">
        <f t="shared" si="40"/>
        <v>99057.561597281237</v>
      </c>
      <c r="K151" s="24">
        <f t="shared" si="31"/>
        <v>1.2129360202410924</v>
      </c>
      <c r="L151" s="24">
        <f t="shared" si="41"/>
        <v>14858.634239592186</v>
      </c>
      <c r="M151" s="5">
        <f t="shared" si="33"/>
        <v>10.748858447488585</v>
      </c>
      <c r="N151" s="5">
        <f t="shared" si="34"/>
        <v>1.5971335616438358</v>
      </c>
      <c r="O151" s="5">
        <f t="shared" si="42"/>
        <v>0.19556516381147473</v>
      </c>
      <c r="P151" s="5">
        <f t="shared" si="36"/>
        <v>2.1021022630694591E-2</v>
      </c>
    </row>
    <row r="152" spans="1:16" ht="13" x14ac:dyDescent="0.15">
      <c r="A152" s="3" t="s">
        <v>231</v>
      </c>
      <c r="B152" s="3">
        <v>20559783</v>
      </c>
      <c r="C152" s="5">
        <f>0.00908303*D1</f>
        <v>9083.0300000000007</v>
      </c>
      <c r="E152" s="3">
        <v>0.255</v>
      </c>
      <c r="F152" s="3">
        <v>0.8</v>
      </c>
      <c r="G152" s="3">
        <v>1955</v>
      </c>
      <c r="H152" s="5">
        <f t="shared" si="28"/>
        <v>398.82000000000005</v>
      </c>
      <c r="I152" s="5">
        <f t="shared" si="39"/>
        <v>22774760543.603626</v>
      </c>
      <c r="J152" s="24">
        <f t="shared" si="40"/>
        <v>38717.092924126169</v>
      </c>
      <c r="K152" s="24">
        <f t="shared" si="31"/>
        <v>0.1883146963376324</v>
      </c>
      <c r="L152" s="24">
        <f t="shared" si="41"/>
        <v>5807.563938618925</v>
      </c>
      <c r="M152" s="5">
        <f t="shared" si="33"/>
        <v>17.853881278538818</v>
      </c>
      <c r="N152" s="5">
        <f t="shared" si="34"/>
        <v>1.0368755707762558</v>
      </c>
      <c r="O152" s="5">
        <f t="shared" si="42"/>
        <v>5.0432223471242661E-2</v>
      </c>
      <c r="P152" s="5">
        <f t="shared" si="36"/>
        <v>9.0041093046830528E-3</v>
      </c>
    </row>
    <row r="153" spans="1:16" ht="13" x14ac:dyDescent="0.15">
      <c r="A153" s="3" t="s">
        <v>232</v>
      </c>
      <c r="B153" s="3">
        <v>23115085</v>
      </c>
      <c r="C153" s="5">
        <f>0.00947845*D1</f>
        <v>9478.4499999999989</v>
      </c>
      <c r="E153" s="3">
        <v>0.255</v>
      </c>
      <c r="F153" s="3">
        <v>0.8</v>
      </c>
      <c r="G153" s="3">
        <v>2175</v>
      </c>
      <c r="H153" s="5">
        <f t="shared" si="28"/>
        <v>443.70000000000005</v>
      </c>
      <c r="I153" s="5">
        <f t="shared" si="39"/>
        <v>21362294343.024559</v>
      </c>
      <c r="J153" s="24">
        <f t="shared" si="40"/>
        <v>36315.900383141743</v>
      </c>
      <c r="K153" s="24">
        <f t="shared" si="31"/>
        <v>0.15710909297171843</v>
      </c>
      <c r="L153" s="24">
        <f t="shared" si="41"/>
        <v>5447.3850574712624</v>
      </c>
      <c r="M153" s="5">
        <f t="shared" si="33"/>
        <v>19.863013698630141</v>
      </c>
      <c r="N153" s="5">
        <f t="shared" si="34"/>
        <v>1.0820148401826484</v>
      </c>
      <c r="O153" s="5">
        <f t="shared" si="42"/>
        <v>4.6809900988149009E-2</v>
      </c>
      <c r="P153" s="5">
        <f t="shared" si="36"/>
        <v>9.297857045591244E-3</v>
      </c>
    </row>
    <row r="154" spans="1:16" ht="13" x14ac:dyDescent="0.15">
      <c r="A154" s="3" t="s">
        <v>233</v>
      </c>
      <c r="B154" s="3">
        <v>22129898</v>
      </c>
      <c r="C154" s="5">
        <f>0.00824567*D1</f>
        <v>8245.67</v>
      </c>
      <c r="E154" s="3">
        <v>0.255</v>
      </c>
      <c r="F154" s="3">
        <v>0.8</v>
      </c>
      <c r="G154" s="3">
        <v>1133</v>
      </c>
      <c r="H154" s="5">
        <f t="shared" si="28"/>
        <v>231.13200000000001</v>
      </c>
      <c r="I154" s="5">
        <f t="shared" si="39"/>
        <v>35675155322.499695</v>
      </c>
      <c r="J154" s="24">
        <f t="shared" si="40"/>
        <v>60647.764048249483</v>
      </c>
      <c r="K154" s="24">
        <f t="shared" si="31"/>
        <v>0.27405351822339841</v>
      </c>
      <c r="L154" s="24">
        <f t="shared" si="41"/>
        <v>9097.1646072374224</v>
      </c>
      <c r="M154" s="5">
        <f t="shared" si="33"/>
        <v>10.34703196347032</v>
      </c>
      <c r="N154" s="5">
        <f t="shared" si="34"/>
        <v>0.9412865296803653</v>
      </c>
      <c r="O154" s="5">
        <f t="shared" si="42"/>
        <v>4.2534607691384993E-2</v>
      </c>
      <c r="P154" s="5">
        <f t="shared" si="36"/>
        <v>4.4010694533643101E-3</v>
      </c>
    </row>
    <row r="155" spans="1:16" ht="13" x14ac:dyDescent="0.15">
      <c r="A155" s="3" t="s">
        <v>234</v>
      </c>
      <c r="B155" s="3">
        <v>2380033</v>
      </c>
      <c r="C155" s="5">
        <f>0.00726875*D1</f>
        <v>7268.75</v>
      </c>
      <c r="E155" s="3">
        <v>0.255</v>
      </c>
      <c r="F155" s="3">
        <v>0.8</v>
      </c>
      <c r="G155" s="3">
        <v>1967</v>
      </c>
      <c r="H155" s="5">
        <f t="shared" si="28"/>
        <v>401.26800000000003</v>
      </c>
      <c r="I155" s="5">
        <f t="shared" si="39"/>
        <v>18114452186.568577</v>
      </c>
      <c r="J155" s="24">
        <f t="shared" si="40"/>
        <v>30794.568717166581</v>
      </c>
      <c r="K155" s="24">
        <f t="shared" si="31"/>
        <v>1.2938715016626485</v>
      </c>
      <c r="L155" s="24">
        <f t="shared" si="41"/>
        <v>4619.1853075749868</v>
      </c>
      <c r="M155" s="5">
        <f t="shared" si="33"/>
        <v>17.963470319634705</v>
      </c>
      <c r="N155" s="5">
        <f t="shared" si="34"/>
        <v>0.82976598173515981</v>
      </c>
      <c r="O155" s="5">
        <f t="shared" si="42"/>
        <v>0.34863633476307254</v>
      </c>
      <c r="P155" s="5">
        <f t="shared" si="36"/>
        <v>6.2627184518626824E-2</v>
      </c>
    </row>
    <row r="156" spans="1:16" ht="13" x14ac:dyDescent="0.15">
      <c r="A156" s="19" t="s">
        <v>247</v>
      </c>
      <c r="B156" s="19">
        <v>125896402</v>
      </c>
      <c r="C156" s="23">
        <f>SUM(C149:C155)</f>
        <v>139222.73000000001</v>
      </c>
      <c r="D156" s="23"/>
      <c r="E156" s="19">
        <v>0.255</v>
      </c>
      <c r="F156" s="19">
        <v>0.8</v>
      </c>
      <c r="G156" s="23">
        <f>SUM(G149:G155)/7</f>
        <v>1683.5714285714287</v>
      </c>
      <c r="H156" s="23">
        <f t="shared" si="28"/>
        <v>343.44857142857148</v>
      </c>
      <c r="I156" s="23">
        <f t="shared" si="39"/>
        <v>405367037693.31238</v>
      </c>
      <c r="J156" s="23">
        <f t="shared" si="40"/>
        <v>689123.96407863102</v>
      </c>
      <c r="K156" s="23">
        <f t="shared" si="31"/>
        <v>0.5473738352575247</v>
      </c>
      <c r="L156" s="23">
        <f t="shared" si="41"/>
        <v>103368.59461179466</v>
      </c>
      <c r="M156" s="23">
        <f t="shared" si="33"/>
        <v>15.375081539465102</v>
      </c>
      <c r="N156" s="23">
        <f t="shared" si="34"/>
        <v>15.893005707762558</v>
      </c>
      <c r="O156" s="5">
        <f t="shared" si="42"/>
        <v>0.1262387602448127</v>
      </c>
      <c r="P156" s="23">
        <f t="shared" si="36"/>
        <v>1.9409312322049808E-2</v>
      </c>
    </row>
    <row r="157" spans="1:16" ht="14" x14ac:dyDescent="0.15">
      <c r="A157" s="3" t="s">
        <v>66</v>
      </c>
      <c r="B157" s="25">
        <v>9388211</v>
      </c>
      <c r="C157" s="5">
        <f t="shared" ref="C157:C172" si="43">C175*D175</f>
        <v>5920</v>
      </c>
      <c r="D157" s="3">
        <v>5920000</v>
      </c>
      <c r="E157" s="3">
        <v>0.255</v>
      </c>
      <c r="F157" s="3">
        <v>0.8</v>
      </c>
      <c r="G157" s="3">
        <v>1564.0250000000001</v>
      </c>
      <c r="H157" s="5">
        <f t="shared" si="28"/>
        <v>319.06110000000007</v>
      </c>
      <c r="I157" s="5">
        <f t="shared" ref="I157:I172" si="44">(C175*10^9)/H157</f>
        <v>18554439886278.832</v>
      </c>
      <c r="J157" s="24">
        <f t="shared" si="40"/>
        <v>31542547.806674011</v>
      </c>
      <c r="K157" s="24">
        <f t="shared" si="31"/>
        <v>335.98038866695703</v>
      </c>
      <c r="L157" s="24">
        <f t="shared" si="41"/>
        <v>4731382.1710011028</v>
      </c>
      <c r="M157" s="24">
        <f t="shared" ref="M157:M172" si="45">C175*10^3/(L157*365*24)*100</f>
        <v>14.283333333333333</v>
      </c>
      <c r="N157" s="5">
        <f t="shared" si="34"/>
        <v>0.67579908675799083</v>
      </c>
      <c r="O157" s="5">
        <f t="shared" si="42"/>
        <v>7.1983798271895549E-2</v>
      </c>
      <c r="P157" s="5">
        <f t="shared" si="36"/>
        <v>1.0281685853169081E-2</v>
      </c>
    </row>
    <row r="158" spans="1:16" ht="13" x14ac:dyDescent="0.15">
      <c r="A158" s="3" t="s">
        <v>106</v>
      </c>
      <c r="B158" s="3">
        <v>9147420</v>
      </c>
      <c r="C158" s="5">
        <f t="shared" si="43"/>
        <v>3913</v>
      </c>
      <c r="D158" s="3">
        <v>3913000</v>
      </c>
      <c r="E158" s="3">
        <v>0.255</v>
      </c>
      <c r="F158" s="3">
        <v>0.8</v>
      </c>
      <c r="G158" s="3">
        <v>1516.575</v>
      </c>
      <c r="H158" s="5">
        <f t="shared" si="28"/>
        <v>309.38130000000001</v>
      </c>
      <c r="I158" s="5">
        <f t="shared" si="44"/>
        <v>12647823252407.305</v>
      </c>
      <c r="J158" s="24">
        <f t="shared" si="40"/>
        <v>21501299.529092416</v>
      </c>
      <c r="K158" s="24">
        <f t="shared" si="31"/>
        <v>235.05315738309181</v>
      </c>
      <c r="L158" s="24">
        <f t="shared" si="41"/>
        <v>3225194.9293638626</v>
      </c>
      <c r="M158" s="24">
        <f t="shared" si="45"/>
        <v>13.849999999999998</v>
      </c>
      <c r="N158" s="5">
        <f t="shared" si="34"/>
        <v>0.44668949771689498</v>
      </c>
      <c r="O158" s="5">
        <f t="shared" si="42"/>
        <v>4.883229344633732E-2</v>
      </c>
      <c r="P158" s="5">
        <f t="shared" si="36"/>
        <v>6.763272642317718E-3</v>
      </c>
    </row>
    <row r="159" spans="1:16" ht="13" x14ac:dyDescent="0.15">
      <c r="A159" s="3" t="s">
        <v>97</v>
      </c>
      <c r="B159" s="3">
        <v>16376870</v>
      </c>
      <c r="C159" s="5">
        <f t="shared" si="43"/>
        <v>1065</v>
      </c>
      <c r="D159" s="3">
        <v>1065000</v>
      </c>
      <c r="E159" s="3">
        <v>0.255</v>
      </c>
      <c r="F159" s="3">
        <v>0.8</v>
      </c>
      <c r="G159" s="3">
        <v>1178.95</v>
      </c>
      <c r="H159" s="5">
        <f t="shared" si="28"/>
        <v>240.50580000000002</v>
      </c>
      <c r="I159" s="5">
        <f t="shared" si="44"/>
        <v>4428167636705.6426</v>
      </c>
      <c r="J159" s="24">
        <f t="shared" si="40"/>
        <v>7527884.9823995922</v>
      </c>
      <c r="K159" s="24">
        <f t="shared" si="31"/>
        <v>45.966567374593509</v>
      </c>
      <c r="L159" s="24">
        <f t="shared" si="41"/>
        <v>1129182.7473599389</v>
      </c>
      <c r="M159" s="24">
        <f t="shared" si="45"/>
        <v>10.766666666666666</v>
      </c>
      <c r="N159" s="5">
        <f t="shared" si="34"/>
        <v>0.12157534246575342</v>
      </c>
      <c r="O159" s="5">
        <f t="shared" si="42"/>
        <v>7.4236006309968518E-3</v>
      </c>
      <c r="P159" s="5">
        <f t="shared" si="36"/>
        <v>7.9927433460399435E-4</v>
      </c>
    </row>
    <row r="160" spans="1:16" ht="13" x14ac:dyDescent="0.15">
      <c r="A160" s="3" t="s">
        <v>84</v>
      </c>
      <c r="B160" s="3">
        <v>2973190</v>
      </c>
      <c r="C160" s="5">
        <f t="shared" si="43"/>
        <v>1001.191</v>
      </c>
      <c r="D160" s="3">
        <v>1001191</v>
      </c>
      <c r="E160" s="3">
        <v>0.255</v>
      </c>
      <c r="F160" s="3">
        <v>0.8</v>
      </c>
      <c r="G160" s="3">
        <v>1717.325</v>
      </c>
      <c r="H160" s="5">
        <f t="shared" si="28"/>
        <v>350.33430000000004</v>
      </c>
      <c r="I160" s="5">
        <f t="shared" si="44"/>
        <v>2857816091658.7383</v>
      </c>
      <c r="J160" s="24">
        <f t="shared" si="40"/>
        <v>4858287.3558198549</v>
      </c>
      <c r="K160" s="24">
        <f t="shared" si="31"/>
        <v>163.40319171730883</v>
      </c>
      <c r="L160" s="24">
        <f t="shared" si="41"/>
        <v>728743.10337297828</v>
      </c>
      <c r="M160" s="24">
        <f t="shared" si="45"/>
        <v>15.683333333333335</v>
      </c>
      <c r="N160" s="5">
        <f t="shared" si="34"/>
        <v>0.1142912100456621</v>
      </c>
      <c r="O160" s="5">
        <f t="shared" si="42"/>
        <v>3.8440600851496913E-2</v>
      </c>
      <c r="P160" s="5">
        <f t="shared" si="36"/>
        <v>6.0287675668764329E-3</v>
      </c>
    </row>
    <row r="161" spans="1:16" ht="13" x14ac:dyDescent="0.15">
      <c r="A161" s="3" t="s">
        <v>88</v>
      </c>
      <c r="B161" s="3">
        <v>377975</v>
      </c>
      <c r="C161" s="5">
        <f t="shared" si="43"/>
        <v>934</v>
      </c>
      <c r="D161" s="3">
        <v>934000</v>
      </c>
      <c r="E161" s="3">
        <v>0.255</v>
      </c>
      <c r="F161" s="3">
        <v>0.8</v>
      </c>
      <c r="G161" s="3">
        <v>1315.825</v>
      </c>
      <c r="H161" s="5">
        <f t="shared" si="28"/>
        <v>268.42830000000004</v>
      </c>
      <c r="I161" s="5">
        <f t="shared" si="44"/>
        <v>3479513896262.0552</v>
      </c>
      <c r="J161" s="24">
        <f t="shared" si="40"/>
        <v>5915173.6236454928</v>
      </c>
      <c r="K161" s="24">
        <f t="shared" si="31"/>
        <v>1564.9642499227443</v>
      </c>
      <c r="L161" s="24">
        <f t="shared" si="41"/>
        <v>887276.04354682402</v>
      </c>
      <c r="M161" s="24">
        <f t="shared" si="45"/>
        <v>12.016666666666669</v>
      </c>
      <c r="N161" s="5">
        <f t="shared" si="34"/>
        <v>0.10662100456621004</v>
      </c>
      <c r="O161" s="5">
        <f t="shared" si="42"/>
        <v>0.28208480604857472</v>
      </c>
      <c r="P161" s="5">
        <f t="shared" si="36"/>
        <v>3.3897190860170401E-2</v>
      </c>
    </row>
    <row r="162" spans="1:16" ht="13" x14ac:dyDescent="0.15">
      <c r="A162" s="3" t="s">
        <v>79</v>
      </c>
      <c r="B162" s="3">
        <v>357386</v>
      </c>
      <c r="C162" s="5">
        <f t="shared" si="43"/>
        <v>533</v>
      </c>
      <c r="D162" s="3">
        <v>533000</v>
      </c>
      <c r="E162" s="3">
        <v>0.255</v>
      </c>
      <c r="F162" s="3">
        <v>0.8</v>
      </c>
      <c r="G162" s="3">
        <v>1111.425</v>
      </c>
      <c r="H162" s="5">
        <f t="shared" si="28"/>
        <v>226.73070000000001</v>
      </c>
      <c r="I162" s="5">
        <f t="shared" si="44"/>
        <v>2350806485403.1675</v>
      </c>
      <c r="J162" s="24">
        <f t="shared" si="40"/>
        <v>3996371.0251853848</v>
      </c>
      <c r="K162" s="24">
        <f t="shared" si="31"/>
        <v>1118.2226011050752</v>
      </c>
      <c r="L162" s="24">
        <f t="shared" si="41"/>
        <v>599455.65377780772</v>
      </c>
      <c r="M162" s="24">
        <f t="shared" si="45"/>
        <v>10.15</v>
      </c>
      <c r="N162" s="5">
        <f t="shared" si="34"/>
        <v>6.0844748858447491E-2</v>
      </c>
      <c r="O162" s="5">
        <f t="shared" si="42"/>
        <v>0.17024939101824776</v>
      </c>
      <c r="P162" s="5">
        <f t="shared" si="36"/>
        <v>1.7280313188352148E-2</v>
      </c>
    </row>
    <row r="163" spans="1:16" ht="13" x14ac:dyDescent="0.15">
      <c r="A163" s="3" t="s">
        <v>64</v>
      </c>
      <c r="B163" s="3">
        <v>9985000</v>
      </c>
      <c r="C163" s="5">
        <f t="shared" si="43"/>
        <v>528</v>
      </c>
      <c r="D163" s="3">
        <v>528000</v>
      </c>
      <c r="E163" s="3">
        <v>0.255</v>
      </c>
      <c r="F163" s="3">
        <v>0.8</v>
      </c>
      <c r="G163" s="3">
        <v>1160.7</v>
      </c>
      <c r="H163" s="5">
        <f t="shared" si="28"/>
        <v>236.78280000000004</v>
      </c>
      <c r="I163" s="5">
        <f t="shared" si="44"/>
        <v>2229891698214.5659</v>
      </c>
      <c r="J163" s="24">
        <f t="shared" si="40"/>
        <v>3790815.8869647617</v>
      </c>
      <c r="K163" s="24">
        <f t="shared" si="31"/>
        <v>37.965106529441776</v>
      </c>
      <c r="L163" s="24">
        <f t="shared" si="41"/>
        <v>568622.38304471434</v>
      </c>
      <c r="M163" s="24">
        <f t="shared" si="45"/>
        <v>10.600000000000003</v>
      </c>
      <c r="N163" s="5">
        <f t="shared" si="34"/>
        <v>6.0273972602739728E-2</v>
      </c>
      <c r="O163" s="5">
        <f t="shared" si="42"/>
        <v>6.0364519381812453E-3</v>
      </c>
      <c r="P163" s="5">
        <f t="shared" si="36"/>
        <v>6.3986390544721217E-4</v>
      </c>
    </row>
    <row r="164" spans="1:16" ht="13" x14ac:dyDescent="0.15">
      <c r="A164" s="3" t="s">
        <v>196</v>
      </c>
      <c r="B164" s="26">
        <v>8516000</v>
      </c>
      <c r="C164" s="5">
        <f t="shared" si="43"/>
        <v>518</v>
      </c>
      <c r="D164" s="3">
        <v>518000</v>
      </c>
      <c r="E164" s="3">
        <v>0.255</v>
      </c>
      <c r="F164" s="3">
        <v>0.8</v>
      </c>
      <c r="G164" s="3">
        <v>1874.2750000000001</v>
      </c>
      <c r="H164" s="24">
        <f t="shared" si="28"/>
        <v>382.35210000000006</v>
      </c>
      <c r="I164" s="24">
        <f t="shared" si="44"/>
        <v>1354772211268.0952</v>
      </c>
      <c r="J164" s="24">
        <f t="shared" si="40"/>
        <v>2303112.7591557619</v>
      </c>
      <c r="K164" s="23">
        <f t="shared" si="31"/>
        <v>27.044536861857232</v>
      </c>
      <c r="L164" s="24">
        <f t="shared" si="41"/>
        <v>345466.91387336422</v>
      </c>
      <c r="M164" s="24">
        <f t="shared" si="45"/>
        <v>17.116666666666674</v>
      </c>
      <c r="N164" s="5">
        <f t="shared" si="34"/>
        <v>5.9132420091324203E-2</v>
      </c>
      <c r="O164" s="5">
        <f t="shared" si="42"/>
        <v>6.9436848392818466E-3</v>
      </c>
      <c r="P164" s="5">
        <f t="shared" si="36"/>
        <v>1.1885273883237432E-3</v>
      </c>
    </row>
    <row r="165" spans="1:16" ht="13" x14ac:dyDescent="0.15">
      <c r="A165" s="3" t="s">
        <v>197</v>
      </c>
      <c r="B165" s="3">
        <v>100210</v>
      </c>
      <c r="C165" s="5">
        <f t="shared" si="43"/>
        <v>495</v>
      </c>
      <c r="D165" s="3">
        <v>495000</v>
      </c>
      <c r="E165" s="3">
        <v>0.255</v>
      </c>
      <c r="F165" s="3">
        <v>0.8</v>
      </c>
      <c r="G165" s="3">
        <v>1432.625</v>
      </c>
      <c r="H165" s="5">
        <f t="shared" si="28"/>
        <v>292.25550000000004</v>
      </c>
      <c r="I165" s="5">
        <f t="shared" si="44"/>
        <v>1693723471414.5669</v>
      </c>
      <c r="J165" s="24">
        <f t="shared" si="40"/>
        <v>2879329.9014047636</v>
      </c>
      <c r="K165" s="24">
        <f t="shared" si="31"/>
        <v>2873.2959798470847</v>
      </c>
      <c r="L165" s="24">
        <f t="shared" si="41"/>
        <v>431899.48521071451</v>
      </c>
      <c r="M165" s="24">
        <f t="shared" si="45"/>
        <v>13.083333333333336</v>
      </c>
      <c r="N165" s="5">
        <f t="shared" si="34"/>
        <v>5.650684931506849E-2</v>
      </c>
      <c r="O165" s="5">
        <f t="shared" si="42"/>
        <v>0.56388433604499044</v>
      </c>
      <c r="P165" s="5">
        <f t="shared" si="36"/>
        <v>7.3774867299219601E-2</v>
      </c>
    </row>
    <row r="166" spans="1:16" ht="13" x14ac:dyDescent="0.15">
      <c r="A166" s="3" t="s">
        <v>77</v>
      </c>
      <c r="B166" s="3">
        <v>643801</v>
      </c>
      <c r="C166" s="5">
        <f t="shared" si="43"/>
        <v>431</v>
      </c>
      <c r="D166" s="3">
        <v>431000</v>
      </c>
      <c r="E166" s="3">
        <v>0.255</v>
      </c>
      <c r="F166" s="3">
        <v>0.8</v>
      </c>
      <c r="G166" s="3">
        <v>1348.675</v>
      </c>
      <c r="H166" s="5">
        <f t="shared" si="28"/>
        <v>275.12970000000001</v>
      </c>
      <c r="I166" s="5">
        <f t="shared" si="44"/>
        <v>1566533892923.9553</v>
      </c>
      <c r="J166" s="24">
        <f t="shared" si="40"/>
        <v>2663107.6179707241</v>
      </c>
      <c r="K166" s="24">
        <f t="shared" si="31"/>
        <v>413.65384924390059</v>
      </c>
      <c r="L166" s="24">
        <f t="shared" si="41"/>
        <v>399466.14269560861</v>
      </c>
      <c r="M166" s="24">
        <f t="shared" si="45"/>
        <v>12.316666666666668</v>
      </c>
      <c r="N166" s="5">
        <f t="shared" si="34"/>
        <v>4.9200913242009134E-2</v>
      </c>
      <c r="O166" s="5">
        <f t="shared" si="42"/>
        <v>7.6422548647810631E-2</v>
      </c>
      <c r="P166" s="5">
        <f t="shared" si="36"/>
        <v>9.4127105751220103E-3</v>
      </c>
    </row>
    <row r="167" spans="1:16" ht="13" x14ac:dyDescent="0.15">
      <c r="A167" s="3" t="s">
        <v>105</v>
      </c>
      <c r="B167" s="3">
        <v>242495</v>
      </c>
      <c r="C167" s="5">
        <f t="shared" si="43"/>
        <v>309</v>
      </c>
      <c r="D167" s="3">
        <v>309000</v>
      </c>
      <c r="E167" s="3">
        <v>0.255</v>
      </c>
      <c r="F167" s="3">
        <v>0.8</v>
      </c>
      <c r="G167" s="3">
        <v>943.52499999999998</v>
      </c>
      <c r="H167" s="5">
        <f t="shared" si="28"/>
        <v>192.47910000000002</v>
      </c>
      <c r="I167" s="5">
        <f t="shared" si="44"/>
        <v>1605369102411.6384</v>
      </c>
      <c r="J167" s="24">
        <f t="shared" si="40"/>
        <v>2729127.4740997851</v>
      </c>
      <c r="K167" s="24">
        <f t="shared" si="31"/>
        <v>1125.436596259628</v>
      </c>
      <c r="L167" s="24">
        <f t="shared" si="41"/>
        <v>409369.1211149678</v>
      </c>
      <c r="M167" s="24">
        <f t="shared" si="45"/>
        <v>8.6166666666666671</v>
      </c>
      <c r="N167" s="5">
        <f t="shared" si="34"/>
        <v>3.5273972602739727E-2</v>
      </c>
      <c r="O167" s="5">
        <f t="shared" si="42"/>
        <v>0.14546268006655694</v>
      </c>
      <c r="P167" s="5">
        <f t="shared" si="36"/>
        <v>1.2534034265734991E-2</v>
      </c>
    </row>
    <row r="168" spans="1:16" ht="13" x14ac:dyDescent="0.15">
      <c r="A168" s="3" t="s">
        <v>198</v>
      </c>
      <c r="B168" s="3">
        <v>301340</v>
      </c>
      <c r="C168" s="5">
        <f t="shared" si="43"/>
        <v>291</v>
      </c>
      <c r="D168" s="3">
        <v>291000</v>
      </c>
      <c r="E168" s="3">
        <v>0.255</v>
      </c>
      <c r="F168" s="3">
        <v>0.8</v>
      </c>
      <c r="G168" s="3">
        <v>1432.625</v>
      </c>
      <c r="H168" s="5">
        <f t="shared" si="28"/>
        <v>292.25550000000004</v>
      </c>
      <c r="I168" s="5">
        <f t="shared" si="44"/>
        <v>995704101377.04834</v>
      </c>
      <c r="J168" s="24">
        <f t="shared" si="40"/>
        <v>1692696.9723409822</v>
      </c>
      <c r="K168" s="24">
        <f t="shared" si="31"/>
        <v>561.72329340312683</v>
      </c>
      <c r="L168" s="24">
        <f t="shared" si="41"/>
        <v>253904.54585114733</v>
      </c>
      <c r="M168" s="24">
        <f t="shared" si="45"/>
        <v>13.083333333333336</v>
      </c>
      <c r="N168" s="5">
        <f t="shared" si="34"/>
        <v>3.3219178082191783E-2</v>
      </c>
      <c r="O168" s="5">
        <f t="shared" si="42"/>
        <v>0.11023819633036365</v>
      </c>
      <c r="P168" s="5">
        <f t="shared" si="36"/>
        <v>1.4422830686555914E-2</v>
      </c>
    </row>
    <row r="169" spans="1:16" ht="13" x14ac:dyDescent="0.15">
      <c r="A169" s="3" t="s">
        <v>199</v>
      </c>
      <c r="B169" s="3">
        <v>36193</v>
      </c>
      <c r="C169" s="5">
        <f t="shared" si="43"/>
        <v>249.5</v>
      </c>
      <c r="D169" s="3">
        <v>249500</v>
      </c>
      <c r="E169" s="3">
        <v>0.255</v>
      </c>
      <c r="F169" s="3">
        <v>0.8</v>
      </c>
      <c r="G169" s="3">
        <v>1450.875</v>
      </c>
      <c r="H169" s="5">
        <f t="shared" si="28"/>
        <v>295.9785</v>
      </c>
      <c r="I169" s="5">
        <f t="shared" si="44"/>
        <v>842966634400.80957</v>
      </c>
      <c r="J169" s="24">
        <f t="shared" si="40"/>
        <v>1433043.2784813761</v>
      </c>
      <c r="K169" s="24">
        <f t="shared" si="31"/>
        <v>3959.4487289845447</v>
      </c>
      <c r="L169" s="24">
        <f t="shared" si="41"/>
        <v>214956.49177220644</v>
      </c>
      <c r="M169" s="24">
        <f t="shared" si="45"/>
        <v>13.25</v>
      </c>
      <c r="N169" s="5">
        <f t="shared" si="34"/>
        <v>2.8481735159817351E-2</v>
      </c>
      <c r="O169" s="5">
        <f t="shared" si="42"/>
        <v>0.78694043488567822</v>
      </c>
      <c r="P169" s="5">
        <f t="shared" si="36"/>
        <v>0.10426960762235236</v>
      </c>
    </row>
    <row r="170" spans="1:16" ht="13" x14ac:dyDescent="0.15">
      <c r="A170" s="3" t="s">
        <v>92</v>
      </c>
      <c r="B170" s="3">
        <v>1973000</v>
      </c>
      <c r="C170" s="5">
        <f t="shared" si="43"/>
        <v>238</v>
      </c>
      <c r="D170" s="3">
        <v>238000</v>
      </c>
      <c r="E170" s="3">
        <v>0.255</v>
      </c>
      <c r="F170" s="3">
        <v>0.8</v>
      </c>
      <c r="G170" s="3">
        <v>1981.25</v>
      </c>
      <c r="H170" s="5">
        <f t="shared" si="28"/>
        <v>404.17500000000001</v>
      </c>
      <c r="I170" s="5">
        <f t="shared" si="44"/>
        <v>588853838065.19446</v>
      </c>
      <c r="J170" s="24">
        <f t="shared" si="40"/>
        <v>1001051.5247108305</v>
      </c>
      <c r="K170" s="24">
        <f t="shared" si="31"/>
        <v>50.737532930097849</v>
      </c>
      <c r="L170" s="24">
        <f t="shared" si="41"/>
        <v>150157.72870662459</v>
      </c>
      <c r="M170" s="24">
        <f t="shared" si="45"/>
        <v>18.093607305936075</v>
      </c>
      <c r="N170" s="5">
        <f t="shared" si="34"/>
        <v>2.7168949771689498E-2</v>
      </c>
      <c r="O170" s="5">
        <f t="shared" si="42"/>
        <v>1.3770374947637861E-2</v>
      </c>
      <c r="P170" s="5">
        <f t="shared" si="36"/>
        <v>2.4915575675805946E-3</v>
      </c>
    </row>
    <row r="171" spans="1:16" ht="13" x14ac:dyDescent="0.15">
      <c r="A171" s="3" t="s">
        <v>101</v>
      </c>
      <c r="B171" s="3">
        <v>505990</v>
      </c>
      <c r="C171" s="5">
        <f t="shared" si="43"/>
        <v>234</v>
      </c>
      <c r="D171" s="3">
        <v>234000</v>
      </c>
      <c r="E171" s="3">
        <v>0.255</v>
      </c>
      <c r="F171" s="3">
        <v>0.80000000000000104</v>
      </c>
      <c r="G171" s="3">
        <v>1589.575</v>
      </c>
      <c r="H171" s="5">
        <f t="shared" si="28"/>
        <v>324.2733000000004</v>
      </c>
      <c r="I171" s="5">
        <f t="shared" si="44"/>
        <v>721613527848.26782</v>
      </c>
      <c r="J171" s="24">
        <f t="shared" si="40"/>
        <v>1226742.9973420552</v>
      </c>
      <c r="K171" s="24">
        <f t="shared" si="31"/>
        <v>242.44411892370502</v>
      </c>
      <c r="L171" s="24">
        <f t="shared" si="41"/>
        <v>184011.44960130827</v>
      </c>
      <c r="M171" s="24">
        <f t="shared" si="45"/>
        <v>14.516666666666685</v>
      </c>
      <c r="N171" s="5">
        <f t="shared" si="34"/>
        <v>2.6712328767123289E-2</v>
      </c>
      <c r="O171" s="5">
        <f t="shared" si="42"/>
        <v>5.2792206895636844E-2</v>
      </c>
      <c r="P171" s="5">
        <f t="shared" si="36"/>
        <v>7.6636687010166252E-3</v>
      </c>
    </row>
    <row r="172" spans="1:16" ht="13" x14ac:dyDescent="0.15">
      <c r="A172" s="3" t="s">
        <v>200</v>
      </c>
      <c r="B172" s="3">
        <v>7692000</v>
      </c>
      <c r="C172" s="5">
        <f t="shared" si="43"/>
        <v>224</v>
      </c>
      <c r="D172" s="3">
        <v>224000</v>
      </c>
      <c r="E172" s="3">
        <v>0.255</v>
      </c>
      <c r="F172" s="3">
        <v>0.80000000000000104</v>
      </c>
      <c r="G172" s="3">
        <v>1850.55</v>
      </c>
      <c r="H172" s="24">
        <f t="shared" si="28"/>
        <v>377.51220000000046</v>
      </c>
      <c r="I172" s="24">
        <f t="shared" si="44"/>
        <v>593358307360.66211</v>
      </c>
      <c r="J172" s="24">
        <f t="shared" si="40"/>
        <v>1008709.1225131257</v>
      </c>
      <c r="K172" s="23">
        <f t="shared" si="31"/>
        <v>13.113743142396327</v>
      </c>
      <c r="L172" s="24">
        <f t="shared" si="41"/>
        <v>151306.36837696884</v>
      </c>
      <c r="M172" s="24">
        <f t="shared" si="45"/>
        <v>16.900000000000016</v>
      </c>
      <c r="N172" s="5">
        <f t="shared" si="34"/>
        <v>2.5570776255707764E-2</v>
      </c>
      <c r="O172" s="5">
        <f t="shared" si="42"/>
        <v>3.324333886597473E-3</v>
      </c>
      <c r="P172" s="5">
        <f t="shared" si="36"/>
        <v>5.6181242683497347E-4</v>
      </c>
    </row>
    <row r="175" spans="1:16" ht="13" x14ac:dyDescent="0.15">
      <c r="C175" s="3">
        <f>5920000</f>
        <v>5920000</v>
      </c>
      <c r="D175" s="3">
        <v>1E-3</v>
      </c>
    </row>
    <row r="176" spans="1:16" ht="13" x14ac:dyDescent="0.15">
      <c r="C176" s="3">
        <v>3913000</v>
      </c>
      <c r="D176" s="3">
        <v>1E-3</v>
      </c>
    </row>
    <row r="177" spans="3:13" ht="13" x14ac:dyDescent="0.15">
      <c r="C177" s="3">
        <v>1065000</v>
      </c>
      <c r="D177" s="3">
        <v>1E-3</v>
      </c>
    </row>
    <row r="178" spans="3:13" ht="13" x14ac:dyDescent="0.15">
      <c r="C178" s="3">
        <v>1001191</v>
      </c>
      <c r="D178" s="3">
        <v>1E-3</v>
      </c>
    </row>
    <row r="179" spans="3:13" ht="13" x14ac:dyDescent="0.15">
      <c r="C179" s="3">
        <v>934000</v>
      </c>
      <c r="D179" s="3">
        <v>1E-3</v>
      </c>
      <c r="K179" s="5">
        <f>1.13579185082164/100</f>
        <v>1.1357918508216401E-2</v>
      </c>
      <c r="L179" s="3">
        <v>1.0999999999999999E-2</v>
      </c>
      <c r="M179" s="5">
        <f t="shared" ref="M179:M186" si="46">K179*$L$179*100</f>
        <v>1.2493710359038041E-2</v>
      </c>
    </row>
    <row r="180" spans="3:13" ht="13" x14ac:dyDescent="0.15">
      <c r="C180" s="3">
        <v>533000</v>
      </c>
      <c r="D180" s="3">
        <v>1E-3</v>
      </c>
      <c r="K180" s="5">
        <f>0.718725283427131/100</f>
        <v>7.1872528342713108E-3</v>
      </c>
      <c r="M180" s="5">
        <f t="shared" si="46"/>
        <v>7.9059781176984423E-3</v>
      </c>
    </row>
    <row r="181" spans="3:13" ht="13" x14ac:dyDescent="0.15">
      <c r="C181" s="3">
        <v>528000</v>
      </c>
      <c r="D181" s="3">
        <v>1E-3</v>
      </c>
      <c r="K181" s="5">
        <f>2.63881097331174/100</f>
        <v>2.63881097331174E-2</v>
      </c>
      <c r="M181" s="5">
        <f t="shared" si="46"/>
        <v>2.9026920706429139E-2</v>
      </c>
    </row>
    <row r="182" spans="3:13" ht="13" x14ac:dyDescent="0.15">
      <c r="C182" s="3">
        <v>518000</v>
      </c>
      <c r="D182" s="3">
        <v>1E-3</v>
      </c>
      <c r="K182" s="5">
        <f>0.210339180420842/100</f>
        <v>2.1033918042084199E-3</v>
      </c>
      <c r="M182" s="5">
        <f t="shared" si="46"/>
        <v>2.3137309846292618E-3</v>
      </c>
    </row>
    <row r="183" spans="3:13" ht="13" x14ac:dyDescent="0.15">
      <c r="C183" s="3">
        <v>495000</v>
      </c>
      <c r="D183" s="3">
        <v>1E-3</v>
      </c>
      <c r="K183" s="5">
        <f>0.0842099161618647/100</f>
        <v>8.4209916161864698E-4</v>
      </c>
      <c r="M183" s="5">
        <f t="shared" si="46"/>
        <v>9.2630907778051158E-4</v>
      </c>
    </row>
    <row r="184" spans="3:13" ht="13" x14ac:dyDescent="0.15">
      <c r="C184" s="3">
        <v>431000</v>
      </c>
      <c r="D184" s="3">
        <v>1E-3</v>
      </c>
      <c r="K184" s="5">
        <f>0.389227406858899/100</f>
        <v>3.8922740685889902E-3</v>
      </c>
      <c r="M184" s="5">
        <f t="shared" si="46"/>
        <v>4.2815014754478894E-3</v>
      </c>
    </row>
    <row r="185" spans="3:13" ht="13" x14ac:dyDescent="0.15">
      <c r="C185" s="3">
        <v>309000</v>
      </c>
      <c r="D185" s="3">
        <v>1E-3</v>
      </c>
      <c r="K185" s="5">
        <f>0.821847597341558/100</f>
        <v>8.2184759734155802E-3</v>
      </c>
      <c r="M185" s="5">
        <f t="shared" si="46"/>
        <v>9.0403235707571371E-3</v>
      </c>
    </row>
    <row r="186" spans="3:13" ht="13" x14ac:dyDescent="0.15">
      <c r="C186" s="3">
        <v>291000</v>
      </c>
      <c r="D186" s="3">
        <v>1E-3</v>
      </c>
      <c r="K186" s="5">
        <f>0.595742707234863/100</f>
        <v>5.9574270723486301E-3</v>
      </c>
      <c r="M186" s="5">
        <f t="shared" si="46"/>
        <v>6.5531697795834926E-3</v>
      </c>
    </row>
    <row r="187" spans="3:13" ht="13" x14ac:dyDescent="0.15">
      <c r="C187" s="3">
        <v>249500</v>
      </c>
      <c r="D187" s="3">
        <v>1E-3</v>
      </c>
    </row>
    <row r="188" spans="3:13" ht="13" x14ac:dyDescent="0.15">
      <c r="C188" s="3">
        <v>238000</v>
      </c>
      <c r="D188" s="3">
        <v>1E-3</v>
      </c>
    </row>
    <row r="189" spans="3:13" ht="13" x14ac:dyDescent="0.15">
      <c r="C189" s="3">
        <v>234000</v>
      </c>
      <c r="D189" s="3">
        <v>1E-3</v>
      </c>
    </row>
    <row r="190" spans="3:13" ht="13" x14ac:dyDescent="0.15">
      <c r="C190" s="3">
        <v>224000</v>
      </c>
      <c r="D190" s="3">
        <v>1E-3</v>
      </c>
    </row>
    <row r="191" spans="3:13" ht="13" x14ac:dyDescent="0.15">
      <c r="D191" s="3">
        <v>1E-3</v>
      </c>
    </row>
    <row r="192" spans="3:13" ht="13" x14ac:dyDescent="0.15">
      <c r="D192" s="3">
        <v>1E-3</v>
      </c>
    </row>
    <row r="193" spans="4:4" ht="13" x14ac:dyDescent="0.15">
      <c r="D193" s="3">
        <v>1E-3</v>
      </c>
    </row>
    <row r="194" spans="4:4" ht="13" x14ac:dyDescent="0.15">
      <c r="D194" s="3">
        <v>1E-3</v>
      </c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4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8" sqref="I28"/>
    </sheetView>
  </sheetViews>
  <sheetFormatPr baseColWidth="10" defaultColWidth="12.6640625" defaultRowHeight="15.75" customHeight="1" x14ac:dyDescent="0.15"/>
  <cols>
    <col min="1" max="1" width="33.6640625" customWidth="1"/>
    <col min="2" max="2" width="19.5" customWidth="1"/>
    <col min="4" max="4" width="24.1640625" customWidth="1"/>
    <col min="5" max="5" width="21.33203125" customWidth="1"/>
    <col min="6" max="6" width="20.5" customWidth="1"/>
    <col min="7" max="7" width="24.5" customWidth="1"/>
    <col min="8" max="8" width="23.1640625" customWidth="1"/>
    <col min="9" max="9" width="22.1640625" customWidth="1"/>
  </cols>
  <sheetData>
    <row r="1" spans="1:14" ht="15.75" customHeight="1" x14ac:dyDescent="0.15">
      <c r="A1" s="3" t="s">
        <v>248</v>
      </c>
      <c r="B1" s="3" t="s">
        <v>144</v>
      </c>
      <c r="C1" s="3" t="s">
        <v>146</v>
      </c>
      <c r="D1" s="3" t="s">
        <v>249</v>
      </c>
      <c r="E1" s="3" t="s">
        <v>41</v>
      </c>
      <c r="F1" s="3" t="s">
        <v>250</v>
      </c>
      <c r="G1" s="3" t="s">
        <v>126</v>
      </c>
      <c r="H1" s="3" t="s">
        <v>164</v>
      </c>
      <c r="I1" s="3" t="s">
        <v>251</v>
      </c>
    </row>
    <row r="2" spans="1:14" ht="15.75" customHeight="1" x14ac:dyDescent="0.15">
      <c r="A2" s="27" t="s">
        <v>252</v>
      </c>
      <c r="B2" s="3">
        <v>377</v>
      </c>
      <c r="C2" s="3">
        <v>14000000</v>
      </c>
      <c r="D2" s="3">
        <v>856.30100000000004</v>
      </c>
      <c r="E2" s="5">
        <f t="shared" ref="E2:E28" si="0">D2*10^3/(B2*8760)*100</f>
        <v>25.928715041846832</v>
      </c>
      <c r="F2" s="5">
        <f t="shared" ref="F2:F28" si="1">D2*10^3/8760</f>
        <v>97.751255707762553</v>
      </c>
      <c r="G2" s="5">
        <f>F2*10^6/C2</f>
        <v>6.9822325505544685</v>
      </c>
      <c r="H2" s="5">
        <f>G2</f>
        <v>6.9822325505544685</v>
      </c>
      <c r="I2" s="5">
        <f>H2*8760*10^-6</f>
        <v>6.1164357142857145E-2</v>
      </c>
      <c r="M2" s="10">
        <v>14000000</v>
      </c>
      <c r="N2" s="40" t="s">
        <v>294</v>
      </c>
    </row>
    <row r="3" spans="1:14" ht="15.75" customHeight="1" x14ac:dyDescent="0.15">
      <c r="A3" s="28" t="s">
        <v>253</v>
      </c>
      <c r="B3" s="3">
        <v>354</v>
      </c>
      <c r="C3" s="3">
        <v>6475000</v>
      </c>
      <c r="D3" s="3">
        <v>539</v>
      </c>
      <c r="E3" s="5">
        <f t="shared" si="0"/>
        <v>17.38126563991435</v>
      </c>
      <c r="F3" s="5">
        <f t="shared" si="1"/>
        <v>61.529680365296805</v>
      </c>
      <c r="G3" s="5">
        <f t="shared" ref="G3:G28" si="2">F3*10^6/C3</f>
        <v>9.5026533382697771</v>
      </c>
      <c r="H3" s="22">
        <f t="shared" ref="H3:H28" si="3">G3</f>
        <v>9.5026533382697771</v>
      </c>
      <c r="I3" s="5">
        <f t="shared" ref="I3:I27" si="4">H3*8760*10^-6</f>
        <v>8.3243243243243253E-2</v>
      </c>
      <c r="M3" s="10">
        <v>6475000</v>
      </c>
      <c r="N3" s="40" t="s">
        <v>294</v>
      </c>
    </row>
    <row r="4" spans="1:14" ht="15.75" customHeight="1" x14ac:dyDescent="0.15">
      <c r="A4" s="3" t="s">
        <v>254</v>
      </c>
      <c r="B4" s="3">
        <v>14</v>
      </c>
      <c r="C4" s="3">
        <v>82960</v>
      </c>
      <c r="D4" s="3">
        <v>8.2029999999999994</v>
      </c>
      <c r="E4" s="5">
        <f t="shared" si="0"/>
        <v>6.6886823222439666</v>
      </c>
      <c r="F4" s="5">
        <f t="shared" si="1"/>
        <v>0.93641552511415527</v>
      </c>
      <c r="G4" s="5">
        <f t="shared" si="2"/>
        <v>11.287554545734755</v>
      </c>
      <c r="H4" s="22">
        <f t="shared" si="3"/>
        <v>11.287554545734755</v>
      </c>
      <c r="I4" s="5">
        <f t="shared" si="4"/>
        <v>9.8878977820636454E-2</v>
      </c>
      <c r="M4" s="10">
        <v>82960</v>
      </c>
      <c r="N4" s="40" t="s">
        <v>294</v>
      </c>
    </row>
    <row r="5" spans="1:14" ht="15.75" customHeight="1" x14ac:dyDescent="0.15">
      <c r="A5" s="3" t="s">
        <v>255</v>
      </c>
      <c r="B5" s="3">
        <v>30</v>
      </c>
      <c r="C5" s="3">
        <v>190338</v>
      </c>
      <c r="D5" s="3">
        <v>16.975000000000001</v>
      </c>
      <c r="E5" s="5">
        <f t="shared" si="0"/>
        <v>6.4592846270928472</v>
      </c>
      <c r="F5" s="5">
        <f t="shared" si="1"/>
        <v>1.9377853881278539</v>
      </c>
      <c r="G5" s="5">
        <f t="shared" si="2"/>
        <v>10.180759428636708</v>
      </c>
      <c r="H5" s="22">
        <f t="shared" si="3"/>
        <v>10.180759428636708</v>
      </c>
      <c r="I5" s="5">
        <f t="shared" si="4"/>
        <v>8.9183452594857562E-2</v>
      </c>
      <c r="M5" s="10">
        <v>190338</v>
      </c>
      <c r="N5" s="40" t="s">
        <v>294</v>
      </c>
    </row>
    <row r="6" spans="1:14" ht="15.75" customHeight="1" x14ac:dyDescent="0.15">
      <c r="A6" s="3" t="s">
        <v>256</v>
      </c>
      <c r="B6" s="3">
        <v>30</v>
      </c>
      <c r="C6" s="3">
        <v>230300</v>
      </c>
      <c r="D6" s="3">
        <v>59.399000000000001</v>
      </c>
      <c r="E6" s="5">
        <f t="shared" si="0"/>
        <v>22.602359208523591</v>
      </c>
      <c r="F6" s="5">
        <f t="shared" si="1"/>
        <v>6.7807077625570775</v>
      </c>
      <c r="G6" s="5">
        <f t="shared" si="2"/>
        <v>29.442934270764557</v>
      </c>
      <c r="H6" s="22">
        <f t="shared" si="3"/>
        <v>29.442934270764557</v>
      </c>
      <c r="I6" s="5">
        <f t="shared" si="4"/>
        <v>0.25792010421189754</v>
      </c>
      <c r="M6" s="10">
        <v>230300</v>
      </c>
      <c r="N6" s="40" t="s">
        <v>294</v>
      </c>
    </row>
    <row r="7" spans="1:14" ht="15.75" customHeight="1" x14ac:dyDescent="0.15">
      <c r="A7" s="3" t="s">
        <v>257</v>
      </c>
      <c r="B7" s="3">
        <v>30</v>
      </c>
      <c r="C7" s="3">
        <v>230300</v>
      </c>
      <c r="D7" s="3">
        <v>59.784999999999997</v>
      </c>
      <c r="E7" s="5">
        <f t="shared" si="0"/>
        <v>22.74923896499239</v>
      </c>
      <c r="F7" s="5">
        <f t="shared" si="1"/>
        <v>6.8247716894977168</v>
      </c>
      <c r="G7" s="5">
        <f t="shared" si="2"/>
        <v>29.634266997384788</v>
      </c>
      <c r="H7" s="22">
        <f t="shared" si="3"/>
        <v>29.634266997384788</v>
      </c>
      <c r="I7" s="5">
        <f t="shared" si="4"/>
        <v>0.25959617889709075</v>
      </c>
      <c r="M7" s="10">
        <v>230300</v>
      </c>
      <c r="N7" s="40" t="s">
        <v>294</v>
      </c>
    </row>
    <row r="8" spans="1:14" ht="15.75" customHeight="1" x14ac:dyDescent="0.15">
      <c r="A8" s="3" t="s">
        <v>258</v>
      </c>
      <c r="B8" s="3">
        <v>30</v>
      </c>
      <c r="C8" s="3">
        <v>250500</v>
      </c>
      <c r="D8" s="3">
        <v>60.488999999999997</v>
      </c>
      <c r="E8" s="5">
        <f t="shared" si="0"/>
        <v>23.017123287671232</v>
      </c>
      <c r="F8" s="5">
        <f t="shared" si="1"/>
        <v>6.9051369863013701</v>
      </c>
      <c r="G8" s="5">
        <f t="shared" si="2"/>
        <v>27.565417110983514</v>
      </c>
      <c r="H8" s="22">
        <f t="shared" si="3"/>
        <v>27.565417110983514</v>
      </c>
      <c r="I8" s="5">
        <f t="shared" si="4"/>
        <v>0.24147305389221554</v>
      </c>
      <c r="M8" s="10">
        <v>250500</v>
      </c>
      <c r="N8" s="40" t="s">
        <v>294</v>
      </c>
    </row>
    <row r="9" spans="1:14" ht="15.75" customHeight="1" x14ac:dyDescent="0.15">
      <c r="A9" s="3" t="s">
        <v>259</v>
      </c>
      <c r="B9" s="3">
        <v>30</v>
      </c>
      <c r="C9" s="3">
        <v>188000</v>
      </c>
      <c r="D9" s="3">
        <v>56.57</v>
      </c>
      <c r="E9" s="5">
        <f t="shared" si="0"/>
        <v>21.525875190258752</v>
      </c>
      <c r="F9" s="5">
        <f t="shared" si="1"/>
        <v>6.4577625570776256</v>
      </c>
      <c r="G9" s="5">
        <f t="shared" si="2"/>
        <v>34.349800835519289</v>
      </c>
      <c r="H9" s="22">
        <f t="shared" si="3"/>
        <v>34.349800835519289</v>
      </c>
      <c r="I9" s="5">
        <f t="shared" si="4"/>
        <v>0.30090425531914899</v>
      </c>
      <c r="M9" s="10">
        <v>188000</v>
      </c>
      <c r="N9" s="40" t="s">
        <v>294</v>
      </c>
    </row>
    <row r="10" spans="1:14" ht="15.75" customHeight="1" x14ac:dyDescent="0.15">
      <c r="A10" s="3" t="s">
        <v>260</v>
      </c>
      <c r="B10" s="3">
        <v>30</v>
      </c>
      <c r="C10" s="3">
        <v>194280</v>
      </c>
      <c r="D10" s="3">
        <v>53.005000000000003</v>
      </c>
      <c r="E10" s="5">
        <f t="shared" si="0"/>
        <v>20.169330289193301</v>
      </c>
      <c r="F10" s="5">
        <f t="shared" si="1"/>
        <v>6.0507990867579906</v>
      </c>
      <c r="G10" s="5">
        <f t="shared" si="2"/>
        <v>31.144734850514673</v>
      </c>
      <c r="H10" s="22">
        <f t="shared" si="3"/>
        <v>31.144734850514673</v>
      </c>
      <c r="I10" s="5">
        <f t="shared" si="4"/>
        <v>0.2728278772905085</v>
      </c>
      <c r="M10" s="10">
        <v>194280</v>
      </c>
      <c r="N10" s="40" t="s">
        <v>294</v>
      </c>
    </row>
    <row r="11" spans="1:14" ht="15.75" customHeight="1" x14ac:dyDescent="0.15">
      <c r="A11" s="3" t="s">
        <v>261</v>
      </c>
      <c r="B11" s="3">
        <v>80</v>
      </c>
      <c r="C11" s="3">
        <v>464340</v>
      </c>
      <c r="D11" s="3">
        <v>134.279</v>
      </c>
      <c r="E11" s="5">
        <f t="shared" si="0"/>
        <v>19.16081621004566</v>
      </c>
      <c r="F11" s="5">
        <f t="shared" si="1"/>
        <v>15.328652968036529</v>
      </c>
      <c r="G11" s="5">
        <f t="shared" si="2"/>
        <v>33.011700409261593</v>
      </c>
      <c r="H11" s="22">
        <f t="shared" si="3"/>
        <v>33.011700409261593</v>
      </c>
      <c r="I11" s="5">
        <f t="shared" si="4"/>
        <v>0.28918249558513154</v>
      </c>
      <c r="M11" s="10">
        <v>464340</v>
      </c>
      <c r="N11" s="40" t="s">
        <v>294</v>
      </c>
    </row>
    <row r="12" spans="1:14" ht="15.75" customHeight="1" x14ac:dyDescent="0.15">
      <c r="A12" s="3" t="s">
        <v>262</v>
      </c>
      <c r="B12" s="3">
        <v>80</v>
      </c>
      <c r="C12" s="3">
        <v>483960</v>
      </c>
      <c r="D12" s="3">
        <v>140.06299999999999</v>
      </c>
      <c r="E12" s="5">
        <f t="shared" si="0"/>
        <v>19.986158675799086</v>
      </c>
      <c r="F12" s="5">
        <f t="shared" si="1"/>
        <v>15.988926940639269</v>
      </c>
      <c r="G12" s="5">
        <f t="shared" si="2"/>
        <v>33.037703406561015</v>
      </c>
      <c r="H12" s="22">
        <f t="shared" si="3"/>
        <v>33.037703406561015</v>
      </c>
      <c r="I12" s="5">
        <f t="shared" si="4"/>
        <v>0.28941028184147444</v>
      </c>
      <c r="M12" s="10">
        <v>483960</v>
      </c>
      <c r="N12" s="40" t="s">
        <v>294</v>
      </c>
    </row>
    <row r="13" spans="1:14" ht="15.75" customHeight="1" x14ac:dyDescent="0.15">
      <c r="A13" s="29" t="s">
        <v>263</v>
      </c>
      <c r="B13" s="3">
        <v>110</v>
      </c>
      <c r="C13" s="3">
        <v>1200000</v>
      </c>
      <c r="D13" s="3">
        <v>196</v>
      </c>
      <c r="E13" s="5">
        <f t="shared" si="0"/>
        <v>20.340390203403903</v>
      </c>
      <c r="F13" s="5">
        <f t="shared" si="1"/>
        <v>22.374429223744293</v>
      </c>
      <c r="G13" s="5">
        <f t="shared" si="2"/>
        <v>18.645357686453575</v>
      </c>
      <c r="H13" s="22">
        <f t="shared" si="3"/>
        <v>18.645357686453575</v>
      </c>
      <c r="I13" s="5">
        <f t="shared" si="4"/>
        <v>0.1633333333333333</v>
      </c>
      <c r="M13" s="10">
        <v>1200000</v>
      </c>
      <c r="N13" s="40" t="s">
        <v>294</v>
      </c>
    </row>
    <row r="14" spans="1:14" ht="15.75" customHeight="1" x14ac:dyDescent="0.15">
      <c r="A14" s="27" t="s">
        <v>264</v>
      </c>
      <c r="B14" s="3">
        <v>250</v>
      </c>
      <c r="C14" s="3">
        <v>1115000</v>
      </c>
      <c r="D14" s="3">
        <v>340</v>
      </c>
      <c r="E14" s="5">
        <f t="shared" si="0"/>
        <v>15.52511415525114</v>
      </c>
      <c r="F14" s="5">
        <f t="shared" si="1"/>
        <v>38.812785388127857</v>
      </c>
      <c r="G14" s="5">
        <f t="shared" si="2"/>
        <v>34.809672993836642</v>
      </c>
      <c r="H14" s="22">
        <f t="shared" si="3"/>
        <v>34.809672993836642</v>
      </c>
      <c r="I14" s="5">
        <f t="shared" si="4"/>
        <v>0.30493273542600896</v>
      </c>
      <c r="M14" s="10">
        <v>1115000</v>
      </c>
      <c r="N14" s="40" t="s">
        <v>294</v>
      </c>
    </row>
    <row r="15" spans="1:14" ht="15.75" customHeight="1" x14ac:dyDescent="0.15">
      <c r="A15" s="3" t="s">
        <v>265</v>
      </c>
      <c r="B15" s="3">
        <v>280</v>
      </c>
      <c r="C15" s="3">
        <v>7700000</v>
      </c>
      <c r="D15" s="3">
        <v>944</v>
      </c>
      <c r="E15" s="5">
        <f t="shared" si="0"/>
        <v>38.486627527723414</v>
      </c>
      <c r="F15" s="5">
        <f t="shared" si="1"/>
        <v>107.76255707762557</v>
      </c>
      <c r="G15" s="5">
        <f t="shared" si="2"/>
        <v>13.995137282808516</v>
      </c>
      <c r="H15" s="22">
        <f t="shared" si="3"/>
        <v>13.995137282808516</v>
      </c>
      <c r="I15" s="5">
        <f t="shared" si="4"/>
        <v>0.12259740259740259</v>
      </c>
      <c r="M15" s="10">
        <v>7700000</v>
      </c>
      <c r="N15" s="40" t="s">
        <v>294</v>
      </c>
    </row>
    <row r="16" spans="1:14" ht="15.75" customHeight="1" x14ac:dyDescent="0.15">
      <c r="A16" s="3" t="s">
        <v>266</v>
      </c>
      <c r="B16" s="3">
        <v>250</v>
      </c>
      <c r="C16" s="3">
        <v>1559349</v>
      </c>
      <c r="D16" s="3">
        <v>679</v>
      </c>
      <c r="E16" s="5">
        <f t="shared" si="0"/>
        <v>31.004566210045663</v>
      </c>
      <c r="F16" s="5">
        <f t="shared" si="1"/>
        <v>77.51141552511416</v>
      </c>
      <c r="G16" s="5">
        <f t="shared" si="2"/>
        <v>49.707548166006561</v>
      </c>
      <c r="H16" s="22">
        <f t="shared" si="3"/>
        <v>49.707548166006561</v>
      </c>
      <c r="I16" s="5">
        <f t="shared" si="4"/>
        <v>0.43543812193421744</v>
      </c>
      <c r="M16" s="10">
        <v>1559349</v>
      </c>
      <c r="N16" s="40" t="s">
        <v>294</v>
      </c>
    </row>
    <row r="17" spans="1:14" ht="15.75" customHeight="1" x14ac:dyDescent="0.15">
      <c r="A17" s="3" t="s">
        <v>267</v>
      </c>
      <c r="B17" s="3">
        <v>250</v>
      </c>
      <c r="C17" s="3">
        <v>7800000</v>
      </c>
      <c r="D17" s="3">
        <v>605</v>
      </c>
      <c r="E17" s="5">
        <f t="shared" si="0"/>
        <v>27.62557077625571</v>
      </c>
      <c r="F17" s="5">
        <f t="shared" si="1"/>
        <v>69.063926940639263</v>
      </c>
      <c r="G17" s="5">
        <f t="shared" si="2"/>
        <v>8.8543496077742638</v>
      </c>
      <c r="H17" s="22">
        <f t="shared" si="3"/>
        <v>8.8543496077742638</v>
      </c>
      <c r="I17" s="5">
        <f t="shared" si="4"/>
        <v>7.7564102564102538E-2</v>
      </c>
      <c r="M17" s="10">
        <v>7800000</v>
      </c>
      <c r="N17" s="40" t="s">
        <v>294</v>
      </c>
    </row>
    <row r="18" spans="1:14" ht="15.75" customHeight="1" x14ac:dyDescent="0.15">
      <c r="A18" s="30" t="s">
        <v>268</v>
      </c>
      <c r="B18" s="30">
        <v>150</v>
      </c>
      <c r="C18" s="30">
        <v>510000</v>
      </c>
      <c r="D18" s="30">
        <v>178</v>
      </c>
      <c r="E18" s="31">
        <f t="shared" si="0"/>
        <v>13.546423135464231</v>
      </c>
      <c r="F18" s="31">
        <f t="shared" si="1"/>
        <v>20.319634703196346</v>
      </c>
      <c r="G18" s="31">
        <f t="shared" si="2"/>
        <v>39.842420986659505</v>
      </c>
      <c r="H18" s="22">
        <f t="shared" si="3"/>
        <v>39.842420986659505</v>
      </c>
      <c r="I18" s="31">
        <f t="shared" si="4"/>
        <v>0.34901960784313729</v>
      </c>
      <c r="J18" s="31"/>
      <c r="K18" s="31"/>
      <c r="L18" s="31"/>
      <c r="M18" s="30">
        <v>510000</v>
      </c>
      <c r="N18" s="40" t="s">
        <v>294</v>
      </c>
    </row>
    <row r="19" spans="1:14" ht="15.75" customHeight="1" x14ac:dyDescent="0.15">
      <c r="A19" s="3" t="s">
        <v>269</v>
      </c>
      <c r="B19" s="3">
        <v>150</v>
      </c>
      <c r="C19" s="5">
        <f>6*10^6</f>
        <v>6000000</v>
      </c>
      <c r="D19" s="3">
        <v>495</v>
      </c>
      <c r="E19" s="5">
        <f t="shared" si="0"/>
        <v>37.671232876712331</v>
      </c>
      <c r="F19" s="5">
        <f t="shared" si="1"/>
        <v>56.506849315068493</v>
      </c>
      <c r="G19" s="5">
        <f t="shared" si="2"/>
        <v>9.417808219178081</v>
      </c>
      <c r="H19" s="22">
        <f t="shared" si="3"/>
        <v>9.417808219178081</v>
      </c>
      <c r="I19" s="5">
        <f t="shared" si="4"/>
        <v>8.2499999999999976E-2</v>
      </c>
      <c r="M19" s="22">
        <f>6*10^6</f>
        <v>6000000</v>
      </c>
      <c r="N19" s="40" t="s">
        <v>294</v>
      </c>
    </row>
    <row r="20" spans="1:14" ht="15.75" customHeight="1" x14ac:dyDescent="0.15">
      <c r="A20" s="32" t="s">
        <v>270</v>
      </c>
      <c r="B20" s="3">
        <v>125</v>
      </c>
      <c r="C20" s="3">
        <v>3400000</v>
      </c>
      <c r="D20" s="3">
        <v>280</v>
      </c>
      <c r="E20" s="5">
        <f t="shared" si="0"/>
        <v>25.570776255707763</v>
      </c>
      <c r="F20" s="5">
        <f t="shared" si="1"/>
        <v>31.963470319634702</v>
      </c>
      <c r="G20" s="5">
        <f t="shared" si="2"/>
        <v>9.4010206822455</v>
      </c>
      <c r="H20" s="22">
        <f t="shared" si="3"/>
        <v>9.4010206822455</v>
      </c>
      <c r="I20" s="5">
        <f t="shared" si="4"/>
        <v>8.2352941176470587E-2</v>
      </c>
      <c r="M20" s="10">
        <v>3400000</v>
      </c>
      <c r="N20" s="40" t="s">
        <v>294</v>
      </c>
    </row>
    <row r="21" spans="1:14" ht="15.75" customHeight="1" x14ac:dyDescent="0.15">
      <c r="A21" s="32" t="s">
        <v>271</v>
      </c>
      <c r="B21" s="3">
        <v>210</v>
      </c>
      <c r="C21" s="3">
        <v>7500000</v>
      </c>
      <c r="D21" s="3">
        <v>950</v>
      </c>
      <c r="E21" s="5">
        <f t="shared" si="0"/>
        <v>51.641661230702326</v>
      </c>
      <c r="F21" s="5">
        <f t="shared" si="1"/>
        <v>108.44748858447488</v>
      </c>
      <c r="G21" s="5">
        <f t="shared" si="2"/>
        <v>14.45966514459665</v>
      </c>
      <c r="H21" s="22">
        <f t="shared" si="3"/>
        <v>14.45966514459665</v>
      </c>
      <c r="I21" s="5">
        <f t="shared" si="4"/>
        <v>0.12666666666666665</v>
      </c>
      <c r="M21" s="10">
        <v>7500000</v>
      </c>
      <c r="N21" s="40" t="s">
        <v>294</v>
      </c>
    </row>
    <row r="22" spans="1:14" ht="15.75" customHeight="1" x14ac:dyDescent="0.15">
      <c r="A22" s="32" t="s">
        <v>272</v>
      </c>
      <c r="B22" s="3">
        <v>100</v>
      </c>
      <c r="C22" s="3">
        <v>1350000</v>
      </c>
      <c r="D22" s="3">
        <v>114.5</v>
      </c>
      <c r="E22" s="5">
        <f t="shared" si="0"/>
        <v>13.070776255707765</v>
      </c>
      <c r="F22" s="5">
        <f t="shared" si="1"/>
        <v>13.070776255707763</v>
      </c>
      <c r="G22" s="5">
        <f t="shared" si="2"/>
        <v>9.6820564857094542</v>
      </c>
      <c r="H22" s="22">
        <f t="shared" si="3"/>
        <v>9.6820564857094542</v>
      </c>
      <c r="I22" s="5">
        <f t="shared" si="4"/>
        <v>8.4814814814814815E-2</v>
      </c>
      <c r="M22" s="10">
        <v>1350000</v>
      </c>
      <c r="N22" s="40" t="s">
        <v>294</v>
      </c>
    </row>
    <row r="23" spans="1:14" ht="15.75" customHeight="1" x14ac:dyDescent="0.15">
      <c r="A23" s="3" t="s">
        <v>273</v>
      </c>
      <c r="B23" s="3">
        <v>50</v>
      </c>
      <c r="C23" s="3">
        <v>4000000</v>
      </c>
      <c r="D23" s="3">
        <v>175</v>
      </c>
      <c r="E23" s="5">
        <f t="shared" si="0"/>
        <v>39.954337899543383</v>
      </c>
      <c r="F23" s="5">
        <f t="shared" si="1"/>
        <v>19.977168949771688</v>
      </c>
      <c r="G23" s="5">
        <f t="shared" si="2"/>
        <v>4.9942922374429219</v>
      </c>
      <c r="H23" s="22">
        <f t="shared" si="3"/>
        <v>4.9942922374429219</v>
      </c>
      <c r="I23" s="5">
        <f t="shared" si="4"/>
        <v>4.374999999999999E-2</v>
      </c>
      <c r="M23" s="10">
        <v>4000000</v>
      </c>
      <c r="N23" s="40" t="s">
        <v>294</v>
      </c>
    </row>
    <row r="24" spans="1:14" ht="15.75" customHeight="1" x14ac:dyDescent="0.15">
      <c r="A24" s="3" t="s">
        <v>274</v>
      </c>
      <c r="B24" s="3">
        <v>100</v>
      </c>
      <c r="C24" s="3">
        <v>4600000</v>
      </c>
      <c r="D24" s="3">
        <v>340</v>
      </c>
      <c r="E24" s="5">
        <f t="shared" si="0"/>
        <v>38.81278538812785</v>
      </c>
      <c r="F24" s="5">
        <f t="shared" si="1"/>
        <v>38.812785388127857</v>
      </c>
      <c r="G24" s="5">
        <f t="shared" si="2"/>
        <v>8.4375620408973599</v>
      </c>
      <c r="H24" s="22">
        <f t="shared" si="3"/>
        <v>8.4375620408973599</v>
      </c>
      <c r="I24" s="5">
        <f t="shared" si="4"/>
        <v>7.3913043478260873E-2</v>
      </c>
      <c r="M24" s="10">
        <v>4600000</v>
      </c>
      <c r="N24" s="40" t="s">
        <v>294</v>
      </c>
    </row>
    <row r="25" spans="1:14" ht="15.75" customHeight="1" x14ac:dyDescent="0.15">
      <c r="A25" s="3" t="s">
        <v>275</v>
      </c>
      <c r="B25" s="3">
        <v>75</v>
      </c>
      <c r="C25" s="3">
        <v>2000000</v>
      </c>
      <c r="D25" s="3">
        <v>155</v>
      </c>
      <c r="E25" s="5">
        <f t="shared" si="0"/>
        <v>23.592085235920852</v>
      </c>
      <c r="F25" s="5">
        <f t="shared" si="1"/>
        <v>17.69406392694064</v>
      </c>
      <c r="G25" s="5">
        <f t="shared" si="2"/>
        <v>8.8470319634703198</v>
      </c>
      <c r="H25" s="22">
        <f t="shared" si="3"/>
        <v>8.8470319634703198</v>
      </c>
      <c r="I25" s="5">
        <f t="shared" si="4"/>
        <v>7.7499999999999999E-2</v>
      </c>
      <c r="M25" s="10">
        <v>2000000</v>
      </c>
      <c r="N25" s="40" t="s">
        <v>294</v>
      </c>
    </row>
    <row r="26" spans="1:14" ht="15.75" customHeight="1" x14ac:dyDescent="0.15">
      <c r="A26" s="3" t="s">
        <v>276</v>
      </c>
      <c r="B26" s="3">
        <v>64</v>
      </c>
      <c r="C26" s="3">
        <v>1600000</v>
      </c>
      <c r="D26" s="3">
        <v>130</v>
      </c>
      <c r="E26" s="5">
        <f t="shared" si="0"/>
        <v>23.187785388127853</v>
      </c>
      <c r="F26" s="5">
        <f t="shared" si="1"/>
        <v>14.840182648401827</v>
      </c>
      <c r="G26" s="5">
        <f t="shared" si="2"/>
        <v>9.275114155251142</v>
      </c>
      <c r="H26" s="22">
        <f t="shared" si="3"/>
        <v>9.275114155251142</v>
      </c>
      <c r="I26" s="5">
        <f t="shared" si="4"/>
        <v>8.1250000000000003E-2</v>
      </c>
      <c r="M26" s="10">
        <v>1600000</v>
      </c>
      <c r="N26" s="40" t="s">
        <v>294</v>
      </c>
    </row>
    <row r="27" spans="1:14" ht="15.75" customHeight="1" x14ac:dyDescent="0.15">
      <c r="A27" s="3" t="s">
        <v>277</v>
      </c>
      <c r="B27" s="3">
        <v>50</v>
      </c>
      <c r="C27" s="3">
        <v>700000</v>
      </c>
      <c r="D27" s="3">
        <v>105.2</v>
      </c>
      <c r="E27" s="5">
        <f t="shared" si="0"/>
        <v>24.018264840182649</v>
      </c>
      <c r="F27" s="5">
        <f t="shared" si="1"/>
        <v>12.009132420091325</v>
      </c>
      <c r="G27" s="5">
        <f t="shared" si="2"/>
        <v>17.155903457273322</v>
      </c>
      <c r="H27" s="22">
        <f t="shared" si="3"/>
        <v>17.155903457273322</v>
      </c>
      <c r="I27" s="5">
        <f t="shared" si="4"/>
        <v>0.15028571428571427</v>
      </c>
      <c r="M27" s="10">
        <v>700000</v>
      </c>
      <c r="N27" s="40" t="s">
        <v>294</v>
      </c>
    </row>
    <row r="28" spans="1:14" ht="15.75" customHeight="1" x14ac:dyDescent="0.15">
      <c r="A28" s="33" t="s">
        <v>278</v>
      </c>
      <c r="B28" s="3">
        <v>50</v>
      </c>
      <c r="C28" s="3">
        <v>576800</v>
      </c>
      <c r="D28" s="3">
        <v>180</v>
      </c>
      <c r="E28" s="5">
        <f t="shared" si="0"/>
        <v>41.095890410958901</v>
      </c>
      <c r="F28" s="5">
        <f t="shared" si="1"/>
        <v>20.547945205479451</v>
      </c>
      <c r="G28" s="5">
        <f t="shared" si="2"/>
        <v>35.624038150969923</v>
      </c>
      <c r="H28" s="22">
        <f t="shared" si="3"/>
        <v>35.624038150969923</v>
      </c>
      <c r="I28" s="5">
        <f>H28*8760*10^-6</f>
        <v>0.31206657420249651</v>
      </c>
      <c r="M28" s="10">
        <v>576800</v>
      </c>
      <c r="N28" s="40" t="s">
        <v>294</v>
      </c>
    </row>
    <row r="29" spans="1:14" ht="15.75" customHeight="1" x14ac:dyDescent="0.15">
      <c r="B29" s="7">
        <f>AVERAGE(B2:B28)</f>
        <v>124.03703703703704</v>
      </c>
      <c r="D29" s="7">
        <f>AVERAGE(D2:D28)</f>
        <v>290.7692222222222</v>
      </c>
      <c r="E29" s="7">
        <f>SUM(E2:E28)/27</f>
        <v>24.844931009163616</v>
      </c>
      <c r="F29" s="7">
        <f t="shared" ref="F29:G29" si="5">AVERAGE(F2:F28)</f>
        <v>33.19283358701167</v>
      </c>
      <c r="G29" s="5">
        <f t="shared" si="5"/>
        <v>20.34402729647255</v>
      </c>
      <c r="H29" s="7">
        <f>SUM(H2:H28)/27</f>
        <v>20.34402729647255</v>
      </c>
      <c r="I29" s="7">
        <f t="shared" ref="I29" si="6">SUM(I2:I28)/27</f>
        <v>0.17821367911709954</v>
      </c>
      <c r="N29" s="40"/>
    </row>
    <row r="30" spans="1:14" ht="15.75" customHeight="1" x14ac:dyDescent="0.15">
      <c r="H30" s="5">
        <f>MEDIAN(H2:H28)</f>
        <v>14.45966514459665</v>
      </c>
    </row>
    <row r="31" spans="1:14" ht="15.75" customHeight="1" x14ac:dyDescent="0.15">
      <c r="D31" s="3">
        <f>290/124</f>
        <v>2.338709677419355</v>
      </c>
      <c r="I31" s="5">
        <f>STDEVPA(I2:I28)</f>
        <v>0.10960793753322788</v>
      </c>
      <c r="J31" s="5">
        <f>I29+I31</f>
        <v>0.28782161665032741</v>
      </c>
    </row>
    <row r="32" spans="1:14" ht="15.75" customHeight="1" x14ac:dyDescent="0.15">
      <c r="H32" s="5">
        <f>STDEVA(H2:H28)</f>
        <v>12.750672989263292</v>
      </c>
      <c r="I32" s="5">
        <f>I29-I31</f>
        <v>6.8605741583871657E-2</v>
      </c>
    </row>
    <row r="33" spans="2:9" ht="15.75" customHeight="1" x14ac:dyDescent="0.15">
      <c r="B33" s="3" t="s">
        <v>227</v>
      </c>
      <c r="C33" s="3" t="s">
        <v>154</v>
      </c>
      <c r="D33" s="3" t="s">
        <v>155</v>
      </c>
      <c r="E33" s="3" t="s">
        <v>279</v>
      </c>
      <c r="F33" s="3" t="s">
        <v>280</v>
      </c>
    </row>
    <row r="34" spans="2:9" ht="15.75" customHeight="1" x14ac:dyDescent="0.15">
      <c r="B34" s="3" t="s">
        <v>228</v>
      </c>
      <c r="C34" s="3">
        <v>31171152</v>
      </c>
      <c r="D34" s="3">
        <v>75113</v>
      </c>
      <c r="E34" s="3">
        <v>28328</v>
      </c>
      <c r="F34" s="3">
        <v>2.4</v>
      </c>
      <c r="G34" s="5">
        <f t="shared" ref="G34:G40" si="7">(D34*10^3)/F34</f>
        <v>31297083.333333336</v>
      </c>
      <c r="H34" s="5">
        <f t="shared" ref="H34:H40" si="8">G34*10^-6*E34</f>
        <v>886583.77666666661</v>
      </c>
      <c r="I34" s="5">
        <f t="shared" ref="I34:I40" si="9">H34/C34*100</f>
        <v>2.8442445010266755</v>
      </c>
    </row>
    <row r="35" spans="2:9" ht="15.75" customHeight="1" x14ac:dyDescent="0.15">
      <c r="B35" s="3" t="s">
        <v>229</v>
      </c>
      <c r="C35" s="3">
        <v>21779847</v>
      </c>
      <c r="D35" s="3">
        <v>30243</v>
      </c>
      <c r="E35" s="3">
        <v>28328</v>
      </c>
      <c r="F35" s="3">
        <v>2.4</v>
      </c>
      <c r="G35" s="5">
        <f t="shared" si="7"/>
        <v>12601250</v>
      </c>
      <c r="H35" s="5">
        <f t="shared" si="8"/>
        <v>356968.21</v>
      </c>
      <c r="I35" s="5">
        <f t="shared" si="9"/>
        <v>1.638984011228362</v>
      </c>
    </row>
    <row r="36" spans="2:9" ht="15.75" customHeight="1" x14ac:dyDescent="0.15">
      <c r="B36" s="3" t="s">
        <v>230</v>
      </c>
      <c r="C36" s="3">
        <v>5959126</v>
      </c>
      <c r="D36" s="3">
        <v>22210</v>
      </c>
      <c r="E36" s="3">
        <v>28328</v>
      </c>
      <c r="F36" s="3">
        <v>2.4</v>
      </c>
      <c r="G36" s="5">
        <f t="shared" si="7"/>
        <v>9254166.6666666679</v>
      </c>
      <c r="H36" s="5">
        <f t="shared" si="8"/>
        <v>262152.03333333338</v>
      </c>
      <c r="I36" s="5">
        <f t="shared" si="9"/>
        <v>4.3991691622787199</v>
      </c>
    </row>
    <row r="37" spans="2:9" ht="15.75" customHeight="1" x14ac:dyDescent="0.15">
      <c r="B37" s="3" t="s">
        <v>231</v>
      </c>
      <c r="C37" s="3">
        <v>20435471</v>
      </c>
      <c r="D37" s="3">
        <v>10084</v>
      </c>
      <c r="E37" s="3">
        <v>28328</v>
      </c>
      <c r="F37" s="3">
        <v>2.4</v>
      </c>
      <c r="G37" s="5">
        <f t="shared" si="7"/>
        <v>4201666.666666667</v>
      </c>
      <c r="H37" s="5">
        <f t="shared" si="8"/>
        <v>119024.81333333334</v>
      </c>
      <c r="I37" s="5">
        <f t="shared" si="9"/>
        <v>0.58244223161449693</v>
      </c>
    </row>
    <row r="38" spans="2:9" ht="15.75" customHeight="1" x14ac:dyDescent="0.15">
      <c r="B38" s="3" t="s">
        <v>232</v>
      </c>
      <c r="C38" s="3">
        <v>29346477</v>
      </c>
      <c r="D38" s="3">
        <v>6450</v>
      </c>
      <c r="E38" s="3">
        <v>28328</v>
      </c>
      <c r="F38" s="3">
        <v>2.4</v>
      </c>
      <c r="G38" s="5">
        <f t="shared" si="7"/>
        <v>2687500</v>
      </c>
      <c r="H38" s="5">
        <f t="shared" si="8"/>
        <v>76131.5</v>
      </c>
      <c r="I38" s="5">
        <f t="shared" si="9"/>
        <v>0.25942296242237189</v>
      </c>
    </row>
    <row r="39" spans="2:9" ht="15.75" customHeight="1" x14ac:dyDescent="0.15">
      <c r="B39" s="3" t="s">
        <v>233</v>
      </c>
      <c r="C39" s="3">
        <v>22129898</v>
      </c>
      <c r="D39" s="3">
        <v>11711</v>
      </c>
      <c r="E39" s="3">
        <v>28328</v>
      </c>
      <c r="F39" s="3">
        <v>2.4</v>
      </c>
      <c r="G39" s="5">
        <f t="shared" si="7"/>
        <v>4879583.333333334</v>
      </c>
      <c r="H39" s="5">
        <f t="shared" si="8"/>
        <v>138228.83666666667</v>
      </c>
      <c r="I39" s="5">
        <f t="shared" si="9"/>
        <v>0.62462482505191252</v>
      </c>
    </row>
    <row r="40" spans="2:9" ht="15.75" customHeight="1" x14ac:dyDescent="0.15">
      <c r="B40" s="3" t="s">
        <v>234</v>
      </c>
      <c r="C40" s="3">
        <v>2380033</v>
      </c>
      <c r="D40" s="3">
        <v>4617</v>
      </c>
      <c r="E40" s="3">
        <v>28328</v>
      </c>
      <c r="F40" s="3">
        <v>2.4</v>
      </c>
      <c r="G40" s="5">
        <f t="shared" si="7"/>
        <v>1923750</v>
      </c>
      <c r="H40" s="5">
        <f t="shared" si="8"/>
        <v>54495.99</v>
      </c>
      <c r="I40" s="5">
        <f t="shared" si="9"/>
        <v>2.2897157308323033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C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0" sqref="H10"/>
    </sheetView>
  </sheetViews>
  <sheetFormatPr baseColWidth="10" defaultColWidth="12.6640625" defaultRowHeight="15.75" customHeight="1" x14ac:dyDescent="0.15"/>
  <cols>
    <col min="1" max="1" width="18.1640625" customWidth="1"/>
    <col min="2" max="2" width="27" customWidth="1"/>
    <col min="5" max="5" width="24.83203125" customWidth="1"/>
    <col min="7" max="7" width="20.6640625" customWidth="1"/>
    <col min="8" max="8" width="21" customWidth="1"/>
    <col min="10" max="10" width="16.5" customWidth="1"/>
    <col min="12" max="12" width="25" customWidth="1"/>
    <col min="13" max="17" width="21.1640625" customWidth="1"/>
    <col min="18" max="18" width="51.1640625" customWidth="1"/>
    <col min="19" max="19" width="19.5" customWidth="1"/>
  </cols>
  <sheetData>
    <row r="1" spans="1:29" ht="15.75" customHeight="1" x14ac:dyDescent="0.15">
      <c r="A1" s="1" t="s">
        <v>281</v>
      </c>
      <c r="B1" s="2" t="s">
        <v>155</v>
      </c>
      <c r="C1" s="3" t="s">
        <v>156</v>
      </c>
      <c r="D1" s="3" t="s">
        <v>157</v>
      </c>
      <c r="E1" s="3" t="s">
        <v>158</v>
      </c>
      <c r="F1" s="3" t="s">
        <v>282</v>
      </c>
      <c r="G1" s="3" t="s">
        <v>283</v>
      </c>
      <c r="H1" s="3" t="s">
        <v>161</v>
      </c>
      <c r="I1" s="3" t="s">
        <v>284</v>
      </c>
      <c r="J1" s="3" t="s">
        <v>285</v>
      </c>
      <c r="K1" s="3" t="s">
        <v>41</v>
      </c>
      <c r="L1" s="3" t="s">
        <v>286</v>
      </c>
      <c r="M1" s="3" t="s">
        <v>287</v>
      </c>
      <c r="N1" s="3" t="s">
        <v>288</v>
      </c>
      <c r="O1" s="3" t="s">
        <v>42</v>
      </c>
      <c r="P1" s="3" t="s">
        <v>289</v>
      </c>
      <c r="Q1" s="3" t="s">
        <v>290</v>
      </c>
      <c r="R1" s="34" t="s">
        <v>291</v>
      </c>
      <c r="S1" s="3" t="s">
        <v>292</v>
      </c>
    </row>
    <row r="2" spans="1:29" ht="15.75" customHeight="1" x14ac:dyDescent="0.15">
      <c r="A2" s="35" t="s">
        <v>228</v>
      </c>
      <c r="B2" s="36">
        <v>12548</v>
      </c>
      <c r="C2" s="36">
        <v>0.255</v>
      </c>
      <c r="D2" s="36">
        <v>0.8</v>
      </c>
      <c r="E2" s="36">
        <v>1920</v>
      </c>
      <c r="F2" s="37">
        <f t="shared" ref="F2:F9" si="0">E2*D2*C2</f>
        <v>391.68</v>
      </c>
      <c r="G2" s="37">
        <f t="shared" ref="G2:G8" si="1">(B2*10^9/F2)</f>
        <v>32036356209.150326</v>
      </c>
      <c r="H2" s="37">
        <f t="shared" ref="H2:H8" si="2">G2*1.7/10^6</f>
        <v>54461.805555555547</v>
      </c>
      <c r="I2" s="37">
        <f t="shared" ref="I2:I9" si="3">H2/361000000*100</f>
        <v>1.5086372730070787E-2</v>
      </c>
      <c r="J2" s="37">
        <f t="shared" ref="J2:J9" si="4">G2*C2/10^6</f>
        <v>8169.270833333333</v>
      </c>
      <c r="K2" s="37">
        <f t="shared" ref="K2:K9" si="5">B2*10^3/(J2*365*24)*100</f>
        <v>17.534246575342465</v>
      </c>
      <c r="L2" s="37">
        <f t="shared" ref="L2:L9" si="6">B2/H2</f>
        <v>0.23040000000000002</v>
      </c>
      <c r="M2" s="37">
        <v>29835635</v>
      </c>
      <c r="N2" s="36">
        <v>31171152</v>
      </c>
      <c r="O2" s="36">
        <f t="shared" ref="O2:O9" si="7">B2/8760</f>
        <v>1.4324200913242009</v>
      </c>
      <c r="P2" s="36">
        <f t="shared" ref="P2:P9" si="8">(O2*10^12)/(H2*10^6)</f>
        <v>26.301369863013701</v>
      </c>
      <c r="Q2" s="36">
        <f t="shared" ref="Q2:Q9" si="9">P2*K2/100</f>
        <v>4.6117470444736348</v>
      </c>
      <c r="R2" s="37">
        <f t="shared" ref="R2:R9" si="10">B2/M2</f>
        <v>4.2057090455758692E-4</v>
      </c>
      <c r="S2" s="37">
        <f t="shared" ref="S2:S9" si="11">R2/L2*100</f>
        <v>0.18253945510311931</v>
      </c>
      <c r="T2" s="37">
        <f t="shared" ref="T2:T9" si="12">H2/M2*100</f>
        <v>0.18253945510311931</v>
      </c>
      <c r="U2" s="37"/>
      <c r="V2" s="37"/>
      <c r="W2" s="37"/>
      <c r="X2" s="37"/>
      <c r="Y2" s="37"/>
      <c r="Z2" s="37"/>
      <c r="AA2" s="37"/>
      <c r="AB2" s="37"/>
      <c r="AC2" s="37"/>
    </row>
    <row r="3" spans="1:29" ht="15.75" customHeight="1" x14ac:dyDescent="0.15">
      <c r="A3" s="2" t="s">
        <v>229</v>
      </c>
      <c r="B3" s="3">
        <v>4827</v>
      </c>
      <c r="C3" s="3">
        <v>0.255</v>
      </c>
      <c r="D3" s="3">
        <v>0.8</v>
      </c>
      <c r="E3" s="3">
        <v>1747</v>
      </c>
      <c r="F3" s="5">
        <f t="shared" si="0"/>
        <v>356.38800000000003</v>
      </c>
      <c r="G3" s="5">
        <f t="shared" si="1"/>
        <v>13544227078.352806</v>
      </c>
      <c r="H3" s="5">
        <f t="shared" si="2"/>
        <v>23025.186033199767</v>
      </c>
      <c r="I3" s="5">
        <f t="shared" si="3"/>
        <v>6.3781678762326226E-3</v>
      </c>
      <c r="J3" s="5">
        <f t="shared" si="4"/>
        <v>3453.7779049799656</v>
      </c>
      <c r="K3" s="5">
        <f t="shared" si="5"/>
        <v>15.954337899543381</v>
      </c>
      <c r="L3" s="5">
        <f t="shared" si="6"/>
        <v>0.20964000000000005</v>
      </c>
      <c r="M3" s="5">
        <v>14106564</v>
      </c>
      <c r="N3" s="3">
        <v>21779847</v>
      </c>
      <c r="O3" s="3">
        <f t="shared" si="7"/>
        <v>0.55102739726027394</v>
      </c>
      <c r="P3" s="3">
        <f t="shared" si="8"/>
        <v>23.93150684931507</v>
      </c>
      <c r="Q3" s="3">
        <f t="shared" si="9"/>
        <v>3.8181134671920942</v>
      </c>
      <c r="R3" s="5">
        <f t="shared" si="10"/>
        <v>3.4218112929555348E-4</v>
      </c>
      <c r="S3" s="5">
        <f t="shared" si="11"/>
        <v>0.1632232061131241</v>
      </c>
      <c r="T3" s="5">
        <f t="shared" si="12"/>
        <v>0.16322320611312413</v>
      </c>
    </row>
    <row r="4" spans="1:29" ht="15.75" customHeight="1" x14ac:dyDescent="0.15">
      <c r="A4" s="2" t="s">
        <v>230</v>
      </c>
      <c r="B4" s="3">
        <v>3666</v>
      </c>
      <c r="C4" s="3">
        <v>0.255</v>
      </c>
      <c r="D4" s="3">
        <v>0.8</v>
      </c>
      <c r="E4" s="3">
        <v>1278</v>
      </c>
      <c r="F4" s="5">
        <f t="shared" si="0"/>
        <v>260.71200000000005</v>
      </c>
      <c r="G4" s="5">
        <f t="shared" si="1"/>
        <v>14061493141.857679</v>
      </c>
      <c r="H4" s="5">
        <f t="shared" si="2"/>
        <v>23904.538341158055</v>
      </c>
      <c r="I4" s="5">
        <f t="shared" si="3"/>
        <v>6.6217557731739762E-3</v>
      </c>
      <c r="J4" s="5">
        <f t="shared" si="4"/>
        <v>3585.6807511737084</v>
      </c>
      <c r="K4" s="5">
        <f t="shared" si="5"/>
        <v>11.671232876712329</v>
      </c>
      <c r="L4" s="5">
        <f t="shared" si="6"/>
        <v>0.15336000000000002</v>
      </c>
      <c r="M4" s="5">
        <v>7752978</v>
      </c>
      <c r="N4" s="3">
        <v>5959126</v>
      </c>
      <c r="O4" s="3">
        <f t="shared" si="7"/>
        <v>0.41849315068493148</v>
      </c>
      <c r="P4" s="3">
        <f t="shared" si="8"/>
        <v>17.506849315068497</v>
      </c>
      <c r="Q4" s="3">
        <f t="shared" si="9"/>
        <v>2.0432651529367614</v>
      </c>
      <c r="R4" s="5">
        <f t="shared" si="10"/>
        <v>4.7285056142297839E-4</v>
      </c>
      <c r="S4" s="5">
        <f t="shared" si="11"/>
        <v>0.3083271788099754</v>
      </c>
      <c r="T4" s="5">
        <f t="shared" si="12"/>
        <v>0.3083271788099754</v>
      </c>
    </row>
    <row r="5" spans="1:29" ht="15.75" customHeight="1" x14ac:dyDescent="0.15">
      <c r="A5" s="2" t="s">
        <v>231</v>
      </c>
      <c r="B5" s="3">
        <v>1515</v>
      </c>
      <c r="C5" s="3">
        <v>0.255</v>
      </c>
      <c r="D5" s="3">
        <v>0.8</v>
      </c>
      <c r="E5" s="3">
        <v>2122</v>
      </c>
      <c r="F5" s="5">
        <f t="shared" si="0"/>
        <v>432.88800000000003</v>
      </c>
      <c r="G5" s="5">
        <f t="shared" si="1"/>
        <v>3499750512.8347282</v>
      </c>
      <c r="H5" s="5">
        <f t="shared" si="2"/>
        <v>5949.5758718190373</v>
      </c>
      <c r="I5" s="5">
        <f t="shared" si="3"/>
        <v>1.6480819589526419E-3</v>
      </c>
      <c r="J5" s="5">
        <f t="shared" si="4"/>
        <v>892.43638077285573</v>
      </c>
      <c r="K5" s="5">
        <f t="shared" si="5"/>
        <v>19.37899543378996</v>
      </c>
      <c r="L5" s="5">
        <f t="shared" si="6"/>
        <v>0.25464000000000003</v>
      </c>
      <c r="M5" s="5">
        <v>19221771</v>
      </c>
      <c r="N5" s="3">
        <v>20435471</v>
      </c>
      <c r="O5" s="3">
        <f t="shared" si="7"/>
        <v>0.17294520547945205</v>
      </c>
      <c r="P5" s="3">
        <f t="shared" si="8"/>
        <v>29.068493150684937</v>
      </c>
      <c r="Q5" s="3">
        <f t="shared" si="9"/>
        <v>5.6331819603427808</v>
      </c>
      <c r="R5" s="5">
        <f t="shared" si="10"/>
        <v>7.8816879048241708E-5</v>
      </c>
      <c r="S5" s="5">
        <f t="shared" si="11"/>
        <v>3.0952277351650053E-2</v>
      </c>
      <c r="T5" s="5">
        <f t="shared" si="12"/>
        <v>3.095227735165005E-2</v>
      </c>
    </row>
    <row r="6" spans="1:29" ht="15.75" customHeight="1" x14ac:dyDescent="0.15">
      <c r="A6" s="2" t="s">
        <v>232</v>
      </c>
      <c r="B6" s="3">
        <v>840</v>
      </c>
      <c r="C6" s="3">
        <v>0.255</v>
      </c>
      <c r="D6" s="3">
        <v>0.8</v>
      </c>
      <c r="E6" s="3">
        <v>2361</v>
      </c>
      <c r="F6" s="5">
        <f t="shared" si="0"/>
        <v>481.64400000000006</v>
      </c>
      <c r="G6" s="5">
        <f t="shared" si="1"/>
        <v>1744026708.5233076</v>
      </c>
      <c r="H6" s="5">
        <f t="shared" si="2"/>
        <v>2964.8454044896225</v>
      </c>
      <c r="I6" s="5">
        <f t="shared" si="3"/>
        <v>8.2128681564809492E-4</v>
      </c>
      <c r="J6" s="5">
        <f t="shared" si="4"/>
        <v>444.72681067344342</v>
      </c>
      <c r="K6" s="5">
        <f t="shared" si="5"/>
        <v>21.56164383561644</v>
      </c>
      <c r="L6" s="5">
        <f t="shared" si="6"/>
        <v>0.28332000000000007</v>
      </c>
      <c r="M6" s="5">
        <v>12774090</v>
      </c>
      <c r="N6" s="3">
        <v>29346477</v>
      </c>
      <c r="O6" s="3">
        <f t="shared" si="7"/>
        <v>9.5890410958904104E-2</v>
      </c>
      <c r="P6" s="3">
        <f t="shared" si="8"/>
        <v>32.342465753424662</v>
      </c>
      <c r="Q6" s="3">
        <f t="shared" si="9"/>
        <v>6.9735672734096461</v>
      </c>
      <c r="R6" s="5">
        <f t="shared" si="10"/>
        <v>6.575810879679101E-5</v>
      </c>
      <c r="S6" s="5">
        <f t="shared" si="11"/>
        <v>2.3209836508820764E-2</v>
      </c>
      <c r="T6" s="5">
        <f t="shared" si="12"/>
        <v>2.3209836508820764E-2</v>
      </c>
    </row>
    <row r="7" spans="1:29" ht="15.75" customHeight="1" x14ac:dyDescent="0.15">
      <c r="A7" s="2" t="s">
        <v>233</v>
      </c>
      <c r="B7" s="3">
        <v>1476</v>
      </c>
      <c r="C7" s="3">
        <v>0.255</v>
      </c>
      <c r="D7" s="3">
        <v>0.8</v>
      </c>
      <c r="E7" s="3">
        <v>1230</v>
      </c>
      <c r="F7" s="5">
        <f t="shared" si="0"/>
        <v>250.92000000000002</v>
      </c>
      <c r="G7" s="5">
        <f t="shared" si="1"/>
        <v>5882352941.1764698</v>
      </c>
      <c r="H7" s="5">
        <f t="shared" si="2"/>
        <v>9999.9999999999982</v>
      </c>
      <c r="I7" s="5">
        <f t="shared" si="3"/>
        <v>2.7700831024930744E-3</v>
      </c>
      <c r="J7" s="5">
        <f t="shared" si="4"/>
        <v>1499.9999999999998</v>
      </c>
      <c r="K7" s="5">
        <f t="shared" si="5"/>
        <v>11.232876712328771</v>
      </c>
      <c r="L7" s="5">
        <f t="shared" si="6"/>
        <v>0.14760000000000004</v>
      </c>
      <c r="M7" s="5">
        <v>7588619</v>
      </c>
      <c r="N7" s="3">
        <v>22129898</v>
      </c>
      <c r="O7" s="3">
        <f t="shared" si="7"/>
        <v>0.16849315068493151</v>
      </c>
      <c r="P7" s="3">
        <f t="shared" si="8"/>
        <v>16.849315068493155</v>
      </c>
      <c r="Q7" s="3">
        <f t="shared" si="9"/>
        <v>1.8926627885156702</v>
      </c>
      <c r="R7" s="5">
        <f t="shared" si="10"/>
        <v>1.9450179275043325E-4</v>
      </c>
      <c r="S7" s="5">
        <f t="shared" si="11"/>
        <v>0.131776282351242</v>
      </c>
      <c r="T7" s="5">
        <f t="shared" si="12"/>
        <v>0.131776282351242</v>
      </c>
    </row>
    <row r="8" spans="1:29" ht="15.75" customHeight="1" x14ac:dyDescent="0.15">
      <c r="A8" s="2" t="s">
        <v>234</v>
      </c>
      <c r="B8" s="3">
        <v>1206</v>
      </c>
      <c r="C8" s="3">
        <v>0.255</v>
      </c>
      <c r="D8" s="3">
        <v>0.8</v>
      </c>
      <c r="E8" s="3">
        <v>2135</v>
      </c>
      <c r="F8" s="5">
        <f t="shared" si="0"/>
        <v>435.54</v>
      </c>
      <c r="G8" s="5">
        <f t="shared" si="1"/>
        <v>2768976443.0362306</v>
      </c>
      <c r="H8" s="5">
        <f t="shared" si="2"/>
        <v>4707.2599531615915</v>
      </c>
      <c r="I8" s="5">
        <f t="shared" si="3"/>
        <v>1.3039501255295266E-3</v>
      </c>
      <c r="J8" s="5">
        <f t="shared" si="4"/>
        <v>706.08899297423875</v>
      </c>
      <c r="K8" s="5">
        <f t="shared" si="5"/>
        <v>19.49771689497717</v>
      </c>
      <c r="L8" s="5">
        <f t="shared" si="6"/>
        <v>0.25620000000000004</v>
      </c>
      <c r="M8" s="5">
        <v>206510</v>
      </c>
      <c r="N8" s="3">
        <v>2380033</v>
      </c>
      <c r="O8" s="3">
        <f t="shared" si="7"/>
        <v>0.13767123287671232</v>
      </c>
      <c r="P8" s="3">
        <f t="shared" si="8"/>
        <v>29.246575342465757</v>
      </c>
      <c r="Q8" s="3">
        <f t="shared" si="9"/>
        <v>5.7024144617501733</v>
      </c>
      <c r="R8" s="5">
        <f t="shared" si="10"/>
        <v>5.8399109001985375E-3</v>
      </c>
      <c r="S8" s="5">
        <f t="shared" si="11"/>
        <v>2.2794343872749945</v>
      </c>
      <c r="T8" s="5">
        <f t="shared" si="12"/>
        <v>2.2794343872749945</v>
      </c>
    </row>
    <row r="9" spans="1:29" ht="15.75" customHeight="1" x14ac:dyDescent="0.15">
      <c r="A9" s="38" t="s">
        <v>235</v>
      </c>
      <c r="B9" s="39">
        <f>SUM(B2:B8)</f>
        <v>26078</v>
      </c>
      <c r="C9" s="19">
        <v>0.255</v>
      </c>
      <c r="D9" s="19">
        <v>0.8</v>
      </c>
      <c r="E9" s="19">
        <v>1827</v>
      </c>
      <c r="F9" s="23">
        <f t="shared" si="0"/>
        <v>372.70800000000003</v>
      </c>
      <c r="G9" s="5">
        <f>SUM(G2:G8)</f>
        <v>73537183034.931549</v>
      </c>
      <c r="H9" s="23">
        <f>G9*1.7/10^6</f>
        <v>125013.21115938363</v>
      </c>
      <c r="I9" s="23">
        <f t="shared" si="3"/>
        <v>3.4629698382100733E-2</v>
      </c>
      <c r="J9" s="23">
        <f t="shared" si="4"/>
        <v>18751.981673907547</v>
      </c>
      <c r="K9" s="23">
        <f t="shared" si="5"/>
        <v>15.875338889711438</v>
      </c>
      <c r="L9" s="23">
        <f t="shared" si="6"/>
        <v>0.20860195301080831</v>
      </c>
      <c r="M9" s="23">
        <v>91486167</v>
      </c>
      <c r="N9" s="19">
        <f>SUM(N2:N8)</f>
        <v>133202004</v>
      </c>
      <c r="O9" s="3">
        <f t="shared" si="7"/>
        <v>2.9769406392694062</v>
      </c>
      <c r="P9" s="3">
        <f t="shared" si="8"/>
        <v>23.813008334567154</v>
      </c>
      <c r="Q9" s="3">
        <f t="shared" si="9"/>
        <v>3.7803957729477657</v>
      </c>
      <c r="R9" s="5">
        <f t="shared" si="10"/>
        <v>2.8504855821536384E-4</v>
      </c>
      <c r="S9" s="5">
        <f t="shared" si="11"/>
        <v>0.13664711863967766</v>
      </c>
      <c r="T9" s="5">
        <f t="shared" si="12"/>
        <v>0.13664711863967766</v>
      </c>
    </row>
    <row r="11" spans="1:29" ht="15.75" customHeight="1" x14ac:dyDescent="0.15">
      <c r="B11" s="3" t="s">
        <v>293</v>
      </c>
      <c r="G11" s="5">
        <v>32036356209.150326</v>
      </c>
    </row>
    <row r="12" spans="1:29" ht="15.75" customHeight="1" x14ac:dyDescent="0.15">
      <c r="B12" s="3">
        <v>0.219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 1</vt:lpstr>
      <vt:lpstr>Solar park</vt:lpstr>
      <vt:lpstr>Solar offshore</vt:lpstr>
      <vt:lpstr>100% solar</vt:lpstr>
      <vt:lpstr>Solar thermal</vt:lpstr>
      <vt:lpstr>100 % offshore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2022-04-17T16:52:08Z</dcterms:created>
  <dcterms:modified xsi:type="dcterms:W3CDTF">2022-06-11T21:16:58Z</dcterms:modified>
</cp:coreProperties>
</file>