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/>
  <mc:AlternateContent xmlns:mc="http://schemas.openxmlformats.org/markup-compatibility/2006">
    <mc:Choice Requires="x15">
      <x15ac:absPath xmlns:x15ac="http://schemas.microsoft.com/office/spreadsheetml/2010/11/ac" url="/Users/jonasnoland/Desktop/PowerDensPaper/"/>
    </mc:Choice>
  </mc:AlternateContent>
  <xr:revisionPtr revIDLastSave="0" documentId="13_ncr:1_{2F5D5AE2-267C-A547-A098-B9F35BE98B1D}" xr6:coauthVersionLast="47" xr6:coauthVersionMax="47" xr10:uidLastSave="{00000000-0000-0000-0000-000000000000}"/>
  <bookViews>
    <workbookView xWindow="0" yWindow="500" windowWidth="35840" windowHeight="20720" activeTab="2" xr2:uid="{00000000-000D-0000-FFFF-FFFF00000000}"/>
  </bookViews>
  <sheets>
    <sheet name="Feuille 1" sheetId="1" r:id="rId1"/>
    <sheet name="Future project" sheetId="2" r:id="rId2"/>
    <sheet name="Feuille 3" sheetId="3" r:id="rId3"/>
    <sheet name="100% wave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3" l="1"/>
  <c r="F2" i="3"/>
  <c r="D2" i="3"/>
  <c r="I2" i="3"/>
  <c r="I13" i="1"/>
  <c r="E13" i="1"/>
  <c r="F13" i="1"/>
  <c r="G13" i="1"/>
  <c r="D13" i="1"/>
  <c r="H7" i="1"/>
  <c r="K9" i="4"/>
  <c r="J9" i="4"/>
  <c r="D9" i="4"/>
  <c r="F9" i="4" s="1"/>
  <c r="N8" i="4"/>
  <c r="O8" i="4" s="1"/>
  <c r="K8" i="4"/>
  <c r="F8" i="4"/>
  <c r="G8" i="4" s="1"/>
  <c r="K7" i="4"/>
  <c r="F7" i="4"/>
  <c r="N7" i="4" s="1"/>
  <c r="O7" i="4" s="1"/>
  <c r="O6" i="4"/>
  <c r="N6" i="4"/>
  <c r="K6" i="4"/>
  <c r="F6" i="4"/>
  <c r="G6" i="4" s="1"/>
  <c r="K5" i="4"/>
  <c r="F5" i="4"/>
  <c r="G5" i="4" s="1"/>
  <c r="K4" i="4"/>
  <c r="F4" i="4"/>
  <c r="N4" i="4" s="1"/>
  <c r="O4" i="4" s="1"/>
  <c r="R3" i="4"/>
  <c r="S3" i="4" s="1"/>
  <c r="N3" i="4"/>
  <c r="O3" i="4" s="1"/>
  <c r="K3" i="4"/>
  <c r="F3" i="4"/>
  <c r="G3" i="4" s="1"/>
  <c r="R2" i="4"/>
  <c r="U2" i="4" s="1"/>
  <c r="K2" i="4"/>
  <c r="G2" i="4"/>
  <c r="T2" i="4" s="1"/>
  <c r="F2" i="4"/>
  <c r="N2" i="4" s="1"/>
  <c r="O2" i="4" s="1"/>
  <c r="H12" i="3"/>
  <c r="D12" i="3"/>
  <c r="F12" i="3" s="1"/>
  <c r="G12" i="3" s="1"/>
  <c r="I12" i="3" s="1"/>
  <c r="H11" i="3"/>
  <c r="D11" i="3"/>
  <c r="F11" i="3" s="1"/>
  <c r="G11" i="3" s="1"/>
  <c r="I11" i="3" s="1"/>
  <c r="H10" i="3"/>
  <c r="D10" i="3"/>
  <c r="F10" i="3" s="1"/>
  <c r="G10" i="3" s="1"/>
  <c r="I10" i="3" s="1"/>
  <c r="H9" i="3"/>
  <c r="D9" i="3"/>
  <c r="F9" i="3" s="1"/>
  <c r="G9" i="3" s="1"/>
  <c r="I9" i="3" s="1"/>
  <c r="H8" i="3"/>
  <c r="D8" i="3"/>
  <c r="F8" i="3" s="1"/>
  <c r="G8" i="3" s="1"/>
  <c r="I8" i="3" s="1"/>
  <c r="H7" i="3"/>
  <c r="D7" i="3"/>
  <c r="F7" i="3" s="1"/>
  <c r="G7" i="3" s="1"/>
  <c r="I7" i="3" s="1"/>
  <c r="H6" i="3"/>
  <c r="D6" i="3"/>
  <c r="F6" i="3" s="1"/>
  <c r="G6" i="3" s="1"/>
  <c r="I6" i="3" s="1"/>
  <c r="H5" i="3"/>
  <c r="D5" i="3"/>
  <c r="F5" i="3" s="1"/>
  <c r="G5" i="3" s="1"/>
  <c r="I5" i="3" s="1"/>
  <c r="H4" i="3"/>
  <c r="F4" i="3"/>
  <c r="G4" i="3" s="1"/>
  <c r="I4" i="3" s="1"/>
  <c r="D4" i="3"/>
  <c r="H3" i="3"/>
  <c r="D3" i="3"/>
  <c r="F3" i="3" s="1"/>
  <c r="G3" i="3" s="1"/>
  <c r="I3" i="3" s="1"/>
  <c r="H2" i="3"/>
  <c r="H14" i="3" s="1"/>
  <c r="K21" i="2"/>
  <c r="J21" i="2"/>
  <c r="D21" i="2"/>
  <c r="U13" i="2"/>
  <c r="V13" i="2" s="1"/>
  <c r="T13" i="2"/>
  <c r="S13" i="2"/>
  <c r="L13" i="2"/>
  <c r="C13" i="2"/>
  <c r="D13" i="2" s="1"/>
  <c r="F13" i="2" s="1"/>
  <c r="U12" i="2"/>
  <c r="V12" i="2" s="1"/>
  <c r="T12" i="2"/>
  <c r="S12" i="2"/>
  <c r="L12" i="2"/>
  <c r="C12" i="2"/>
  <c r="D12" i="2" s="1"/>
  <c r="F12" i="2" s="1"/>
  <c r="U11" i="2"/>
  <c r="V11" i="2" s="1"/>
  <c r="T11" i="2"/>
  <c r="S11" i="2"/>
  <c r="L11" i="2"/>
  <c r="C11" i="2"/>
  <c r="U10" i="2"/>
  <c r="V10" i="2" s="1"/>
  <c r="T10" i="2"/>
  <c r="S10" i="2"/>
  <c r="L10" i="2"/>
  <c r="B10" i="2"/>
  <c r="C10" i="2" s="1"/>
  <c r="D10" i="2" s="1"/>
  <c r="F10" i="2" s="1"/>
  <c r="U9" i="2"/>
  <c r="V9" i="2" s="1"/>
  <c r="T9" i="2"/>
  <c r="S9" i="2"/>
  <c r="L9" i="2"/>
  <c r="C9" i="2"/>
  <c r="D9" i="2" s="1"/>
  <c r="F9" i="2" s="1"/>
  <c r="U8" i="2"/>
  <c r="V8" i="2" s="1"/>
  <c r="D8" i="2" s="1"/>
  <c r="F8" i="2" s="1"/>
  <c r="T8" i="2"/>
  <c r="S8" i="2"/>
  <c r="L8" i="2"/>
  <c r="U7" i="2"/>
  <c r="V7" i="2" s="1"/>
  <c r="D7" i="2" s="1"/>
  <c r="F7" i="2" s="1"/>
  <c r="T7" i="2"/>
  <c r="S7" i="2"/>
  <c r="U6" i="2"/>
  <c r="V6" i="2" s="1"/>
  <c r="D6" i="2" s="1"/>
  <c r="F6" i="2" s="1"/>
  <c r="T6" i="2"/>
  <c r="S6" i="2"/>
  <c r="U5" i="2"/>
  <c r="T5" i="2"/>
  <c r="S5" i="2"/>
  <c r="V5" i="2" s="1"/>
  <c r="D5" i="2" s="1"/>
  <c r="F5" i="2" s="1"/>
  <c r="L5" i="2"/>
  <c r="U4" i="2"/>
  <c r="V4" i="2" s="1"/>
  <c r="D4" i="2" s="1"/>
  <c r="F4" i="2" s="1"/>
  <c r="T4" i="2"/>
  <c r="S4" i="2"/>
  <c r="L4" i="2"/>
  <c r="U3" i="2"/>
  <c r="V3" i="2" s="1"/>
  <c r="D3" i="2" s="1"/>
  <c r="F3" i="2" s="1"/>
  <c r="T3" i="2"/>
  <c r="S3" i="2"/>
  <c r="U2" i="2"/>
  <c r="V2" i="2" s="1"/>
  <c r="D2" i="2" s="1"/>
  <c r="F2" i="2" s="1"/>
  <c r="T2" i="2"/>
  <c r="S2" i="2"/>
  <c r="R2" i="2"/>
  <c r="A48" i="1"/>
  <c r="H36" i="1"/>
  <c r="D36" i="1"/>
  <c r="E36" i="1" s="1"/>
  <c r="F36" i="1" s="1"/>
  <c r="J36" i="1" s="1"/>
  <c r="K36" i="1" s="1"/>
  <c r="H35" i="1"/>
  <c r="D35" i="1"/>
  <c r="E35" i="1" s="1"/>
  <c r="F35" i="1" s="1"/>
  <c r="J35" i="1" s="1"/>
  <c r="K35" i="1" s="1"/>
  <c r="H34" i="1"/>
  <c r="D34" i="1"/>
  <c r="E34" i="1" s="1"/>
  <c r="F34" i="1" s="1"/>
  <c r="J34" i="1" s="1"/>
  <c r="K34" i="1" s="1"/>
  <c r="H33" i="1"/>
  <c r="E33" i="1"/>
  <c r="F33" i="1" s="1"/>
  <c r="J33" i="1" s="1"/>
  <c r="K33" i="1" s="1"/>
  <c r="D33" i="1"/>
  <c r="H32" i="1"/>
  <c r="D32" i="1"/>
  <c r="E32" i="1" s="1"/>
  <c r="F32" i="1" s="1"/>
  <c r="J32" i="1" s="1"/>
  <c r="K32" i="1" s="1"/>
  <c r="H31" i="1"/>
  <c r="D31" i="1"/>
  <c r="E31" i="1" s="1"/>
  <c r="F31" i="1" s="1"/>
  <c r="J31" i="1" s="1"/>
  <c r="K31" i="1" s="1"/>
  <c r="H30" i="1"/>
  <c r="E30" i="1"/>
  <c r="F30" i="1" s="1"/>
  <c r="J30" i="1" s="1"/>
  <c r="K30" i="1" s="1"/>
  <c r="D30" i="1"/>
  <c r="H29" i="1"/>
  <c r="H52" i="1" s="1"/>
  <c r="D29" i="1"/>
  <c r="E29" i="1" s="1"/>
  <c r="F29" i="1" s="1"/>
  <c r="R27" i="1"/>
  <c r="Q27" i="1"/>
  <c r="P27" i="1"/>
  <c r="O27" i="1"/>
  <c r="N27" i="1"/>
  <c r="M27" i="1"/>
  <c r="L27" i="1"/>
  <c r="K27" i="1"/>
  <c r="J27" i="1"/>
  <c r="I27" i="1"/>
  <c r="H27" i="1"/>
  <c r="G27" i="1"/>
  <c r="R22" i="1"/>
  <c r="Q22" i="1"/>
  <c r="P22" i="1"/>
  <c r="O22" i="1"/>
  <c r="N22" i="1"/>
  <c r="M22" i="1"/>
  <c r="L22" i="1"/>
  <c r="K22" i="1"/>
  <c r="J22" i="1"/>
  <c r="I22" i="1"/>
  <c r="H22" i="1"/>
  <c r="G22" i="1"/>
  <c r="D16" i="1"/>
  <c r="G15" i="1"/>
  <c r="D15" i="1"/>
  <c r="E15" i="1" s="1"/>
  <c r="F15" i="1" s="1"/>
  <c r="I15" i="1" s="1"/>
  <c r="J15" i="1" s="1"/>
  <c r="G14" i="1"/>
  <c r="D14" i="1"/>
  <c r="E14" i="1" s="1"/>
  <c r="F14" i="1" s="1"/>
  <c r="I14" i="1" s="1"/>
  <c r="J14" i="1" s="1"/>
  <c r="G16" i="1"/>
  <c r="H8" i="1"/>
  <c r="I6" i="1"/>
  <c r="H6" i="1"/>
  <c r="H5" i="1"/>
  <c r="J4" i="1"/>
  <c r="H4" i="1"/>
  <c r="K3" i="1"/>
  <c r="I3" i="1"/>
  <c r="H3" i="1"/>
  <c r="I2" i="1"/>
  <c r="H2" i="1"/>
  <c r="J9" i="2" l="1"/>
  <c r="G9" i="2"/>
  <c r="H9" i="2" s="1"/>
  <c r="I9" i="2" s="1"/>
  <c r="T5" i="4"/>
  <c r="L5" i="4"/>
  <c r="I5" i="4"/>
  <c r="J4" i="2"/>
  <c r="G4" i="2"/>
  <c r="H4" i="2" s="1"/>
  <c r="I4" i="2" s="1"/>
  <c r="L6" i="4"/>
  <c r="M6" i="4" s="1"/>
  <c r="I6" i="4"/>
  <c r="T6" i="4"/>
  <c r="G13" i="3"/>
  <c r="G16" i="3" s="1"/>
  <c r="J8" i="2"/>
  <c r="G8" i="2"/>
  <c r="H8" i="2" s="1"/>
  <c r="J5" i="2"/>
  <c r="G5" i="2"/>
  <c r="H5" i="2" s="1"/>
  <c r="I5" i="2" s="1"/>
  <c r="J7" i="2"/>
  <c r="G7" i="2"/>
  <c r="H7" i="2" s="1"/>
  <c r="I7" i="2" s="1"/>
  <c r="K7" i="2" s="1"/>
  <c r="L7" i="2" s="1"/>
  <c r="J29" i="1"/>
  <c r="F52" i="1"/>
  <c r="J13" i="2"/>
  <c r="G13" i="2"/>
  <c r="H13" i="2" s="1"/>
  <c r="I13" i="2" s="1"/>
  <c r="J3" i="2"/>
  <c r="G3" i="2"/>
  <c r="H3" i="2" s="1"/>
  <c r="I3" i="2" s="1"/>
  <c r="G12" i="2"/>
  <c r="H12" i="2" s="1"/>
  <c r="I12" i="2" s="1"/>
  <c r="J12" i="2"/>
  <c r="F16" i="1"/>
  <c r="G10" i="2"/>
  <c r="H10" i="2" s="1"/>
  <c r="J10" i="2"/>
  <c r="I8" i="4"/>
  <c r="T8" i="4"/>
  <c r="L8" i="4"/>
  <c r="M8" i="4" s="1"/>
  <c r="M5" i="4"/>
  <c r="I3" i="4"/>
  <c r="T3" i="4"/>
  <c r="L3" i="4"/>
  <c r="M3" i="4" s="1"/>
  <c r="J6" i="2"/>
  <c r="G6" i="2"/>
  <c r="H6" i="2" s="1"/>
  <c r="I6" i="2" s="1"/>
  <c r="K6" i="2" s="1"/>
  <c r="L6" i="2" s="1"/>
  <c r="N9" i="4"/>
  <c r="O9" i="4" s="1"/>
  <c r="G9" i="4"/>
  <c r="K2" i="2"/>
  <c r="L2" i="2" s="1"/>
  <c r="J2" i="2"/>
  <c r="D11" i="2"/>
  <c r="F11" i="2" s="1"/>
  <c r="I2" i="4"/>
  <c r="U3" i="4"/>
  <c r="N5" i="4"/>
  <c r="O5" i="4" s="1"/>
  <c r="G7" i="4"/>
  <c r="S2" i="4"/>
  <c r="G4" i="4"/>
  <c r="L2" i="4"/>
  <c r="M2" i="4" s="1"/>
  <c r="I13" i="3" l="1"/>
  <c r="J2" i="3"/>
  <c r="G15" i="3"/>
  <c r="K3" i="2"/>
  <c r="I16" i="1"/>
  <c r="J13" i="1"/>
  <c r="J14" i="2"/>
  <c r="T9" i="4"/>
  <c r="L9" i="4"/>
  <c r="M9" i="4" s="1"/>
  <c r="I9" i="4"/>
  <c r="T7" i="4"/>
  <c r="L7" i="4"/>
  <c r="M7" i="4" s="1"/>
  <c r="I7" i="4"/>
  <c r="K29" i="1"/>
  <c r="J55" i="1"/>
  <c r="J52" i="1"/>
  <c r="L4" i="4"/>
  <c r="M4" i="4" s="1"/>
  <c r="I4" i="4"/>
  <c r="T4" i="4"/>
  <c r="J11" i="2"/>
  <c r="G11" i="2"/>
  <c r="H11" i="2" s="1"/>
  <c r="I11" i="2" s="1"/>
  <c r="I10" i="2"/>
  <c r="I8" i="2"/>
  <c r="I16" i="2" s="1"/>
  <c r="I14" i="2" l="1"/>
  <c r="J16" i="1"/>
  <c r="L3" i="2"/>
  <c r="L14" i="2" s="1"/>
  <c r="K14" i="2"/>
  <c r="L2" i="3"/>
  <c r="K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3" authorId="0" shapeId="0" xr:uid="{00000000-0006-0000-0000-000001000000}">
      <text>
        <r>
          <rPr>
            <sz val="10"/>
            <color rgb="FF000000"/>
            <rFont val="Arial"/>
            <scheme val="minor"/>
          </rPr>
          <t>Average
	-Antoine Rousset</t>
        </r>
      </text>
    </comment>
  </commentList>
</comments>
</file>

<file path=xl/sharedStrings.xml><?xml version="1.0" encoding="utf-8"?>
<sst xmlns="http://schemas.openxmlformats.org/spreadsheetml/2006/main" count="214" uniqueCount="120">
  <si>
    <t xml:space="preserve">Average Height (m) </t>
  </si>
  <si>
    <t>g (m/s2)</t>
  </si>
  <si>
    <t>density (kg/m3)</t>
  </si>
  <si>
    <t>Energy density (Wh/m2)</t>
  </si>
  <si>
    <t>Annual Energy density (kWh/m2)</t>
  </si>
  <si>
    <t>Power density (kW/m2)</t>
  </si>
  <si>
    <t>10% of all waves</t>
  </si>
  <si>
    <t>The most frequent wave height</t>
  </si>
  <si>
    <t>The average wave heigh</t>
  </si>
  <si>
    <t>The significant wave height</t>
  </si>
  <si>
    <t>Energy density (TWh/km2)</t>
  </si>
  <si>
    <t>The average wave height of the highest 10% of all waves</t>
  </si>
  <si>
    <t>standupdeviation</t>
  </si>
  <si>
    <t>A 5% chance of encountering a single wave among every 2,600 waves that pass in about five hours.</t>
  </si>
  <si>
    <t>MWh</t>
  </si>
  <si>
    <t>MW</t>
  </si>
  <si>
    <t>Capacity installed (MW)</t>
  </si>
  <si>
    <t>Annual production (GWh)</t>
  </si>
  <si>
    <t>Nominal power (MW)</t>
  </si>
  <si>
    <t>Nominal power density</t>
  </si>
  <si>
    <t>Mean power density</t>
  </si>
  <si>
    <t>Capacity factor</t>
  </si>
  <si>
    <t>Area (m2)</t>
  </si>
  <si>
    <t>Energy density (MWh/m2/year)</t>
  </si>
  <si>
    <t>Power density (We/m2)</t>
  </si>
  <si>
    <t xml:space="preserve">Scotland </t>
  </si>
  <si>
    <t>Portugal</t>
  </si>
  <si>
    <t>Wave hub</t>
  </si>
  <si>
    <t>Mean Seasonal Theoretical Wave Energy Resource (MWh/km2) : Close to coast</t>
  </si>
  <si>
    <t>Mean Seasonal Technical Wave Power Resource (Pelamis)  MW/km2</t>
  </si>
  <si>
    <t>Mean Seasonal Technical Energy Resource (Pelamis) GWh/km2</t>
  </si>
  <si>
    <t>Case study : Ireland</t>
  </si>
  <si>
    <t>Spring</t>
  </si>
  <si>
    <t>Summer</t>
  </si>
  <si>
    <t>Autumn</t>
  </si>
  <si>
    <t>Winter</t>
  </si>
  <si>
    <t>Lower value</t>
  </si>
  <si>
    <t>Upper Value</t>
  </si>
  <si>
    <t>Average Value</t>
  </si>
  <si>
    <t>Mean Seasonal Theoretical Wave Energy Resource (MWh/km2) : far from coast</t>
  </si>
  <si>
    <t>Capacity Installed (MW)</t>
  </si>
  <si>
    <t>Nominal Power (MW)</t>
  </si>
  <si>
    <t xml:space="preserve">Nominal power density </t>
  </si>
  <si>
    <t>Mean power density (W/m2)</t>
  </si>
  <si>
    <t>Annual generation (GWh)</t>
  </si>
  <si>
    <t>Power density (W/m2)</t>
  </si>
  <si>
    <t>The Wave Dragon wave generator</t>
  </si>
  <si>
    <t xml:space="preserve">Projet CETO </t>
  </si>
  <si>
    <t>AWS</t>
  </si>
  <si>
    <t>Wave dragon</t>
  </si>
  <si>
    <t xml:space="preserve">Oscillation water column devices: efficiency </t>
  </si>
  <si>
    <t>Device : Oscillation water collumn</t>
  </si>
  <si>
    <t>Power (kW/m)</t>
  </si>
  <si>
    <t>Efficiency</t>
  </si>
  <si>
    <t>Hauteur vague (m)</t>
  </si>
  <si>
    <t>Annual Generation (MWh)</t>
  </si>
  <si>
    <t>Nominal power (KW)</t>
  </si>
  <si>
    <t>nominal power density</t>
  </si>
  <si>
    <t>Capacity factor (%)</t>
  </si>
  <si>
    <t>Ireland</t>
  </si>
  <si>
    <t>pho</t>
  </si>
  <si>
    <t xml:space="preserve">g </t>
  </si>
  <si>
    <t>H</t>
  </si>
  <si>
    <t>E</t>
  </si>
  <si>
    <t>Energy of one wave (J/m2)</t>
  </si>
  <si>
    <t>Energy of one wave (Wh/m2)</t>
  </si>
  <si>
    <t>Velocity of wave (m/s)</t>
  </si>
  <si>
    <t>Power of one wave (kW/m3)</t>
  </si>
  <si>
    <t>Norway</t>
  </si>
  <si>
    <t>Scotland</t>
  </si>
  <si>
    <t>India</t>
  </si>
  <si>
    <t>Spain</t>
  </si>
  <si>
    <t>Whale</t>
  </si>
  <si>
    <t>Japan</t>
  </si>
  <si>
    <t>England</t>
  </si>
  <si>
    <t>France</t>
  </si>
  <si>
    <t>nominal power denisty*capacity factor= mean power density</t>
  </si>
  <si>
    <t>capacity factor*8760/100 = nb of hours per year</t>
  </si>
  <si>
    <t>annual generation/ nb of hour per year -- nominal power</t>
  </si>
  <si>
    <t xml:space="preserve">total conxumption / nb of hours </t>
  </si>
  <si>
    <t>Annual generation*100/8760*nominal power -- capacity factor</t>
  </si>
  <si>
    <t xml:space="preserve">mean power/nb square meters </t>
  </si>
  <si>
    <t xml:space="preserve">result </t>
  </si>
  <si>
    <t xml:space="preserve">Nominal power /area = nominal power density </t>
  </si>
  <si>
    <t>Aquauboy</t>
  </si>
  <si>
    <t xml:space="preserve">Sea dog </t>
  </si>
  <si>
    <t>Annual Generation (GWh)</t>
  </si>
  <si>
    <t>Nominal power density (W/m2)</t>
  </si>
  <si>
    <t>écart type</t>
  </si>
  <si>
    <t>Moyenne - écart</t>
  </si>
  <si>
    <t xml:space="preserve">Moyenne + écart </t>
  </si>
  <si>
    <t>100 % wave: Pelamis</t>
  </si>
  <si>
    <t xml:space="preserve">Contient </t>
  </si>
  <si>
    <t xml:space="preserve">Final concumption (TWh) 2020 </t>
  </si>
  <si>
    <t>Pelamis capacity (KW)</t>
  </si>
  <si>
    <t>Annual generation of a Pelamis</t>
  </si>
  <si>
    <t>Asia-Pacific 2020</t>
  </si>
  <si>
    <t>North America</t>
  </si>
  <si>
    <t>Europe</t>
  </si>
  <si>
    <t>Latine America</t>
  </si>
  <si>
    <t>Africa</t>
  </si>
  <si>
    <t>CIS</t>
  </si>
  <si>
    <t xml:space="preserve">Middle east </t>
  </si>
  <si>
    <t>World 2020</t>
  </si>
  <si>
    <t>Annual generation of a Pelamis (GWh/year)</t>
  </si>
  <si>
    <t>Area for a Pelamis (m2)</t>
  </si>
  <si>
    <t xml:space="preserve">Number of pelamis needed </t>
  </si>
  <si>
    <t>Area (km2)</t>
  </si>
  <si>
    <t>area of ocean (km2)</t>
  </si>
  <si>
    <t>percentage</t>
  </si>
  <si>
    <t>surface</t>
  </si>
  <si>
    <t xml:space="preserve">Energy density consumption </t>
  </si>
  <si>
    <t xml:space="preserve">Energy density </t>
  </si>
  <si>
    <t xml:space="preserve">percentage </t>
  </si>
  <si>
    <t>Capacity installed (GW)</t>
  </si>
  <si>
    <t>ZEE (km²)</t>
  </si>
  <si>
    <t>TW</t>
  </si>
  <si>
    <t>Pc</t>
  </si>
  <si>
    <t>Pd</t>
  </si>
  <si>
    <t>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</si>
</sst>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1"/>
      <color rgb="FF000000"/>
      <name val="&quot;Helvetica Neue&quot;"/>
    </font>
    <font>
      <sz val="10"/>
      <color rgb="FF38761D"/>
      <name val="Arial"/>
      <family val="2"/>
      <scheme val="minor"/>
    </font>
    <font>
      <sz val="10"/>
      <color rgb="FFFF0000"/>
      <name val="Arial"/>
      <family val="2"/>
      <scheme val="minor"/>
    </font>
    <font>
      <u/>
      <sz val="12"/>
      <color rgb="FF333333"/>
      <name val="Merriweather"/>
    </font>
    <font>
      <sz val="11"/>
      <color rgb="FF000000"/>
      <name val="Inconsolata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5E5F5"/>
        <bgColor rgb="FFC5E5F5"/>
      </patternFill>
    </fill>
    <fill>
      <patternFill patternType="solid">
        <fgColor theme="7"/>
        <bgColor theme="7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2" fillId="2" borderId="0" xfId="0" applyFont="1" applyFill="1" applyAlignment="1">
      <alignment horizontal="left"/>
    </xf>
    <xf numFmtId="0" fontId="1" fillId="0" borderId="0" xfId="0" applyFont="1"/>
    <xf numFmtId="0" fontId="1" fillId="3" borderId="0" xfId="0" applyFont="1" applyFill="1" applyAlignment="1"/>
    <xf numFmtId="0" fontId="3" fillId="0" borderId="0" xfId="0" applyFont="1" applyAlignment="1"/>
    <xf numFmtId="0" fontId="4" fillId="0" borderId="0" xfId="0" applyFont="1"/>
    <xf numFmtId="0" fontId="4" fillId="0" borderId="0" xfId="0" applyFont="1" applyAlignment="1"/>
    <xf numFmtId="0" fontId="1" fillId="0" borderId="0" xfId="0" applyFont="1" applyAlignment="1">
      <alignment horizontal="center"/>
    </xf>
    <xf numFmtId="0" fontId="5" fillId="4" borderId="0" xfId="0" applyFont="1" applyFill="1" applyAlignment="1"/>
    <xf numFmtId="0" fontId="1" fillId="0" borderId="0" xfId="0" applyFont="1" applyAlignment="1"/>
    <xf numFmtId="0" fontId="6" fillId="4" borderId="0" xfId="0" applyFont="1" applyFill="1" applyAlignment="1"/>
    <xf numFmtId="0" fontId="7" fillId="0" borderId="0" xfId="0" applyFont="1" applyAlignme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5" borderId="0" xfId="0" applyFont="1" applyFill="1" applyAlignment="1"/>
    <xf numFmtId="0" fontId="1" fillId="5" borderId="0" xfId="0" applyFont="1" applyFill="1" applyAlignment="1"/>
    <xf numFmtId="0" fontId="7" fillId="5" borderId="0" xfId="0" applyFont="1" applyFill="1" applyAlignment="1">
      <alignment horizontal="right"/>
    </xf>
    <xf numFmtId="0" fontId="8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F55"/>
  <sheetViews>
    <sheetView topLeftCell="M1" workbookViewId="0">
      <selection activeCell="AF23" sqref="Y13:AF23"/>
    </sheetView>
  </sheetViews>
  <sheetFormatPr baseColWidth="10" defaultColWidth="12.6640625" defaultRowHeight="15.75" customHeight="1"/>
  <cols>
    <col min="1" max="1" width="54" customWidth="1"/>
    <col min="2" max="2" width="37.5" customWidth="1"/>
    <col min="3" max="6" width="22.6640625" customWidth="1"/>
    <col min="7" max="7" width="24.6640625" customWidth="1"/>
    <col min="8" max="8" width="22.1640625" customWidth="1"/>
    <col min="9" max="9" width="27.33203125" customWidth="1"/>
    <col min="10" max="10" width="24.5" customWidth="1"/>
    <col min="11" max="11" width="23.33203125" customWidth="1"/>
    <col min="14" max="14" width="21.33203125" customWidth="1"/>
  </cols>
  <sheetData>
    <row r="1" spans="1:32" ht="15.75" customHeight="1">
      <c r="B1" s="1" t="s">
        <v>0</v>
      </c>
      <c r="C1" s="1" t="s">
        <v>1</v>
      </c>
      <c r="D1" s="1"/>
      <c r="E1" s="1"/>
      <c r="F1" s="1"/>
      <c r="G1" s="1" t="s">
        <v>2</v>
      </c>
      <c r="H1" s="1" t="s">
        <v>3</v>
      </c>
      <c r="I1" s="1" t="s">
        <v>4</v>
      </c>
      <c r="J1" s="1" t="s">
        <v>5</v>
      </c>
    </row>
    <row r="2" spans="1:32" ht="15.75" customHeight="1">
      <c r="A2" s="2" t="s">
        <v>6</v>
      </c>
      <c r="B2" s="1">
        <v>1</v>
      </c>
      <c r="C2" s="1">
        <v>10</v>
      </c>
      <c r="D2" s="1"/>
      <c r="E2" s="1"/>
      <c r="F2" s="1"/>
      <c r="G2" s="1">
        <v>1025</v>
      </c>
      <c r="H2" s="3">
        <f t="shared" ref="H2:H8" si="0">(1/16)*$C$2*$G$2*B2^2/3600</f>
        <v>0.1779513888888889</v>
      </c>
      <c r="I2" s="3">
        <f>(B2*0.1+B5*0.1+B6*0.1+0.001*B7+0.001*B8+0.498*B3+0.2*B4)*(9600*182.5+4800*182.5)/1000</f>
        <v>8325.5040000000008</v>
      </c>
      <c r="J2" s="1">
        <v>0.95</v>
      </c>
    </row>
    <row r="3" spans="1:32" ht="15.75" customHeight="1">
      <c r="A3" s="2" t="s">
        <v>7</v>
      </c>
      <c r="B3" s="1">
        <v>2.5</v>
      </c>
      <c r="H3" s="3">
        <f t="shared" si="0"/>
        <v>1.1121961805555556</v>
      </c>
      <c r="I3" s="3">
        <f>(B3*9600*182.5+B3*4800*182.5)/1000</f>
        <v>6570</v>
      </c>
      <c r="K3" s="3">
        <f>(I3*10^3)/(365*24)</f>
        <v>750</v>
      </c>
    </row>
    <row r="4" spans="1:32" ht="15.75" customHeight="1">
      <c r="A4" s="2" t="s">
        <v>8</v>
      </c>
      <c r="B4" s="1">
        <v>3</v>
      </c>
      <c r="H4" s="3">
        <f t="shared" si="0"/>
        <v>1.6015625</v>
      </c>
      <c r="J4" s="3">
        <f>I3*10^-3/10^-6</f>
        <v>6570000.0000000009</v>
      </c>
    </row>
    <row r="5" spans="1:32" ht="15.75" customHeight="1">
      <c r="A5" s="2" t="s">
        <v>9</v>
      </c>
      <c r="B5" s="1">
        <v>5</v>
      </c>
      <c r="H5" s="3">
        <f t="shared" si="0"/>
        <v>4.4487847222222223</v>
      </c>
      <c r="I5" s="1" t="s">
        <v>10</v>
      </c>
    </row>
    <row r="6" spans="1:32" ht="15.75" customHeight="1">
      <c r="A6" s="2" t="s">
        <v>6</v>
      </c>
      <c r="B6" s="1">
        <v>7</v>
      </c>
      <c r="H6" s="3">
        <f t="shared" si="0"/>
        <v>8.7196180555555554</v>
      </c>
      <c r="I6" s="3">
        <f>(I3*10^-9)/10^-6</f>
        <v>6.5700000000000012</v>
      </c>
    </row>
    <row r="7" spans="1:32" ht="15.75" customHeight="1">
      <c r="A7" s="2" t="s">
        <v>11</v>
      </c>
      <c r="B7" s="1">
        <v>11</v>
      </c>
      <c r="H7" s="3">
        <f>(1/16)*$C$2*$G$2*B7^2/3600</f>
        <v>21.532118055555557</v>
      </c>
      <c r="K7" s="1" t="s">
        <v>12</v>
      </c>
    </row>
    <row r="8" spans="1:32" ht="15.75" customHeight="1">
      <c r="A8" s="2" t="s">
        <v>13</v>
      </c>
      <c r="B8" s="1">
        <v>12</v>
      </c>
      <c r="H8" s="3">
        <f t="shared" si="0"/>
        <v>25.625</v>
      </c>
    </row>
    <row r="9" spans="1:32" ht="15.75" customHeight="1">
      <c r="I9" s="1" t="s">
        <v>14</v>
      </c>
      <c r="J9" s="1" t="s">
        <v>15</v>
      </c>
    </row>
    <row r="10" spans="1:32" ht="15.75" customHeight="1">
      <c r="I10" s="1"/>
      <c r="J10" s="1"/>
    </row>
    <row r="11" spans="1:32" ht="15.75" customHeight="1">
      <c r="B11" s="1" t="s">
        <v>16</v>
      </c>
      <c r="C11" s="1" t="s">
        <v>17</v>
      </c>
      <c r="D11" s="1" t="s">
        <v>18</v>
      </c>
      <c r="E11" s="1" t="s">
        <v>19</v>
      </c>
      <c r="F11" s="1" t="s">
        <v>20</v>
      </c>
      <c r="G11" s="1" t="s">
        <v>21</v>
      </c>
      <c r="H11" s="1" t="s">
        <v>22</v>
      </c>
      <c r="I11" s="1">
        <v>78800</v>
      </c>
      <c r="J11" s="1">
        <v>78</v>
      </c>
    </row>
    <row r="12" spans="1:32" ht="15.75" customHeight="1">
      <c r="B12" s="1"/>
      <c r="C12" s="1"/>
      <c r="D12" s="1"/>
      <c r="E12" s="1"/>
      <c r="F12" s="1"/>
      <c r="G12" s="1"/>
      <c r="H12" s="1"/>
      <c r="I12" s="1" t="s">
        <v>23</v>
      </c>
      <c r="J12" s="1" t="s">
        <v>24</v>
      </c>
    </row>
    <row r="13" spans="1:32" ht="15.75" customHeight="1">
      <c r="A13" s="1" t="s">
        <v>25</v>
      </c>
      <c r="B13" s="1">
        <v>20</v>
      </c>
      <c r="C13" s="1">
        <v>74.25</v>
      </c>
      <c r="D13" s="1">
        <f>C13*10^3/8760</f>
        <v>8.4760273972602747</v>
      </c>
      <c r="E13" s="1">
        <f>D13*10^6/H13</f>
        <v>4.7465761019179302</v>
      </c>
      <c r="F13" s="1">
        <f>E13*G13/100</f>
        <v>2.0116054541518626</v>
      </c>
      <c r="G13" s="3">
        <f>(C13*10^9)/(365*24*B13*10^6)*100</f>
        <v>42.380136986301373</v>
      </c>
      <c r="H13" s="1">
        <v>1785714</v>
      </c>
      <c r="I13" s="3">
        <f>F13*8760*10^-6</f>
        <v>1.7621663778370315E-2</v>
      </c>
      <c r="J13" s="3">
        <f t="shared" ref="J13:J15" si="1">I13*10^6/(365*24)</f>
        <v>2.0116054541518626</v>
      </c>
      <c r="Y13" s="10">
        <v>20</v>
      </c>
      <c r="Z13" s="18" t="s">
        <v>119</v>
      </c>
      <c r="AB13" s="10">
        <v>74.25</v>
      </c>
      <c r="AC13" s="18" t="s">
        <v>119</v>
      </c>
      <c r="AE13" s="10">
        <v>1785714</v>
      </c>
      <c r="AF13" s="18" t="s">
        <v>119</v>
      </c>
    </row>
    <row r="14" spans="1:32" ht="15.75" customHeight="1">
      <c r="A14" s="1" t="s">
        <v>26</v>
      </c>
      <c r="B14" s="1">
        <v>18.75</v>
      </c>
      <c r="C14" s="1">
        <v>74.25</v>
      </c>
      <c r="D14" s="1">
        <f t="shared" ref="D14:D16" si="2">C14*10^3/8760</f>
        <v>8.4760273972602747</v>
      </c>
      <c r="E14" s="1">
        <f t="shared" ref="E14:E15" si="3">D14*10^6/H14</f>
        <v>4.7465761019179302</v>
      </c>
      <c r="F14" s="1">
        <f t="shared" ref="F14:F15" si="4">E14*G14/100</f>
        <v>2.1457124844286533</v>
      </c>
      <c r="G14" s="3">
        <f t="shared" ref="G14:G15" si="5">(C14*10^9)/(365*24*B14*10^6)*100</f>
        <v>45.205479452054789</v>
      </c>
      <c r="H14" s="1">
        <v>1785714</v>
      </c>
      <c r="I14" s="3">
        <f t="shared" ref="I14:I15" si="6">F14*8760*10^-6</f>
        <v>1.8796441363595002E-2</v>
      </c>
      <c r="J14" s="3">
        <f t="shared" si="1"/>
        <v>2.1457124844286528</v>
      </c>
      <c r="Y14" s="10">
        <v>18.75</v>
      </c>
      <c r="Z14" s="18" t="s">
        <v>119</v>
      </c>
      <c r="AB14" s="10">
        <v>74.25</v>
      </c>
      <c r="AC14" s="18" t="s">
        <v>119</v>
      </c>
      <c r="AE14" s="10">
        <v>1785714</v>
      </c>
      <c r="AF14" s="18" t="s">
        <v>119</v>
      </c>
    </row>
    <row r="15" spans="1:32" ht="15.75" customHeight="1">
      <c r="A15" s="4" t="s">
        <v>26</v>
      </c>
      <c r="B15" s="5">
        <v>2.25</v>
      </c>
      <c r="C15" s="1">
        <v>8.91</v>
      </c>
      <c r="D15" s="1">
        <f t="shared" si="2"/>
        <v>1.0171232876712328</v>
      </c>
      <c r="E15" s="1">
        <f t="shared" si="3"/>
        <v>4.7466133153722758</v>
      </c>
      <c r="F15" s="1">
        <f t="shared" si="4"/>
        <v>2.1457293069491108</v>
      </c>
      <c r="G15" s="3">
        <f t="shared" si="5"/>
        <v>45.205479452054789</v>
      </c>
      <c r="H15" s="1">
        <v>214284</v>
      </c>
      <c r="I15" s="3">
        <f t="shared" si="6"/>
        <v>1.8796588728874207E-2</v>
      </c>
      <c r="J15" s="3">
        <f t="shared" si="1"/>
        <v>2.1457293069491108</v>
      </c>
      <c r="Y15" s="5">
        <v>2.25</v>
      </c>
      <c r="Z15" s="18" t="s">
        <v>119</v>
      </c>
      <c r="AB15" s="10">
        <v>8.91</v>
      </c>
      <c r="AC15" s="18" t="s">
        <v>119</v>
      </c>
      <c r="AE15" s="10">
        <v>214284</v>
      </c>
      <c r="AF15" s="18" t="s">
        <v>119</v>
      </c>
    </row>
    <row r="16" spans="1:32" ht="15.75" customHeight="1">
      <c r="A16" s="1" t="s">
        <v>27</v>
      </c>
      <c r="B16" s="1">
        <v>20</v>
      </c>
      <c r="C16" s="1"/>
      <c r="D16" s="1">
        <f t="shared" si="2"/>
        <v>0</v>
      </c>
      <c r="E16" s="1"/>
      <c r="F16" s="6">
        <f>(SUM(F13:F15)+SUM(J39:J46))/11</f>
        <v>0.62784698114507342</v>
      </c>
      <c r="G16" s="6">
        <f>(SUM(G13:G15)+SUM(H29:H36))/11</f>
        <v>35.085319931210343</v>
      </c>
      <c r="H16" s="1"/>
      <c r="I16" s="7">
        <f t="shared" ref="I16:J16" si="7">(SUM(I13:I15)+SUM(J29:J36))/11</f>
        <v>2.411805453018705E-2</v>
      </c>
      <c r="J16" s="6">
        <f t="shared" si="7"/>
        <v>2.7532025719391608</v>
      </c>
      <c r="Y16" s="10">
        <v>7</v>
      </c>
      <c r="Z16" s="18" t="s">
        <v>119</v>
      </c>
      <c r="AB16" s="10">
        <v>20</v>
      </c>
      <c r="AC16" s="18" t="s">
        <v>119</v>
      </c>
      <c r="AE16" s="10">
        <v>234600</v>
      </c>
      <c r="AF16" s="18" t="s">
        <v>119</v>
      </c>
    </row>
    <row r="17" spans="1:32" ht="15.75" customHeight="1">
      <c r="G17" s="19" t="s">
        <v>28</v>
      </c>
      <c r="H17" s="20"/>
      <c r="I17" s="20"/>
      <c r="J17" s="20"/>
      <c r="K17" s="21" t="s">
        <v>29</v>
      </c>
      <c r="L17" s="20"/>
      <c r="M17" s="20"/>
      <c r="N17" s="20"/>
      <c r="O17" s="21" t="s">
        <v>30</v>
      </c>
      <c r="P17" s="20"/>
      <c r="Q17" s="20"/>
      <c r="R17" s="20"/>
      <c r="Y17" s="10">
        <v>1</v>
      </c>
      <c r="Z17" s="18" t="s">
        <v>119</v>
      </c>
      <c r="AB17" s="10">
        <v>1.64</v>
      </c>
      <c r="AC17" s="18" t="s">
        <v>119</v>
      </c>
      <c r="AE17" s="10">
        <v>50000</v>
      </c>
      <c r="AF17" s="18" t="s">
        <v>119</v>
      </c>
    </row>
    <row r="18" spans="1:32" ht="15.75" customHeight="1">
      <c r="G18" s="8"/>
      <c r="H18" s="8"/>
      <c r="I18" s="8"/>
      <c r="J18" s="8"/>
      <c r="K18" s="1"/>
      <c r="L18" s="1"/>
      <c r="M18" s="1"/>
      <c r="N18" s="1"/>
      <c r="O18" s="1"/>
      <c r="P18" s="1"/>
      <c r="Q18" s="1"/>
      <c r="R18" s="1"/>
      <c r="Y18" s="10">
        <v>1.5</v>
      </c>
      <c r="Z18" s="18" t="s">
        <v>119</v>
      </c>
      <c r="AB18" s="10">
        <v>4</v>
      </c>
      <c r="AC18" s="18" t="s">
        <v>119</v>
      </c>
      <c r="AE18" s="10">
        <v>51000</v>
      </c>
      <c r="AF18" s="18" t="s">
        <v>119</v>
      </c>
    </row>
    <row r="19" spans="1:32" ht="15.75" customHeight="1">
      <c r="C19" s="1" t="s">
        <v>31</v>
      </c>
      <c r="D19" s="1"/>
      <c r="E19" s="1"/>
      <c r="F19" s="1"/>
      <c r="G19" s="1" t="s">
        <v>32</v>
      </c>
      <c r="H19" s="1" t="s">
        <v>33</v>
      </c>
      <c r="I19" s="1" t="s">
        <v>34</v>
      </c>
      <c r="J19" s="1" t="s">
        <v>35</v>
      </c>
      <c r="K19" s="1" t="s">
        <v>32</v>
      </c>
      <c r="L19" s="1" t="s">
        <v>33</v>
      </c>
      <c r="M19" s="1" t="s">
        <v>34</v>
      </c>
      <c r="N19" s="1" t="s">
        <v>35</v>
      </c>
      <c r="O19" s="1" t="s">
        <v>32</v>
      </c>
      <c r="P19" s="1" t="s">
        <v>33</v>
      </c>
      <c r="Q19" s="1" t="s">
        <v>34</v>
      </c>
      <c r="R19" s="1" t="s">
        <v>35</v>
      </c>
      <c r="Y19" s="10">
        <v>4</v>
      </c>
      <c r="Z19" s="18" t="s">
        <v>119</v>
      </c>
      <c r="AB19" s="10">
        <v>12</v>
      </c>
      <c r="AC19" s="18" t="s">
        <v>119</v>
      </c>
      <c r="AE19" s="10">
        <v>132600</v>
      </c>
      <c r="AF19" s="18" t="s">
        <v>119</v>
      </c>
    </row>
    <row r="20" spans="1:32" ht="15.75" customHeight="1">
      <c r="C20" s="1" t="s">
        <v>36</v>
      </c>
      <c r="D20" s="1"/>
      <c r="E20" s="1"/>
      <c r="F20" s="1"/>
      <c r="G20" s="1">
        <v>50</v>
      </c>
      <c r="H20" s="1">
        <v>0</v>
      </c>
      <c r="I20" s="1">
        <v>50</v>
      </c>
      <c r="J20" s="1">
        <v>100</v>
      </c>
      <c r="K20" s="1">
        <v>1.5</v>
      </c>
      <c r="L20" s="1">
        <v>0.5</v>
      </c>
      <c r="M20" s="1">
        <v>1.5</v>
      </c>
      <c r="N20" s="1">
        <v>2</v>
      </c>
      <c r="O20" s="1">
        <v>4</v>
      </c>
      <c r="P20" s="1">
        <v>2</v>
      </c>
      <c r="Q20" s="1">
        <v>4</v>
      </c>
      <c r="R20" s="1">
        <v>6</v>
      </c>
      <c r="Y20" s="10">
        <v>12</v>
      </c>
      <c r="Z20" s="18" t="s">
        <v>119</v>
      </c>
      <c r="AB20" s="10">
        <v>35</v>
      </c>
      <c r="AC20" s="18" t="s">
        <v>119</v>
      </c>
      <c r="AE20" s="10">
        <v>408000</v>
      </c>
      <c r="AF20" s="18" t="s">
        <v>119</v>
      </c>
    </row>
    <row r="21" spans="1:32" ht="15.75" customHeight="1">
      <c r="C21" s="1" t="s">
        <v>37</v>
      </c>
      <c r="D21" s="1"/>
      <c r="E21" s="1"/>
      <c r="F21" s="1"/>
      <c r="G21" s="1">
        <v>75</v>
      </c>
      <c r="H21" s="1">
        <v>25</v>
      </c>
      <c r="I21" s="1">
        <v>75</v>
      </c>
      <c r="J21" s="1">
        <v>125</v>
      </c>
      <c r="K21" s="1">
        <v>2</v>
      </c>
      <c r="L21" s="1">
        <v>1</v>
      </c>
      <c r="M21" s="1">
        <v>2</v>
      </c>
      <c r="N21" s="1">
        <v>2.5</v>
      </c>
      <c r="O21" s="1">
        <v>6</v>
      </c>
      <c r="P21" s="1">
        <v>4</v>
      </c>
      <c r="Q21" s="1">
        <v>6</v>
      </c>
      <c r="R21" s="1">
        <v>8</v>
      </c>
      <c r="Y21" s="10">
        <v>2.1</v>
      </c>
      <c r="Z21" s="18" t="s">
        <v>119</v>
      </c>
      <c r="AB21" s="10">
        <v>6.5</v>
      </c>
      <c r="AC21" s="18" t="s">
        <v>119</v>
      </c>
      <c r="AE21" s="10">
        <v>71400</v>
      </c>
      <c r="AF21" s="18" t="s">
        <v>119</v>
      </c>
    </row>
    <row r="22" spans="1:32" ht="15.75" customHeight="1">
      <c r="C22" s="1" t="s">
        <v>38</v>
      </c>
      <c r="D22" s="1"/>
      <c r="E22" s="1"/>
      <c r="F22" s="1"/>
      <c r="G22" s="3">
        <f t="shared" ref="G22:R22" si="8">(G20+G21)/2</f>
        <v>62.5</v>
      </c>
      <c r="H22" s="3">
        <f t="shared" si="8"/>
        <v>12.5</v>
      </c>
      <c r="I22" s="3">
        <f t="shared" si="8"/>
        <v>62.5</v>
      </c>
      <c r="J22" s="3">
        <f t="shared" si="8"/>
        <v>112.5</v>
      </c>
      <c r="K22" s="3">
        <f t="shared" si="8"/>
        <v>1.75</v>
      </c>
      <c r="L22" s="3">
        <f t="shared" si="8"/>
        <v>0.75</v>
      </c>
      <c r="M22" s="3">
        <f t="shared" si="8"/>
        <v>1.75</v>
      </c>
      <c r="N22" s="3">
        <f t="shared" si="8"/>
        <v>2.25</v>
      </c>
      <c r="O22" s="3">
        <f t="shared" si="8"/>
        <v>5</v>
      </c>
      <c r="P22" s="3">
        <f t="shared" si="8"/>
        <v>3</v>
      </c>
      <c r="Q22" s="3">
        <f t="shared" si="8"/>
        <v>5</v>
      </c>
      <c r="R22" s="3">
        <f t="shared" si="8"/>
        <v>7</v>
      </c>
      <c r="Y22" s="10">
        <v>20</v>
      </c>
      <c r="Z22" s="18" t="s">
        <v>119</v>
      </c>
      <c r="AB22" s="10">
        <v>60</v>
      </c>
      <c r="AC22" s="18" t="s">
        <v>119</v>
      </c>
      <c r="AE22" s="10">
        <v>678300</v>
      </c>
      <c r="AF22" s="18" t="s">
        <v>119</v>
      </c>
    </row>
    <row r="23" spans="1:32" ht="15.75" customHeight="1">
      <c r="G23" s="19" t="s">
        <v>39</v>
      </c>
      <c r="H23" s="20"/>
      <c r="I23" s="20"/>
      <c r="J23" s="20"/>
      <c r="K23" s="21" t="s">
        <v>29</v>
      </c>
      <c r="L23" s="20"/>
      <c r="M23" s="20"/>
      <c r="N23" s="20"/>
      <c r="O23" s="21" t="s">
        <v>30</v>
      </c>
      <c r="P23" s="20"/>
      <c r="Q23" s="20"/>
      <c r="R23" s="20"/>
      <c r="Y23" s="10">
        <v>50</v>
      </c>
      <c r="Z23" s="18" t="s">
        <v>119</v>
      </c>
      <c r="AB23" s="10">
        <v>150</v>
      </c>
      <c r="AC23" s="18" t="s">
        <v>119</v>
      </c>
      <c r="AE23" s="10">
        <v>1698300</v>
      </c>
      <c r="AF23" s="18" t="s">
        <v>119</v>
      </c>
    </row>
    <row r="24" spans="1:32" ht="15.75" customHeight="1">
      <c r="G24" s="1" t="s">
        <v>32</v>
      </c>
      <c r="H24" s="1" t="s">
        <v>33</v>
      </c>
      <c r="I24" s="1" t="s">
        <v>34</v>
      </c>
      <c r="J24" s="1" t="s">
        <v>35</v>
      </c>
      <c r="K24" s="1" t="s">
        <v>32</v>
      </c>
      <c r="L24" s="1" t="s">
        <v>33</v>
      </c>
      <c r="M24" s="1" t="s">
        <v>34</v>
      </c>
      <c r="N24" s="1" t="s">
        <v>35</v>
      </c>
      <c r="O24" s="1" t="s">
        <v>32</v>
      </c>
      <c r="P24" s="1" t="s">
        <v>33</v>
      </c>
      <c r="Q24" s="1" t="s">
        <v>34</v>
      </c>
      <c r="R24" s="1" t="s">
        <v>35</v>
      </c>
    </row>
    <row r="25" spans="1:32" ht="15.75" customHeight="1">
      <c r="C25" s="1" t="s">
        <v>36</v>
      </c>
      <c r="D25" s="1"/>
      <c r="E25" s="1"/>
      <c r="F25" s="1"/>
      <c r="G25" s="1">
        <v>125</v>
      </c>
      <c r="H25" s="1">
        <v>25</v>
      </c>
      <c r="I25" s="1">
        <v>100</v>
      </c>
      <c r="J25" s="1">
        <v>225</v>
      </c>
      <c r="K25" s="1">
        <v>4.8499999999999996</v>
      </c>
      <c r="L25" s="1">
        <v>2.5</v>
      </c>
      <c r="M25" s="1">
        <v>4.5</v>
      </c>
      <c r="N25" s="1">
        <v>5.5</v>
      </c>
      <c r="O25" s="1">
        <v>10</v>
      </c>
      <c r="P25" s="1">
        <v>4</v>
      </c>
      <c r="Q25" s="1">
        <v>8</v>
      </c>
      <c r="R25" s="1">
        <v>12</v>
      </c>
    </row>
    <row r="26" spans="1:32" ht="15.75" customHeight="1">
      <c r="C26" s="1" t="s">
        <v>37</v>
      </c>
      <c r="D26" s="1"/>
      <c r="E26" s="1"/>
      <c r="F26" s="1"/>
      <c r="G26" s="1">
        <v>150</v>
      </c>
      <c r="H26" s="1">
        <v>50</v>
      </c>
      <c r="I26" s="1">
        <v>125</v>
      </c>
      <c r="J26" s="1">
        <v>250</v>
      </c>
      <c r="K26" s="1">
        <v>4.87</v>
      </c>
      <c r="L26" s="1">
        <v>2.79</v>
      </c>
      <c r="M26" s="1">
        <v>4.7</v>
      </c>
      <c r="N26" s="1">
        <v>6</v>
      </c>
      <c r="O26" s="1">
        <v>10.77</v>
      </c>
      <c r="P26" s="1">
        <v>6</v>
      </c>
      <c r="Q26" s="1">
        <v>10</v>
      </c>
      <c r="R26" s="1">
        <v>13.68</v>
      </c>
    </row>
    <row r="27" spans="1:32" ht="15.75" customHeight="1">
      <c r="C27" s="1" t="s">
        <v>38</v>
      </c>
      <c r="D27" s="1"/>
      <c r="E27" s="1"/>
      <c r="F27" s="1"/>
      <c r="G27" s="3">
        <f t="shared" ref="G27:R27" si="9">(G25+G26)/2</f>
        <v>137.5</v>
      </c>
      <c r="H27" s="3">
        <f t="shared" si="9"/>
        <v>37.5</v>
      </c>
      <c r="I27" s="3">
        <f t="shared" si="9"/>
        <v>112.5</v>
      </c>
      <c r="J27" s="3">
        <f t="shared" si="9"/>
        <v>237.5</v>
      </c>
      <c r="K27" s="3">
        <f t="shared" si="9"/>
        <v>4.8599999999999994</v>
      </c>
      <c r="L27" s="3">
        <f t="shared" si="9"/>
        <v>2.645</v>
      </c>
      <c r="M27" s="3">
        <f t="shared" si="9"/>
        <v>4.5999999999999996</v>
      </c>
      <c r="N27" s="3">
        <f t="shared" si="9"/>
        <v>5.75</v>
      </c>
      <c r="O27" s="3">
        <f t="shared" si="9"/>
        <v>10.385</v>
      </c>
      <c r="P27" s="3">
        <f t="shared" si="9"/>
        <v>5</v>
      </c>
      <c r="Q27" s="3">
        <f t="shared" si="9"/>
        <v>9</v>
      </c>
      <c r="R27" s="3">
        <f t="shared" si="9"/>
        <v>12.84</v>
      </c>
    </row>
    <row r="28" spans="1:32" ht="15.75" customHeight="1">
      <c r="C28" s="1" t="s">
        <v>40</v>
      </c>
      <c r="D28" s="1" t="s">
        <v>41</v>
      </c>
      <c r="E28" s="1" t="s">
        <v>42</v>
      </c>
      <c r="F28" s="1" t="s">
        <v>43</v>
      </c>
      <c r="G28" s="1" t="s">
        <v>44</v>
      </c>
      <c r="H28" s="1" t="s">
        <v>21</v>
      </c>
      <c r="I28" s="1" t="s">
        <v>22</v>
      </c>
      <c r="J28" s="1" t="s">
        <v>23</v>
      </c>
      <c r="K28" s="1" t="s">
        <v>45</v>
      </c>
    </row>
    <row r="29" spans="1:32" ht="15.75" customHeight="1">
      <c r="B29" s="1" t="s">
        <v>46</v>
      </c>
      <c r="C29" s="1">
        <v>7</v>
      </c>
      <c r="D29" s="1">
        <f t="shared" ref="D29:D36" si="10">G29*10^3/8760</f>
        <v>2.2831050228310503</v>
      </c>
      <c r="E29" s="1">
        <f t="shared" ref="E29:E36" si="11">D29*10^6/I29</f>
        <v>9.7319054681630437</v>
      </c>
      <c r="F29" s="1">
        <f t="shared" ref="F29:F36" si="12">E29*H29/100</f>
        <v>3.1741374651542866</v>
      </c>
      <c r="G29" s="1">
        <v>20</v>
      </c>
      <c r="H29" s="3">
        <f t="shared" ref="H29:H36" si="13">G29*10^3/(C29*365*24)*100</f>
        <v>32.615786040443574</v>
      </c>
      <c r="I29" s="1">
        <v>234600</v>
      </c>
      <c r="J29" s="3">
        <f t="shared" ref="J29:J36" si="14">F29*8760*10^-6</f>
        <v>2.780544419475155E-2</v>
      </c>
      <c r="K29" s="3">
        <f t="shared" ref="K29:K36" si="15">J29*10^6/(365*24)</f>
        <v>3.1741374651542866</v>
      </c>
    </row>
    <row r="30" spans="1:32" ht="15.75" customHeight="1">
      <c r="A30" s="1" t="s">
        <v>47</v>
      </c>
      <c r="B30" s="1" t="s">
        <v>48</v>
      </c>
      <c r="C30" s="1">
        <v>1</v>
      </c>
      <c r="D30" s="1">
        <f t="shared" si="10"/>
        <v>0.18721461187214611</v>
      </c>
      <c r="E30" s="1">
        <f t="shared" si="11"/>
        <v>3.7442922374429224</v>
      </c>
      <c r="F30" s="1">
        <f t="shared" si="12"/>
        <v>0.70098621796876626</v>
      </c>
      <c r="G30" s="1">
        <v>1.64</v>
      </c>
      <c r="H30" s="3">
        <f t="shared" si="13"/>
        <v>18.721461187214611</v>
      </c>
      <c r="I30" s="1">
        <v>50000</v>
      </c>
      <c r="J30" s="3">
        <f t="shared" si="14"/>
        <v>6.140639269406392E-3</v>
      </c>
      <c r="K30" s="3">
        <f t="shared" si="15"/>
        <v>0.70098621796876615</v>
      </c>
    </row>
    <row r="31" spans="1:32" ht="15.75" customHeight="1">
      <c r="B31" s="1" t="s">
        <v>49</v>
      </c>
      <c r="C31" s="1">
        <v>1.5</v>
      </c>
      <c r="D31" s="1">
        <f t="shared" si="10"/>
        <v>0.45662100456621002</v>
      </c>
      <c r="E31" s="1">
        <f t="shared" si="11"/>
        <v>8.9533530307099998</v>
      </c>
      <c r="F31" s="1">
        <f t="shared" si="12"/>
        <v>2.7255260367458138</v>
      </c>
      <c r="G31" s="1">
        <v>4</v>
      </c>
      <c r="H31" s="3">
        <f t="shared" si="13"/>
        <v>30.441400304414003</v>
      </c>
      <c r="I31" s="1">
        <v>51000</v>
      </c>
      <c r="J31" s="3">
        <f t="shared" si="14"/>
        <v>2.3875608081893328E-2</v>
      </c>
      <c r="K31" s="3">
        <f t="shared" si="15"/>
        <v>2.7255260367458138</v>
      </c>
    </row>
    <row r="32" spans="1:32" ht="15.75" customHeight="1">
      <c r="B32" s="1" t="s">
        <v>49</v>
      </c>
      <c r="C32" s="1">
        <v>4</v>
      </c>
      <c r="D32" s="1">
        <f t="shared" si="10"/>
        <v>1.3698630136986301</v>
      </c>
      <c r="E32" s="1">
        <f t="shared" si="11"/>
        <v>10.330791958511538</v>
      </c>
      <c r="F32" s="1">
        <f t="shared" si="12"/>
        <v>3.5379424515450473</v>
      </c>
      <c r="G32" s="1">
        <v>12</v>
      </c>
      <c r="H32" s="3">
        <f t="shared" si="13"/>
        <v>34.246575342465754</v>
      </c>
      <c r="I32" s="1">
        <v>132600</v>
      </c>
      <c r="J32" s="3">
        <f t="shared" si="14"/>
        <v>3.0992375875534613E-2</v>
      </c>
      <c r="K32" s="3">
        <f t="shared" si="15"/>
        <v>3.5379424515450473</v>
      </c>
    </row>
    <row r="33" spans="1:11" ht="15.75" customHeight="1">
      <c r="B33" s="1" t="s">
        <v>49</v>
      </c>
      <c r="C33" s="1">
        <v>12</v>
      </c>
      <c r="D33" s="1">
        <f t="shared" si="10"/>
        <v>3.9954337899543377</v>
      </c>
      <c r="E33" s="1">
        <f t="shared" si="11"/>
        <v>9.7927298773390632</v>
      </c>
      <c r="F33" s="1">
        <f t="shared" si="12"/>
        <v>3.2605169873179909</v>
      </c>
      <c r="G33" s="1">
        <v>35</v>
      </c>
      <c r="H33" s="3">
        <f t="shared" si="13"/>
        <v>33.295281582952818</v>
      </c>
      <c r="I33" s="1">
        <v>408000</v>
      </c>
      <c r="J33" s="3">
        <f t="shared" si="14"/>
        <v>2.8562128808905598E-2</v>
      </c>
      <c r="K33" s="3">
        <f t="shared" si="15"/>
        <v>3.2605169873179904</v>
      </c>
    </row>
    <row r="34" spans="1:11" ht="15.75" customHeight="1">
      <c r="B34" s="1" t="s">
        <v>49</v>
      </c>
      <c r="C34" s="1">
        <v>2.1</v>
      </c>
      <c r="D34" s="1">
        <f t="shared" si="10"/>
        <v>0.74200913242009137</v>
      </c>
      <c r="E34" s="1">
        <f t="shared" si="11"/>
        <v>10.392284767788395</v>
      </c>
      <c r="F34" s="1">
        <f t="shared" si="12"/>
        <v>3.671985811623427</v>
      </c>
      <c r="G34" s="1">
        <v>6.5</v>
      </c>
      <c r="H34" s="3">
        <f t="shared" si="13"/>
        <v>35.333768210480535</v>
      </c>
      <c r="I34" s="1">
        <v>71400</v>
      </c>
      <c r="J34" s="3">
        <f t="shared" si="14"/>
        <v>3.2166595709821222E-2</v>
      </c>
      <c r="K34" s="3">
        <f t="shared" si="15"/>
        <v>3.671985811623427</v>
      </c>
    </row>
    <row r="35" spans="1:11" ht="15.75" customHeight="1">
      <c r="B35" s="1" t="s">
        <v>27</v>
      </c>
      <c r="C35" s="1">
        <v>20</v>
      </c>
      <c r="D35" s="1">
        <f t="shared" si="10"/>
        <v>6.8493150684931505</v>
      </c>
      <c r="E35" s="1">
        <f t="shared" si="11"/>
        <v>10.097766575988722</v>
      </c>
      <c r="F35" s="1">
        <f t="shared" si="12"/>
        <v>3.458139238352302</v>
      </c>
      <c r="G35" s="1">
        <v>60</v>
      </c>
      <c r="H35" s="3">
        <f t="shared" si="13"/>
        <v>34.246575342465754</v>
      </c>
      <c r="I35" s="1">
        <v>678300</v>
      </c>
      <c r="J35" s="3">
        <f t="shared" si="14"/>
        <v>3.0293299727966162E-2</v>
      </c>
      <c r="K35" s="3">
        <f t="shared" si="15"/>
        <v>3.4581392383523015</v>
      </c>
    </row>
    <row r="36" spans="1:11" ht="15.75" customHeight="1">
      <c r="B36" s="1" t="s">
        <v>27</v>
      </c>
      <c r="C36" s="1">
        <v>50</v>
      </c>
      <c r="D36" s="1">
        <f t="shared" si="10"/>
        <v>17.123287671232877</v>
      </c>
      <c r="E36" s="1">
        <f t="shared" si="11"/>
        <v>10.082604764313063</v>
      </c>
      <c r="F36" s="1">
        <f t="shared" si="12"/>
        <v>3.4529468370935144</v>
      </c>
      <c r="G36" s="1">
        <v>150</v>
      </c>
      <c r="H36" s="3">
        <f t="shared" si="13"/>
        <v>34.246575342465754</v>
      </c>
      <c r="I36" s="1">
        <v>1698300</v>
      </c>
      <c r="J36" s="3">
        <f t="shared" si="14"/>
        <v>3.0247814292939185E-2</v>
      </c>
      <c r="K36" s="3">
        <f t="shared" si="15"/>
        <v>3.4529468370935139</v>
      </c>
    </row>
    <row r="37" spans="1:11" ht="15.75" customHeight="1">
      <c r="F37" s="3">
        <v>5.7172210003924695</v>
      </c>
      <c r="H37" s="3">
        <v>42.380136986301373</v>
      </c>
      <c r="J37" s="3">
        <v>1.7621663778370315E-2</v>
      </c>
    </row>
    <row r="38" spans="1:11" ht="15.75" customHeight="1">
      <c r="F38" s="3">
        <v>4.2349785188092383E-2</v>
      </c>
      <c r="H38" s="3">
        <v>45.205479452054789</v>
      </c>
      <c r="J38" s="3">
        <v>1.8796441363595002E-2</v>
      </c>
    </row>
    <row r="39" spans="1:11" ht="16">
      <c r="A39" s="9" t="s">
        <v>50</v>
      </c>
      <c r="F39" s="3">
        <v>0.3058643228422212</v>
      </c>
      <c r="H39" s="3">
        <v>45.205479452054789</v>
      </c>
      <c r="J39" s="3">
        <v>1.8796588728874207E-2</v>
      </c>
    </row>
    <row r="40" spans="1:11" ht="15.75" customHeight="1">
      <c r="A40" s="1">
        <v>11.6</v>
      </c>
      <c r="F40" s="3">
        <v>11.715344625021981</v>
      </c>
      <c r="H40" s="3">
        <v>41.414566279483608</v>
      </c>
      <c r="J40" s="3">
        <v>5.0082855963438033E-2</v>
      </c>
    </row>
    <row r="41" spans="1:11" ht="15.75" customHeight="1">
      <c r="A41" s="1">
        <v>40.869999999999997</v>
      </c>
      <c r="F41" s="3">
        <v>48.701575369743225</v>
      </c>
      <c r="H41" s="3">
        <v>4.6016184754981797</v>
      </c>
      <c r="J41" s="3">
        <v>3.7098411824768924E-4</v>
      </c>
    </row>
    <row r="42" spans="1:11" ht="15.75" customHeight="1">
      <c r="A42" s="1">
        <v>24.42</v>
      </c>
      <c r="F42" s="3">
        <v>0.23821754168301962</v>
      </c>
      <c r="H42" s="3">
        <v>7.5729492625341468</v>
      </c>
      <c r="J42" s="3">
        <v>2.6793714680978576E-3</v>
      </c>
    </row>
    <row r="43" spans="1:11" ht="15.75" customHeight="1">
      <c r="A43" s="1">
        <v>17.899999999999999</v>
      </c>
      <c r="F43" s="3">
        <v>8.4699570376184729E-5</v>
      </c>
      <c r="H43" s="3">
        <v>54.48316274989844</v>
      </c>
      <c r="J43" s="3">
        <v>0.10262641891519254</v>
      </c>
    </row>
    <row r="44" spans="1:11" ht="15.75" customHeight="1">
      <c r="A44" s="1">
        <v>2</v>
      </c>
      <c r="F44" s="3">
        <v>2.032789689028433E-2</v>
      </c>
      <c r="H44" s="3">
        <v>182.22409162972792</v>
      </c>
      <c r="J44" s="3">
        <v>0.42662580023895064</v>
      </c>
    </row>
    <row r="45" spans="1:11" ht="15.75" customHeight="1">
      <c r="A45" s="1">
        <v>10</v>
      </c>
      <c r="F45" s="3">
        <v>0.41869115126207501</v>
      </c>
      <c r="H45" s="3">
        <v>17.256069283118176</v>
      </c>
      <c r="J45" s="3">
        <v>2.0867856651432515E-3</v>
      </c>
    </row>
    <row r="46" spans="1:11" ht="15.75" customHeight="1">
      <c r="A46" s="1">
        <v>31</v>
      </c>
      <c r="F46" s="3">
        <v>3.4303326002354827E-2</v>
      </c>
      <c r="H46" s="3">
        <v>0.18406473901992715</v>
      </c>
      <c r="J46" s="3">
        <v>7.4196823649537825E-7</v>
      </c>
    </row>
    <row r="47" spans="1:11" ht="15.75" customHeight="1">
      <c r="A47" s="1">
        <v>17</v>
      </c>
      <c r="F47" s="3">
        <v>3.0586432284222122E-2</v>
      </c>
      <c r="H47" s="3">
        <v>1.8406473901992717</v>
      </c>
      <c r="J47" s="3">
        <v>1.7807237675889073E-4</v>
      </c>
    </row>
    <row r="48" spans="1:11" ht="15.75" customHeight="1">
      <c r="A48" s="6">
        <f>SUM(A40:A47)/8</f>
        <v>19.348749999999999</v>
      </c>
      <c r="F48" s="3">
        <v>0.10434214186766277</v>
      </c>
      <c r="H48" s="3">
        <v>3.5892624108885789</v>
      </c>
      <c r="J48" s="3">
        <v>3.667734485055777E-3</v>
      </c>
    </row>
    <row r="49" spans="6:10" ht="15.75" customHeight="1">
      <c r="F49" s="10">
        <v>2.0116054541518626</v>
      </c>
      <c r="H49" s="3">
        <v>2.7609710852989076</v>
      </c>
      <c r="J49" s="3">
        <v>3.0049713578062827E-4</v>
      </c>
    </row>
    <row r="50" spans="6:10" ht="15.75" customHeight="1">
      <c r="F50" s="10">
        <v>2.1457124844286533</v>
      </c>
      <c r="H50" s="3">
        <v>1.2621582104223579</v>
      </c>
      <c r="J50" s="3">
        <v>2.6793714680978573E-4</v>
      </c>
    </row>
    <row r="51" spans="6:10" ht="15.75" customHeight="1">
      <c r="F51" s="10">
        <v>2.1457293069491108</v>
      </c>
      <c r="H51" s="3">
        <v>4.7626751221406156</v>
      </c>
      <c r="J51" s="3">
        <v>9.1403716276072583E-4</v>
      </c>
    </row>
    <row r="52" spans="6:10" ht="15.75" customHeight="1">
      <c r="F52" s="6">
        <f>SUM(F29:F51)/22</f>
        <v>4.4370062083672162</v>
      </c>
      <c r="H52" s="6">
        <f>SUM(H29:H51)/22</f>
        <v>32.176852540070179</v>
      </c>
      <c r="J52" s="6">
        <f>SUM(J29:J51)/22</f>
        <v>3.8868174385296814E-2</v>
      </c>
    </row>
    <row r="55" spans="6:10" ht="15.75" customHeight="1">
      <c r="J55" s="3">
        <f>_xlfn.STDEV.S(J29:J51)</f>
        <v>8.7989344516332807E-2</v>
      </c>
    </row>
  </sheetData>
  <mergeCells count="6">
    <mergeCell ref="G17:J17"/>
    <mergeCell ref="K17:N17"/>
    <mergeCell ref="O17:R17"/>
    <mergeCell ref="G23:J23"/>
    <mergeCell ref="K23:N23"/>
    <mergeCell ref="O23:R23"/>
  </mergeCells>
  <pageMargins left="0.7" right="0.7" top="0.75" bottom="0.75" header="0.3" footer="0.3"/>
  <pageSetup paperSize="9" orientation="portrait" horizontalDpi="0" verticalDpi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V24"/>
  <sheetViews>
    <sheetView workbookViewId="0">
      <pane xSplit="1" ySplit="1" topLeftCell="B3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12.6640625" defaultRowHeight="15.75" customHeight="1"/>
  <cols>
    <col min="1" max="1" width="28.83203125" customWidth="1"/>
    <col min="2" max="3" width="19.33203125" customWidth="1"/>
    <col min="5" max="5" width="17.6640625" customWidth="1"/>
    <col min="6" max="9" width="22.33203125" customWidth="1"/>
    <col min="10" max="10" width="17.6640625" customWidth="1"/>
    <col min="11" max="11" width="31" customWidth="1"/>
    <col min="12" max="12" width="19.5" customWidth="1"/>
    <col min="22" max="22" width="21.1640625" customWidth="1"/>
  </cols>
  <sheetData>
    <row r="1" spans="1:22" ht="13">
      <c r="A1" s="1" t="s">
        <v>51</v>
      </c>
      <c r="B1" s="1" t="s">
        <v>52</v>
      </c>
      <c r="C1" s="1" t="s">
        <v>16</v>
      </c>
      <c r="D1" s="1" t="s">
        <v>53</v>
      </c>
      <c r="E1" s="1" t="s">
        <v>54</v>
      </c>
      <c r="F1" s="1" t="s">
        <v>55</v>
      </c>
      <c r="G1" s="1" t="s">
        <v>56</v>
      </c>
      <c r="H1" s="1" t="s">
        <v>57</v>
      </c>
      <c r="I1" s="1" t="s">
        <v>20</v>
      </c>
      <c r="J1" s="1" t="s">
        <v>58</v>
      </c>
      <c r="K1" s="1" t="s">
        <v>23</v>
      </c>
      <c r="L1" s="1" t="s">
        <v>24</v>
      </c>
      <c r="N1" s="1" t="s">
        <v>59</v>
      </c>
      <c r="O1" s="1" t="s">
        <v>60</v>
      </c>
      <c r="P1" s="1" t="s">
        <v>61</v>
      </c>
      <c r="Q1" s="1" t="s">
        <v>62</v>
      </c>
      <c r="R1" s="1" t="s">
        <v>63</v>
      </c>
      <c r="S1" s="1" t="s">
        <v>64</v>
      </c>
      <c r="T1" s="1" t="s">
        <v>65</v>
      </c>
      <c r="U1" s="1" t="s">
        <v>66</v>
      </c>
      <c r="V1" s="1" t="s">
        <v>67</v>
      </c>
    </row>
    <row r="2" spans="1:22" ht="13" hidden="1">
      <c r="A2" s="1" t="s">
        <v>68</v>
      </c>
      <c r="B2" s="1"/>
      <c r="C2" s="1">
        <v>0.5</v>
      </c>
      <c r="D2" s="1">
        <f t="shared" ref="D2:D13" si="0">C2*10^3/(V2*10*4.5*3.1)</f>
        <v>0.6126415130101126</v>
      </c>
      <c r="E2" s="1">
        <v>1.3</v>
      </c>
      <c r="F2" s="3">
        <f t="shared" ref="F2:F13" si="1">D2*C2*365*24</f>
        <v>2683.3698269842935</v>
      </c>
      <c r="J2" s="3">
        <f t="shared" ref="J2:J13" si="2">F2/(C2*365*24)*100</f>
        <v>61.264151301011275</v>
      </c>
      <c r="K2" s="3">
        <f>F2/7500</f>
        <v>0.35778264359790579</v>
      </c>
      <c r="L2" s="3">
        <f t="shared" ref="L2:L13" si="3">K2*10^6/(365*24)</f>
        <v>40.842767534007514</v>
      </c>
      <c r="O2" s="1">
        <v>997</v>
      </c>
      <c r="P2" s="1">
        <v>10</v>
      </c>
      <c r="Q2" s="1">
        <v>3</v>
      </c>
      <c r="R2" s="3">
        <f>1/16*Q2^2*P2*O2</f>
        <v>5608.125</v>
      </c>
      <c r="S2" s="1">
        <f t="shared" ref="S2:S13" si="4">1/16*E2^2*$O$2*$P$2</f>
        <v>1053.08125</v>
      </c>
      <c r="T2" s="1">
        <f t="shared" ref="T2:T13" si="5">1/16*E2^2*$O$2*$P$2/3600*365*24</f>
        <v>2562.4977083333333</v>
      </c>
      <c r="U2" s="1">
        <f>20*10^3/3600</f>
        <v>5.5555555555555554</v>
      </c>
      <c r="V2" s="1">
        <f t="shared" ref="V2:V13" si="6">U2*S2/1000</f>
        <v>5.8504513888888887</v>
      </c>
    </row>
    <row r="3" spans="1:22" ht="13">
      <c r="A3" s="1" t="s">
        <v>69</v>
      </c>
      <c r="B3" s="1"/>
      <c r="C3" s="1">
        <v>0.25</v>
      </c>
      <c r="D3" s="1">
        <f t="shared" si="0"/>
        <v>0.41414566279483611</v>
      </c>
      <c r="E3" s="1">
        <v>1</v>
      </c>
      <c r="F3" s="3">
        <f t="shared" si="1"/>
        <v>906.9790015206911</v>
      </c>
      <c r="G3" s="3">
        <f t="shared" ref="G3:G13" si="7">F3/8760*1000</f>
        <v>103.53641569870902</v>
      </c>
      <c r="H3" s="3">
        <f t="shared" ref="H3:H8" si="8">G3*1000/7500</f>
        <v>13.804855426494537</v>
      </c>
      <c r="I3" s="3">
        <f t="shared" ref="I3:I13" si="9">H3*J3/100</f>
        <v>5.7172210003924695</v>
      </c>
      <c r="J3" s="3">
        <f t="shared" si="2"/>
        <v>41.414566279483608</v>
      </c>
      <c r="K3" s="3">
        <f>I3*8760*10^-6</f>
        <v>5.0082855963438033E-2</v>
      </c>
      <c r="L3" s="3">
        <f t="shared" si="3"/>
        <v>5.7172210003924695</v>
      </c>
      <c r="S3" s="1">
        <f t="shared" si="4"/>
        <v>623.125</v>
      </c>
      <c r="T3" s="1">
        <f t="shared" si="5"/>
        <v>1516.2708333333333</v>
      </c>
      <c r="U3" s="1">
        <f>25*10^3/3600</f>
        <v>6.9444444444444446</v>
      </c>
      <c r="V3" s="1">
        <f t="shared" si="6"/>
        <v>4.3272569444444446</v>
      </c>
    </row>
    <row r="4" spans="1:22" ht="13">
      <c r="A4" s="1" t="s">
        <v>70</v>
      </c>
      <c r="B4" s="1"/>
      <c r="C4" s="1">
        <v>0.15</v>
      </c>
      <c r="D4" s="1">
        <f t="shared" si="0"/>
        <v>4.6016184754981794E-2</v>
      </c>
      <c r="E4" s="1">
        <v>3</v>
      </c>
      <c r="F4" s="3">
        <f t="shared" si="1"/>
        <v>60.465266768046078</v>
      </c>
      <c r="G4" s="3">
        <f t="shared" si="7"/>
        <v>6.9024277132472696</v>
      </c>
      <c r="H4" s="3">
        <f t="shared" si="8"/>
        <v>0.92032369509963596</v>
      </c>
      <c r="I4" s="3">
        <f t="shared" si="9"/>
        <v>4.2349785188092383E-2</v>
      </c>
      <c r="J4" s="3">
        <f t="shared" si="2"/>
        <v>4.6016184754981797</v>
      </c>
      <c r="L4" s="3">
        <f t="shared" si="3"/>
        <v>0</v>
      </c>
      <c r="S4" s="1">
        <f t="shared" si="4"/>
        <v>5608.125</v>
      </c>
      <c r="T4" s="1">
        <f t="shared" si="5"/>
        <v>13646.4375</v>
      </c>
      <c r="U4" s="1">
        <f>15*10^3/3600</f>
        <v>4.166666666666667</v>
      </c>
      <c r="V4" s="1">
        <f t="shared" si="6"/>
        <v>23.3671875</v>
      </c>
    </row>
    <row r="5" spans="1:22" ht="13">
      <c r="A5" s="1" t="s">
        <v>26</v>
      </c>
      <c r="B5" s="1"/>
      <c r="C5" s="1">
        <v>0.4</v>
      </c>
      <c r="D5" s="1">
        <f t="shared" si="0"/>
        <v>7.5729492625341469E-2</v>
      </c>
      <c r="E5" s="1">
        <v>2.5</v>
      </c>
      <c r="F5" s="3">
        <f t="shared" si="1"/>
        <v>265.35614215919651</v>
      </c>
      <c r="G5" s="3">
        <f t="shared" si="7"/>
        <v>30.291797050136587</v>
      </c>
      <c r="H5" s="3">
        <f t="shared" si="8"/>
        <v>4.0389062733515448</v>
      </c>
      <c r="I5" s="3">
        <f t="shared" si="9"/>
        <v>0.3058643228422212</v>
      </c>
      <c r="J5" s="3">
        <f t="shared" si="2"/>
        <v>7.5729492625341468</v>
      </c>
      <c r="L5" s="3">
        <f t="shared" si="3"/>
        <v>0</v>
      </c>
      <c r="S5" s="1">
        <f t="shared" si="4"/>
        <v>3894.53125</v>
      </c>
      <c r="T5" s="1">
        <f t="shared" si="5"/>
        <v>9476.6927083333339</v>
      </c>
      <c r="U5" s="1">
        <f>35*10^3/3600</f>
        <v>9.7222222222222214</v>
      </c>
      <c r="V5" s="1">
        <f t="shared" si="6"/>
        <v>37.863498263888886</v>
      </c>
    </row>
    <row r="6" spans="1:22" ht="13">
      <c r="A6" s="1" t="s">
        <v>71</v>
      </c>
      <c r="B6" s="1"/>
      <c r="C6" s="1">
        <v>0.29599999999999999</v>
      </c>
      <c r="D6" s="1">
        <f t="shared" si="0"/>
        <v>0.54483162749898439</v>
      </c>
      <c r="E6" s="1">
        <v>1.5</v>
      </c>
      <c r="F6" s="3">
        <f t="shared" si="1"/>
        <v>1412.7266168397666</v>
      </c>
      <c r="G6" s="3">
        <f t="shared" si="7"/>
        <v>161.27016173969938</v>
      </c>
      <c r="H6" s="3">
        <f t="shared" si="8"/>
        <v>21.502688231959915</v>
      </c>
      <c r="I6" s="3">
        <f t="shared" si="9"/>
        <v>11.715344625021981</v>
      </c>
      <c r="J6" s="3">
        <f t="shared" si="2"/>
        <v>54.48316274989844</v>
      </c>
      <c r="K6" s="3">
        <f t="shared" ref="K6:K7" si="10">I6*8760*10^-6</f>
        <v>0.10262641891519254</v>
      </c>
      <c r="L6" s="3">
        <f t="shared" si="3"/>
        <v>11.715344625021979</v>
      </c>
      <c r="S6" s="1">
        <f t="shared" si="4"/>
        <v>1402.03125</v>
      </c>
      <c r="T6" s="1">
        <f t="shared" si="5"/>
        <v>3411.609375</v>
      </c>
      <c r="U6" s="1">
        <f t="shared" ref="U6:U8" si="11">10*10^3/3600</f>
        <v>2.7777777777777777</v>
      </c>
      <c r="V6" s="1">
        <f t="shared" si="6"/>
        <v>3.89453125</v>
      </c>
    </row>
    <row r="7" spans="1:22" ht="13" hidden="1">
      <c r="A7" s="1" t="s">
        <v>72</v>
      </c>
      <c r="B7" s="1"/>
      <c r="C7" s="1">
        <v>0.11</v>
      </c>
      <c r="D7" s="1">
        <f t="shared" si="0"/>
        <v>1.822240916297279</v>
      </c>
      <c r="E7" s="1">
        <v>0.5</v>
      </c>
      <c r="F7" s="3">
        <f t="shared" si="1"/>
        <v>1755.9113469440581</v>
      </c>
      <c r="G7" s="3">
        <f t="shared" si="7"/>
        <v>200.44650079270068</v>
      </c>
      <c r="H7" s="3">
        <f t="shared" si="8"/>
        <v>26.726200105693422</v>
      </c>
      <c r="I7" s="3">
        <f t="shared" si="9"/>
        <v>48.701575369743225</v>
      </c>
      <c r="J7" s="3">
        <f t="shared" si="2"/>
        <v>182.22409162972792</v>
      </c>
      <c r="K7" s="3">
        <f t="shared" si="10"/>
        <v>0.42662580023895064</v>
      </c>
      <c r="L7" s="3">
        <f t="shared" si="3"/>
        <v>48.701575369743225</v>
      </c>
      <c r="S7" s="1">
        <f t="shared" si="4"/>
        <v>155.78125</v>
      </c>
      <c r="T7" s="1">
        <f t="shared" si="5"/>
        <v>379.06770833333331</v>
      </c>
      <c r="U7" s="1">
        <f t="shared" si="11"/>
        <v>2.7777777777777777</v>
      </c>
      <c r="V7" s="1">
        <f t="shared" si="6"/>
        <v>0.43272569444444448</v>
      </c>
    </row>
    <row r="8" spans="1:22" ht="13">
      <c r="A8" s="1" t="s">
        <v>73</v>
      </c>
      <c r="B8" s="1"/>
      <c r="C8" s="1">
        <v>0.06</v>
      </c>
      <c r="D8" s="1">
        <f t="shared" si="0"/>
        <v>0.17256069283118172</v>
      </c>
      <c r="E8" s="1">
        <v>1.2</v>
      </c>
      <c r="F8" s="3">
        <f t="shared" si="1"/>
        <v>90.69790015206911</v>
      </c>
      <c r="G8" s="3">
        <f t="shared" si="7"/>
        <v>10.353641569870902</v>
      </c>
      <c r="H8" s="3">
        <f t="shared" si="8"/>
        <v>1.3804855426494536</v>
      </c>
      <c r="I8" s="3">
        <f t="shared" si="9"/>
        <v>0.23821754168301962</v>
      </c>
      <c r="J8" s="3">
        <f t="shared" si="2"/>
        <v>17.256069283118176</v>
      </c>
      <c r="L8" s="3">
        <f t="shared" si="3"/>
        <v>0</v>
      </c>
      <c r="S8" s="1">
        <f t="shared" si="4"/>
        <v>897.3</v>
      </c>
      <c r="T8" s="1">
        <f t="shared" si="5"/>
        <v>2183.4299999999998</v>
      </c>
      <c r="U8" s="1">
        <f t="shared" si="11"/>
        <v>2.7777777777777777</v>
      </c>
      <c r="V8" s="1">
        <f t="shared" si="6"/>
        <v>2.4925000000000002</v>
      </c>
    </row>
    <row r="9" spans="1:22" ht="13">
      <c r="A9" s="1" t="s">
        <v>74</v>
      </c>
      <c r="B9" s="1">
        <v>20</v>
      </c>
      <c r="C9" s="3">
        <f t="shared" ref="C9:C13" si="12">B9*E9*10^-3</f>
        <v>0.03</v>
      </c>
      <c r="D9" s="1">
        <f t="shared" si="0"/>
        <v>1.8406473901992716E-2</v>
      </c>
      <c r="E9" s="1">
        <v>1.5</v>
      </c>
      <c r="F9" s="3">
        <f t="shared" si="1"/>
        <v>4.8372213414436853</v>
      </c>
      <c r="G9" s="3">
        <f t="shared" si="7"/>
        <v>0.55219421705978133</v>
      </c>
      <c r="H9" s="3">
        <f t="shared" ref="H9:H13" si="13">G9*1000/500</f>
        <v>1.1043884341195627</v>
      </c>
      <c r="I9" s="3">
        <f t="shared" si="9"/>
        <v>2.032789689028433E-2</v>
      </c>
      <c r="J9" s="3">
        <f t="shared" si="2"/>
        <v>1.8406473901992717</v>
      </c>
      <c r="L9" s="3">
        <f t="shared" si="3"/>
        <v>0</v>
      </c>
      <c r="S9" s="1">
        <f t="shared" si="4"/>
        <v>1402.03125</v>
      </c>
      <c r="T9" s="1">
        <f t="shared" si="5"/>
        <v>3411.609375</v>
      </c>
      <c r="U9" s="3">
        <f t="shared" ref="U9:U10" si="14">30*10^3/3600</f>
        <v>8.3333333333333339</v>
      </c>
      <c r="V9" s="1">
        <f t="shared" si="6"/>
        <v>11.68359375</v>
      </c>
    </row>
    <row r="10" spans="1:22" ht="13">
      <c r="A10" s="1" t="s">
        <v>59</v>
      </c>
      <c r="B10" s="3">
        <f>(75+70+55+60)/4</f>
        <v>65</v>
      </c>
      <c r="C10" s="3">
        <f t="shared" si="12"/>
        <v>0.16250000000000001</v>
      </c>
      <c r="D10" s="1">
        <f t="shared" si="0"/>
        <v>3.5892624108885787E-2</v>
      </c>
      <c r="E10" s="1">
        <v>2.5</v>
      </c>
      <c r="F10" s="3">
        <f t="shared" si="1"/>
        <v>51.093150418998917</v>
      </c>
      <c r="G10" s="3">
        <f t="shared" si="7"/>
        <v>5.8325514176939404</v>
      </c>
      <c r="H10" s="3">
        <f t="shared" si="13"/>
        <v>11.665102835387881</v>
      </c>
      <c r="I10" s="3">
        <f t="shared" si="9"/>
        <v>0.41869115126207501</v>
      </c>
      <c r="J10" s="3">
        <f t="shared" si="2"/>
        <v>3.5892624108885789</v>
      </c>
      <c r="L10" s="3">
        <f t="shared" si="3"/>
        <v>0</v>
      </c>
      <c r="S10" s="1">
        <f t="shared" si="4"/>
        <v>3894.53125</v>
      </c>
      <c r="T10" s="1">
        <f t="shared" si="5"/>
        <v>9476.6927083333339</v>
      </c>
      <c r="U10" s="3">
        <f t="shared" si="14"/>
        <v>8.3333333333333339</v>
      </c>
      <c r="V10" s="1">
        <f t="shared" si="6"/>
        <v>32.454427083333336</v>
      </c>
    </row>
    <row r="11" spans="1:22" ht="13">
      <c r="A11" s="1" t="s">
        <v>75</v>
      </c>
      <c r="B11" s="1">
        <v>15</v>
      </c>
      <c r="C11" s="3">
        <f t="shared" si="12"/>
        <v>2.2499999999999999E-2</v>
      </c>
      <c r="D11" s="1">
        <f t="shared" si="0"/>
        <v>2.7609710852989074E-2</v>
      </c>
      <c r="E11" s="1">
        <v>1.5</v>
      </c>
      <c r="F11" s="3">
        <f t="shared" si="1"/>
        <v>5.4418740091241471</v>
      </c>
      <c r="G11" s="3">
        <f t="shared" si="7"/>
        <v>0.62121849419225428</v>
      </c>
      <c r="H11" s="3">
        <f t="shared" si="13"/>
        <v>1.2424369883845086</v>
      </c>
      <c r="I11" s="3">
        <f t="shared" si="9"/>
        <v>3.4303326002354827E-2</v>
      </c>
      <c r="J11" s="3">
        <f t="shared" si="2"/>
        <v>2.7609710852989076</v>
      </c>
      <c r="L11" s="3">
        <f t="shared" si="3"/>
        <v>0</v>
      </c>
      <c r="S11" s="1">
        <f t="shared" si="4"/>
        <v>1402.03125</v>
      </c>
      <c r="T11" s="1">
        <f t="shared" si="5"/>
        <v>3411.609375</v>
      </c>
      <c r="U11" s="1">
        <f>15*10^3/3600</f>
        <v>4.166666666666667</v>
      </c>
      <c r="V11" s="1">
        <f t="shared" si="6"/>
        <v>5.841796875</v>
      </c>
    </row>
    <row r="12" spans="1:22" ht="13">
      <c r="A12" s="1" t="s">
        <v>26</v>
      </c>
      <c r="B12" s="1">
        <v>32</v>
      </c>
      <c r="C12" s="3">
        <f t="shared" si="12"/>
        <v>9.6000000000000002E-2</v>
      </c>
      <c r="D12" s="1">
        <f t="shared" si="0"/>
        <v>1.2621582104223579E-2</v>
      </c>
      <c r="E12" s="1">
        <v>3</v>
      </c>
      <c r="F12" s="3">
        <f t="shared" si="1"/>
        <v>10.614245686367861</v>
      </c>
      <c r="G12" s="3">
        <f t="shared" si="7"/>
        <v>1.2116718820054635</v>
      </c>
      <c r="H12" s="3">
        <f t="shared" si="13"/>
        <v>2.423343764010927</v>
      </c>
      <c r="I12" s="3">
        <f t="shared" si="9"/>
        <v>3.0586432284222122E-2</v>
      </c>
      <c r="J12" s="3">
        <f t="shared" si="2"/>
        <v>1.2621582104223579</v>
      </c>
      <c r="L12" s="3">
        <f t="shared" si="3"/>
        <v>0</v>
      </c>
      <c r="S12" s="1">
        <f t="shared" si="4"/>
        <v>5608.125</v>
      </c>
      <c r="T12" s="1">
        <f t="shared" si="5"/>
        <v>13646.4375</v>
      </c>
      <c r="U12" s="10">
        <f>35*10^3/3600</f>
        <v>9.7222222222222214</v>
      </c>
      <c r="V12" s="1">
        <f t="shared" si="6"/>
        <v>54.523437499999993</v>
      </c>
    </row>
    <row r="13" spans="1:22" ht="13">
      <c r="A13" s="1" t="s">
        <v>69</v>
      </c>
      <c r="B13" s="1">
        <v>23</v>
      </c>
      <c r="C13" s="3">
        <f t="shared" si="12"/>
        <v>2.3E-2</v>
      </c>
      <c r="D13" s="1">
        <f t="shared" si="0"/>
        <v>4.7626751221406152E-2</v>
      </c>
      <c r="E13" s="1">
        <v>1</v>
      </c>
      <c r="F13" s="3">
        <f t="shared" si="1"/>
        <v>9.5958378360889114</v>
      </c>
      <c r="G13" s="3">
        <f t="shared" si="7"/>
        <v>1.0954152780923414</v>
      </c>
      <c r="H13" s="3">
        <f t="shared" si="13"/>
        <v>2.1908305561846828</v>
      </c>
      <c r="I13" s="3">
        <f t="shared" si="9"/>
        <v>0.10434214186766277</v>
      </c>
      <c r="J13" s="3">
        <f t="shared" si="2"/>
        <v>4.7626751221406156</v>
      </c>
      <c r="L13" s="3">
        <f t="shared" si="3"/>
        <v>0</v>
      </c>
      <c r="S13" s="1">
        <f t="shared" si="4"/>
        <v>623.125</v>
      </c>
      <c r="T13" s="1">
        <f t="shared" si="5"/>
        <v>1516.2708333333333</v>
      </c>
      <c r="U13" s="3">
        <f>20*10^3/3600</f>
        <v>5.5555555555555554</v>
      </c>
      <c r="V13" s="1">
        <f t="shared" si="6"/>
        <v>3.4618055555555558</v>
      </c>
    </row>
    <row r="14" spans="1:22" ht="13">
      <c r="A14" s="1"/>
      <c r="I14" s="6">
        <f t="shared" ref="I14:L14" si="15">SUM(I3:I13)/11</f>
        <v>6.1208021448343279</v>
      </c>
      <c r="J14" s="6">
        <f t="shared" si="15"/>
        <v>29.251651990837289</v>
      </c>
      <c r="K14" s="6">
        <f t="shared" si="15"/>
        <v>5.26668250106892E-2</v>
      </c>
      <c r="L14" s="6">
        <f t="shared" si="15"/>
        <v>6.0121946359234251</v>
      </c>
    </row>
    <row r="15" spans="1:22" ht="13">
      <c r="A15" s="1"/>
    </row>
    <row r="16" spans="1:22" ht="13">
      <c r="A16" s="1"/>
      <c r="D16" s="11" t="s">
        <v>76</v>
      </c>
      <c r="E16" s="11"/>
      <c r="I16" s="3">
        <f>MEDIAN(I3:I13)</f>
        <v>0.23821754168301962</v>
      </c>
    </row>
    <row r="17" spans="1:11" ht="13">
      <c r="A17" s="1"/>
      <c r="B17" s="1"/>
      <c r="D17" s="1" t="s">
        <v>77</v>
      </c>
    </row>
    <row r="18" spans="1:11" ht="13">
      <c r="A18" s="1"/>
      <c r="B18" s="1"/>
      <c r="D18" s="1" t="s">
        <v>78</v>
      </c>
      <c r="G18" s="1" t="s">
        <v>79</v>
      </c>
    </row>
    <row r="19" spans="1:11" ht="13">
      <c r="A19" s="1"/>
      <c r="B19" s="1"/>
      <c r="D19" s="1" t="s">
        <v>80</v>
      </c>
      <c r="G19" s="1" t="s">
        <v>81</v>
      </c>
      <c r="H19" s="1" t="s">
        <v>82</v>
      </c>
    </row>
    <row r="20" spans="1:11" ht="13">
      <c r="D20" s="1" t="s">
        <v>83</v>
      </c>
    </row>
    <row r="21" spans="1:11" ht="13">
      <c r="A21" s="1" t="s">
        <v>84</v>
      </c>
      <c r="B21" s="1"/>
      <c r="C21" s="1">
        <v>2</v>
      </c>
      <c r="D21" s="3">
        <f>(0.2+0.17+0.14+0.21)/4</f>
        <v>0.18</v>
      </c>
      <c r="E21" s="1">
        <v>3</v>
      </c>
      <c r="F21" s="1">
        <v>5000</v>
      </c>
      <c r="G21" s="1"/>
      <c r="H21" s="1"/>
      <c r="I21" s="1"/>
      <c r="J21" s="3">
        <f>F21/(C21*365*24)*100</f>
        <v>28.538812785388128</v>
      </c>
      <c r="K21" s="3">
        <f>F21/113000</f>
        <v>4.4247787610619468E-2</v>
      </c>
    </row>
    <row r="23" spans="1:11" ht="13">
      <c r="B23" s="1"/>
      <c r="C23" s="1" t="s">
        <v>52</v>
      </c>
    </row>
    <row r="24" spans="1:11" ht="13">
      <c r="A24" s="1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N3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O42" sqref="M28:O42"/>
    </sheetView>
  </sheetViews>
  <sheetFormatPr baseColWidth="10" defaultColWidth="12.6640625" defaultRowHeight="15.75" customHeight="1"/>
  <cols>
    <col min="1" max="1" width="20.1640625" customWidth="1"/>
    <col min="2" max="2" width="29.33203125" customWidth="1"/>
    <col min="3" max="3" width="21.1640625" customWidth="1"/>
    <col min="4" max="4" width="33.1640625" customWidth="1"/>
    <col min="5" max="5" width="19.33203125" customWidth="1"/>
    <col min="6" max="6" width="28" customWidth="1"/>
    <col min="7" max="7" width="18.1640625" customWidth="1"/>
    <col min="8" max="8" width="21.33203125" customWidth="1"/>
    <col min="9" max="9" width="24.1640625" customWidth="1"/>
    <col min="10" max="10" width="23.33203125" customWidth="1"/>
    <col min="11" max="11" width="19.5" customWidth="1"/>
    <col min="12" max="12" width="17.33203125" customWidth="1"/>
    <col min="13" max="13" width="29" customWidth="1"/>
    <col min="14" max="14" width="18.83203125" customWidth="1"/>
  </cols>
  <sheetData>
    <row r="1" spans="1:12" ht="15.75" customHeight="1">
      <c r="B1" s="1" t="s">
        <v>16</v>
      </c>
      <c r="C1" s="1" t="s">
        <v>86</v>
      </c>
      <c r="D1" s="1" t="s">
        <v>18</v>
      </c>
      <c r="E1" s="1" t="s">
        <v>22</v>
      </c>
      <c r="F1" s="1" t="s">
        <v>87</v>
      </c>
      <c r="G1" s="1" t="s">
        <v>20</v>
      </c>
      <c r="H1" s="1" t="s">
        <v>58</v>
      </c>
      <c r="I1" s="1" t="s">
        <v>23</v>
      </c>
      <c r="J1" s="1" t="s">
        <v>88</v>
      </c>
      <c r="K1" s="1" t="s">
        <v>89</v>
      </c>
      <c r="L1" s="1" t="s">
        <v>90</v>
      </c>
    </row>
    <row r="2" spans="1:12" ht="15.75" customHeight="1">
      <c r="B2" s="1">
        <v>20</v>
      </c>
      <c r="C2" s="1">
        <v>74.25</v>
      </c>
      <c r="D2" s="3">
        <f>C2*10^9/8760*10^-6</f>
        <v>8.4760273972602747</v>
      </c>
      <c r="E2" s="1">
        <v>1785714</v>
      </c>
      <c r="F2" s="3">
        <f>D2*10^6/E2</f>
        <v>4.7465761019179302</v>
      </c>
      <c r="G2" s="3">
        <f>F2*H2/100</f>
        <v>2.0116054541518626</v>
      </c>
      <c r="H2" s="3">
        <f t="shared" ref="H2:H12" si="0">C2*10^3/(B2*8760)*100</f>
        <v>42.380136986301373</v>
      </c>
      <c r="I2" s="3">
        <f>G2*8760*10^-6</f>
        <v>1.7621663778370315E-2</v>
      </c>
      <c r="J2" s="6">
        <f>STDEVPA(I2:I13)</f>
        <v>7.2837783468743455E-3</v>
      </c>
      <c r="K2" s="3">
        <f>I14-J2</f>
        <v>-7.2837783468743455E-3</v>
      </c>
      <c r="L2" s="3">
        <f>I14+J2</f>
        <v>7.2837783468743455E-3</v>
      </c>
    </row>
    <row r="3" spans="1:12" ht="15.75" customHeight="1">
      <c r="B3" s="1">
        <v>18.75</v>
      </c>
      <c r="C3" s="1">
        <v>75.25</v>
      </c>
      <c r="D3" s="3">
        <f t="shared" ref="D3:D4" si="1">C3*10^9/8760*10^-6</f>
        <v>8.5901826484018269</v>
      </c>
      <c r="E3" s="1">
        <v>1785714</v>
      </c>
      <c r="F3" s="3">
        <f t="shared" ref="F3:F4" si="2">D3*10^6/E3</f>
        <v>4.8105030527855117</v>
      </c>
      <c r="G3" s="3">
        <f t="shared" ref="G3:G12" si="3">F3*H3/100</f>
        <v>2.203898658886513</v>
      </c>
      <c r="H3" s="3">
        <f t="shared" si="0"/>
        <v>45.81430745814307</v>
      </c>
      <c r="I3" s="3">
        <f t="shared" ref="I3:I12" si="4">G3*8760*10^-6</f>
        <v>1.9306152251845853E-2</v>
      </c>
    </row>
    <row r="4" spans="1:12" ht="15.75" customHeight="1">
      <c r="B4" s="1">
        <v>2.25</v>
      </c>
      <c r="C4" s="1">
        <v>8.94</v>
      </c>
      <c r="D4" s="3">
        <f t="shared" si="1"/>
        <v>1.0205479452054793</v>
      </c>
      <c r="E4" s="1">
        <v>214284</v>
      </c>
      <c r="F4" s="3">
        <f t="shared" si="2"/>
        <v>4.7625951783869969</v>
      </c>
      <c r="G4" s="3">
        <f t="shared" si="3"/>
        <v>2.1602029880659437</v>
      </c>
      <c r="H4" s="3">
        <f t="shared" si="0"/>
        <v>45.357686453576861</v>
      </c>
      <c r="I4" s="3">
        <f t="shared" si="4"/>
        <v>1.8923378175457667E-2</v>
      </c>
    </row>
    <row r="5" spans="1:12" ht="15.75" customHeight="1">
      <c r="B5" s="1">
        <v>7</v>
      </c>
      <c r="C5" s="1">
        <v>20</v>
      </c>
      <c r="D5" s="3">
        <f t="shared" ref="D5:D12" si="5">C5/8760*10^3</f>
        <v>2.2831050228310499</v>
      </c>
      <c r="E5" s="1">
        <v>234600</v>
      </c>
      <c r="F5" s="3">
        <f t="shared" ref="F5:F12" si="6">D5/E5*10^6</f>
        <v>9.7319054681630419</v>
      </c>
      <c r="G5" s="3">
        <f t="shared" si="3"/>
        <v>3.1741374651542862</v>
      </c>
      <c r="H5" s="3">
        <f t="shared" si="0"/>
        <v>32.615786040443574</v>
      </c>
      <c r="I5" s="3">
        <f t="shared" si="4"/>
        <v>2.7805444194751547E-2</v>
      </c>
    </row>
    <row r="6" spans="1:12" ht="15.75" customHeight="1">
      <c r="B6" s="1">
        <v>1</v>
      </c>
      <c r="C6" s="1">
        <v>1.64</v>
      </c>
      <c r="D6" s="3">
        <f t="shared" si="5"/>
        <v>0.18721461187214611</v>
      </c>
      <c r="E6" s="1">
        <v>50000</v>
      </c>
      <c r="F6" s="3">
        <f t="shared" si="6"/>
        <v>3.7442922374429219</v>
      </c>
      <c r="G6" s="3">
        <f t="shared" si="3"/>
        <v>0.70098621796876615</v>
      </c>
      <c r="H6" s="3">
        <f t="shared" si="0"/>
        <v>18.721461187214611</v>
      </c>
      <c r="I6" s="3">
        <f t="shared" si="4"/>
        <v>6.1406392694063911E-3</v>
      </c>
    </row>
    <row r="7" spans="1:12" ht="15.75" customHeight="1">
      <c r="B7" s="1">
        <v>1.5</v>
      </c>
      <c r="C7" s="1">
        <v>4</v>
      </c>
      <c r="D7" s="3">
        <f t="shared" si="5"/>
        <v>0.45662100456621002</v>
      </c>
      <c r="E7" s="1">
        <v>51000</v>
      </c>
      <c r="F7" s="3">
        <f t="shared" si="6"/>
        <v>8.9533530307099998</v>
      </c>
      <c r="G7" s="3">
        <f t="shared" si="3"/>
        <v>2.7255260367458138</v>
      </c>
      <c r="H7" s="3">
        <f t="shared" si="0"/>
        <v>30.441400304414003</v>
      </c>
      <c r="I7" s="3">
        <f t="shared" si="4"/>
        <v>2.3875608081893328E-2</v>
      </c>
    </row>
    <row r="8" spans="1:12" ht="15.75" customHeight="1">
      <c r="B8" s="1">
        <v>4</v>
      </c>
      <c r="C8" s="1">
        <v>12</v>
      </c>
      <c r="D8" s="3">
        <f t="shared" si="5"/>
        <v>1.3698630136986301</v>
      </c>
      <c r="E8" s="1">
        <v>132600</v>
      </c>
      <c r="F8" s="3">
        <f t="shared" si="6"/>
        <v>10.33079195851154</v>
      </c>
      <c r="G8" s="3">
        <f t="shared" si="3"/>
        <v>3.5379424515450477</v>
      </c>
      <c r="H8" s="3">
        <f t="shared" si="0"/>
        <v>34.246575342465754</v>
      </c>
      <c r="I8" s="3">
        <f t="shared" si="4"/>
        <v>3.0992375875534616E-2</v>
      </c>
    </row>
    <row r="9" spans="1:12" ht="15.75" customHeight="1">
      <c r="B9" s="1">
        <v>12</v>
      </c>
      <c r="C9" s="1">
        <v>35</v>
      </c>
      <c r="D9" s="3">
        <f t="shared" si="5"/>
        <v>3.9954337899543377</v>
      </c>
      <c r="E9" s="1">
        <v>408000</v>
      </c>
      <c r="F9" s="3">
        <f t="shared" si="6"/>
        <v>9.7927298773390632</v>
      </c>
      <c r="G9" s="3">
        <f t="shared" si="3"/>
        <v>3.2605169873179909</v>
      </c>
      <c r="H9" s="3">
        <f t="shared" si="0"/>
        <v>33.295281582952818</v>
      </c>
      <c r="I9" s="3">
        <f t="shared" si="4"/>
        <v>2.8562128808905598E-2</v>
      </c>
    </row>
    <row r="10" spans="1:12" ht="15.75" customHeight="1">
      <c r="B10" s="1">
        <v>2.1</v>
      </c>
      <c r="C10" s="1">
        <v>6.5</v>
      </c>
      <c r="D10" s="3">
        <f t="shared" si="5"/>
        <v>0.74200913242009137</v>
      </c>
      <c r="E10" s="1">
        <v>71400</v>
      </c>
      <c r="F10" s="3">
        <f t="shared" si="6"/>
        <v>10.392284767788395</v>
      </c>
      <c r="G10" s="3">
        <f t="shared" si="3"/>
        <v>3.671985811623427</v>
      </c>
      <c r="H10" s="3">
        <f t="shared" si="0"/>
        <v>35.333768210480535</v>
      </c>
      <c r="I10" s="3">
        <f t="shared" si="4"/>
        <v>3.2166595709821222E-2</v>
      </c>
    </row>
    <row r="11" spans="1:12" ht="15.75" customHeight="1">
      <c r="B11" s="1">
        <v>20</v>
      </c>
      <c r="C11" s="1">
        <v>60</v>
      </c>
      <c r="D11" s="3">
        <f t="shared" si="5"/>
        <v>6.8493150684931505</v>
      </c>
      <c r="E11" s="1">
        <v>678300</v>
      </c>
      <c r="F11" s="3">
        <f t="shared" si="6"/>
        <v>10.097766575988722</v>
      </c>
      <c r="G11" s="3">
        <f t="shared" si="3"/>
        <v>3.458139238352302</v>
      </c>
      <c r="H11" s="3">
        <f t="shared" si="0"/>
        <v>34.246575342465754</v>
      </c>
      <c r="I11" s="3">
        <f t="shared" si="4"/>
        <v>3.0293299727966162E-2</v>
      </c>
    </row>
    <row r="12" spans="1:12" ht="15.75" customHeight="1">
      <c r="B12" s="1">
        <v>50</v>
      </c>
      <c r="C12" s="1">
        <v>150</v>
      </c>
      <c r="D12" s="3">
        <f t="shared" si="5"/>
        <v>17.123287671232877</v>
      </c>
      <c r="E12" s="1">
        <v>1698300</v>
      </c>
      <c r="F12" s="3">
        <f t="shared" si="6"/>
        <v>10.082604764313064</v>
      </c>
      <c r="G12" s="3">
        <f t="shared" si="3"/>
        <v>3.4529468370935152</v>
      </c>
      <c r="H12" s="3">
        <f t="shared" si="0"/>
        <v>34.246575342465754</v>
      </c>
      <c r="I12" s="3">
        <f t="shared" si="4"/>
        <v>3.0247814292939192E-2</v>
      </c>
    </row>
    <row r="13" spans="1:12" ht="15.75" customHeight="1">
      <c r="G13" s="6">
        <f>AVERAGE(G2:G12)</f>
        <v>2.7598080133550429</v>
      </c>
      <c r="I13" s="6">
        <f>AVERAGE(I2:I12)</f>
        <v>2.4175918196990168E-2</v>
      </c>
    </row>
    <row r="14" spans="1:12" ht="15.75" customHeight="1">
      <c r="G14" s="6"/>
      <c r="H14" s="6">
        <f>AVERAGE(H2:H12)</f>
        <v>35.154504931902189</v>
      </c>
      <c r="I14" s="6"/>
    </row>
    <row r="15" spans="1:12" ht="15.75" customHeight="1">
      <c r="A15" s="1" t="s">
        <v>91</v>
      </c>
      <c r="G15" s="3">
        <f>MEDIAN(G2:G13)</f>
        <v>2.9669727392546648</v>
      </c>
    </row>
    <row r="16" spans="1:12" ht="15.75" customHeight="1">
      <c r="A16" s="12" t="s">
        <v>92</v>
      </c>
      <c r="B16" s="12" t="s">
        <v>93</v>
      </c>
      <c r="C16" s="1" t="s">
        <v>94</v>
      </c>
      <c r="D16" s="1" t="s">
        <v>95</v>
      </c>
      <c r="G16" s="3">
        <f>STDEVPA(G2:G13)</f>
        <v>0.83148154644684225</v>
      </c>
    </row>
    <row r="17" spans="1:14" ht="15.75" customHeight="1">
      <c r="A17" s="12" t="s">
        <v>96</v>
      </c>
      <c r="B17" s="13">
        <v>75113</v>
      </c>
      <c r="C17" s="1">
        <v>750</v>
      </c>
    </row>
    <row r="18" spans="1:14" ht="15.75" customHeight="1">
      <c r="A18" s="12" t="s">
        <v>97</v>
      </c>
      <c r="B18" s="13">
        <v>30243</v>
      </c>
      <c r="C18" s="1">
        <v>750</v>
      </c>
    </row>
    <row r="19" spans="1:14" ht="15.75" customHeight="1">
      <c r="A19" s="12" t="s">
        <v>98</v>
      </c>
      <c r="B19" s="13">
        <v>22210</v>
      </c>
      <c r="C19" s="1">
        <v>750</v>
      </c>
    </row>
    <row r="20" spans="1:14" ht="15.75" customHeight="1">
      <c r="A20" s="12" t="s">
        <v>99</v>
      </c>
      <c r="B20" s="13">
        <v>10084</v>
      </c>
      <c r="C20" s="1">
        <v>750</v>
      </c>
    </row>
    <row r="21" spans="1:14" ht="15.75" customHeight="1">
      <c r="A21" s="12" t="s">
        <v>100</v>
      </c>
      <c r="B21" s="14">
        <v>6450</v>
      </c>
      <c r="C21" s="1">
        <v>750</v>
      </c>
    </row>
    <row r="22" spans="1:14" ht="15.75" customHeight="1">
      <c r="A22" s="12" t="s">
        <v>101</v>
      </c>
      <c r="B22" s="13">
        <v>11711</v>
      </c>
      <c r="C22" s="1">
        <v>750</v>
      </c>
    </row>
    <row r="23" spans="1:14" ht="15.75" customHeight="1">
      <c r="A23" s="12" t="s">
        <v>102</v>
      </c>
      <c r="B23" s="13">
        <v>4617</v>
      </c>
      <c r="C23" s="1">
        <v>750</v>
      </c>
    </row>
    <row r="24" spans="1:14" ht="15.75" customHeight="1">
      <c r="A24" s="15" t="s">
        <v>103</v>
      </c>
      <c r="B24" s="16">
        <v>160318</v>
      </c>
      <c r="C24" s="1">
        <v>750</v>
      </c>
    </row>
    <row r="29" spans="1:14" ht="15.75" customHeight="1">
      <c r="G29" s="10"/>
      <c r="H29" s="18"/>
      <c r="J29" s="10"/>
      <c r="K29" s="18"/>
      <c r="M29" s="10"/>
      <c r="N29" s="18"/>
    </row>
    <row r="30" spans="1:14" ht="15.75" customHeight="1">
      <c r="G30" s="10"/>
      <c r="H30" s="18"/>
      <c r="J30" s="10"/>
      <c r="K30" s="18"/>
      <c r="M30" s="10"/>
      <c r="N30" s="18"/>
    </row>
    <row r="31" spans="1:14" ht="15.75" customHeight="1">
      <c r="G31" s="5"/>
      <c r="H31" s="18"/>
      <c r="J31" s="10"/>
      <c r="K31" s="18"/>
      <c r="M31" s="10"/>
      <c r="N31" s="18"/>
    </row>
    <row r="32" spans="1:14" ht="15.75" customHeight="1">
      <c r="G32" s="10"/>
      <c r="H32" s="18"/>
      <c r="J32" s="10"/>
      <c r="K32" s="18"/>
      <c r="M32" s="10"/>
      <c r="N32" s="18"/>
    </row>
    <row r="33" spans="7:14" ht="15.75" customHeight="1">
      <c r="G33" s="10"/>
      <c r="H33" s="18"/>
      <c r="J33" s="10"/>
      <c r="K33" s="18"/>
      <c r="M33" s="10"/>
      <c r="N33" s="18"/>
    </row>
    <row r="34" spans="7:14" ht="15.75" customHeight="1">
      <c r="G34" s="10"/>
      <c r="H34" s="18"/>
      <c r="J34" s="10"/>
      <c r="K34" s="18"/>
      <c r="M34" s="10"/>
      <c r="N34" s="18"/>
    </row>
    <row r="35" spans="7:14" ht="15.75" customHeight="1">
      <c r="G35" s="10"/>
      <c r="H35" s="18"/>
      <c r="J35" s="10"/>
      <c r="K35" s="18"/>
      <c r="M35" s="10"/>
      <c r="N35" s="18"/>
    </row>
    <row r="36" spans="7:14" ht="15.75" customHeight="1">
      <c r="G36" s="10"/>
      <c r="H36" s="18"/>
      <c r="J36" s="10"/>
      <c r="K36" s="18"/>
      <c r="M36" s="10"/>
      <c r="N36" s="18"/>
    </row>
    <row r="37" spans="7:14" ht="15.75" customHeight="1">
      <c r="G37" s="10"/>
      <c r="H37" s="18"/>
      <c r="J37" s="10"/>
      <c r="K37" s="18"/>
      <c r="M37" s="10"/>
      <c r="N37" s="18"/>
    </row>
    <row r="38" spans="7:14" ht="15.75" customHeight="1">
      <c r="G38" s="10"/>
      <c r="H38" s="18"/>
      <c r="J38" s="10"/>
      <c r="K38" s="18"/>
      <c r="M38" s="10"/>
      <c r="N38" s="18"/>
    </row>
    <row r="39" spans="7:14" ht="15.75" customHeight="1">
      <c r="G39" s="10"/>
      <c r="H39" s="18"/>
      <c r="J39" s="10"/>
      <c r="K39" s="18"/>
      <c r="M39" s="10"/>
      <c r="N39" s="1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U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12.6640625" defaultRowHeight="15.75" customHeight="1"/>
  <cols>
    <col min="1" max="1" width="24.6640625" customWidth="1"/>
    <col min="2" max="2" width="24.1640625" customWidth="1"/>
    <col min="3" max="3" width="18.1640625" customWidth="1"/>
    <col min="4" max="4" width="37.83203125" customWidth="1"/>
    <col min="5" max="5" width="25.6640625" customWidth="1"/>
    <col min="6" max="6" width="27.6640625" customWidth="1"/>
    <col min="8" max="8" width="19.33203125" customWidth="1"/>
    <col min="11" max="13" width="31.83203125" customWidth="1"/>
    <col min="14" max="14" width="19.6640625" customWidth="1"/>
    <col min="17" max="17" width="24" customWidth="1"/>
  </cols>
  <sheetData>
    <row r="1" spans="1:21" ht="15.75" customHeight="1">
      <c r="A1" s="1" t="s">
        <v>91</v>
      </c>
      <c r="B1" s="12" t="s">
        <v>93</v>
      </c>
      <c r="C1" s="1" t="s">
        <v>94</v>
      </c>
      <c r="D1" s="1" t="s">
        <v>104</v>
      </c>
      <c r="E1" s="1" t="s">
        <v>105</v>
      </c>
      <c r="F1" s="1" t="s">
        <v>106</v>
      </c>
      <c r="G1" s="1" t="s">
        <v>107</v>
      </c>
      <c r="H1" s="1" t="s">
        <v>108</v>
      </c>
      <c r="I1" s="1" t="s">
        <v>109</v>
      </c>
      <c r="J1" s="1" t="s">
        <v>110</v>
      </c>
      <c r="K1" s="1" t="s">
        <v>111</v>
      </c>
      <c r="L1" s="1" t="s">
        <v>112</v>
      </c>
      <c r="M1" s="1" t="s">
        <v>113</v>
      </c>
      <c r="N1" s="1" t="s">
        <v>114</v>
      </c>
      <c r="O1" s="1" t="s">
        <v>21</v>
      </c>
      <c r="P1" s="12" t="s">
        <v>115</v>
      </c>
      <c r="R1" s="1" t="s">
        <v>116</v>
      </c>
      <c r="S1" s="1" t="s">
        <v>117</v>
      </c>
      <c r="U1" s="1" t="s">
        <v>118</v>
      </c>
    </row>
    <row r="2" spans="1:21" ht="15.75" customHeight="1">
      <c r="A2" s="12" t="s">
        <v>96</v>
      </c>
      <c r="B2" s="13">
        <v>75113</v>
      </c>
      <c r="C2" s="1">
        <v>750</v>
      </c>
      <c r="D2" s="1">
        <v>3.5</v>
      </c>
      <c r="E2" s="1">
        <v>30000</v>
      </c>
      <c r="F2" s="3">
        <f t="shared" ref="F2:F9" si="0">B2*10^3/D2</f>
        <v>21460857.142857142</v>
      </c>
      <c r="G2" s="3">
        <f t="shared" ref="G2:G9" si="1">F2*E2/10^6</f>
        <v>643825.7142857142</v>
      </c>
      <c r="H2" s="1">
        <v>361000000</v>
      </c>
      <c r="I2" s="3">
        <f t="shared" ref="I2:I9" si="2">G2/H2*100</f>
        <v>0.17834507320933912</v>
      </c>
      <c r="J2" s="13">
        <v>31171152</v>
      </c>
      <c r="K2" s="13">
        <f t="shared" ref="K2:K9" si="3">B2/P2</f>
        <v>2.5175599580836809E-3</v>
      </c>
      <c r="L2" s="13">
        <f t="shared" ref="L2:L9" si="4">B2/G2</f>
        <v>0.11666666666666668</v>
      </c>
      <c r="M2" s="13">
        <f t="shared" ref="M2:M9" si="5">K2/L2*100</f>
        <v>2.1579085355002978</v>
      </c>
      <c r="N2" s="3">
        <f t="shared" ref="N2:N9" si="6">F2*C2/10^6</f>
        <v>16095.642857142857</v>
      </c>
      <c r="O2" s="3">
        <f t="shared" ref="O2:O9" si="7">B2*10^3/(N2*365*24)*100</f>
        <v>53.272450532724505</v>
      </c>
      <c r="P2" s="13">
        <v>29835635</v>
      </c>
      <c r="R2" s="3">
        <f t="shared" ref="R2:R3" si="8">B2/8760</f>
        <v>8.5745433789954344</v>
      </c>
      <c r="S2" s="3">
        <f t="shared" ref="S2:S3" si="9">R2*10^12/(P2*10^6)</f>
        <v>0.287392689278959</v>
      </c>
      <c r="T2" s="3">
        <f t="shared" ref="T2:T9" si="10">G2/P2*100</f>
        <v>2.1579085355002978</v>
      </c>
      <c r="U2" s="3">
        <f t="shared" ref="U2:U3" si="11">R2*10^12/G2*10^-6</f>
        <v>13.318112633181128</v>
      </c>
    </row>
    <row r="3" spans="1:21" ht="15.75" customHeight="1">
      <c r="A3" s="12" t="s">
        <v>97</v>
      </c>
      <c r="B3" s="13">
        <v>30243</v>
      </c>
      <c r="C3" s="1">
        <v>750</v>
      </c>
      <c r="D3" s="1">
        <v>3.2</v>
      </c>
      <c r="E3" s="1">
        <v>30000</v>
      </c>
      <c r="F3" s="3">
        <f t="shared" si="0"/>
        <v>9450937.5</v>
      </c>
      <c r="G3" s="3">
        <f t="shared" si="1"/>
        <v>283528.125</v>
      </c>
      <c r="H3" s="1">
        <v>361000000</v>
      </c>
      <c r="I3" s="3">
        <f t="shared" si="2"/>
        <v>7.8539646814404437E-2</v>
      </c>
      <c r="J3" s="13">
        <v>21779847</v>
      </c>
      <c r="K3" s="13">
        <f t="shared" si="3"/>
        <v>2.1438955652134709E-3</v>
      </c>
      <c r="L3" s="13">
        <f t="shared" si="4"/>
        <v>0.10666666666666667</v>
      </c>
      <c r="M3" s="13">
        <f t="shared" si="5"/>
        <v>2.009902092387629</v>
      </c>
      <c r="N3" s="3">
        <f t="shared" si="6"/>
        <v>7088.203125</v>
      </c>
      <c r="O3" s="3">
        <f t="shared" si="7"/>
        <v>48.706240487062402</v>
      </c>
      <c r="P3" s="13">
        <v>14106564</v>
      </c>
      <c r="R3" s="3">
        <f t="shared" si="8"/>
        <v>3.4523972602739725</v>
      </c>
      <c r="S3" s="3">
        <f t="shared" si="9"/>
        <v>0.24473693666820442</v>
      </c>
      <c r="T3" s="3">
        <f t="shared" si="10"/>
        <v>2.009902092387629</v>
      </c>
      <c r="U3" s="3">
        <f t="shared" si="11"/>
        <v>12.176560121765601</v>
      </c>
    </row>
    <row r="4" spans="1:21" ht="15.75" customHeight="1">
      <c r="A4" s="12" t="s">
        <v>98</v>
      </c>
      <c r="B4" s="13">
        <v>22210</v>
      </c>
      <c r="C4" s="1">
        <v>750</v>
      </c>
      <c r="D4" s="1">
        <v>2.5</v>
      </c>
      <c r="E4" s="1">
        <v>30000</v>
      </c>
      <c r="F4" s="3">
        <f t="shared" si="0"/>
        <v>8884000</v>
      </c>
      <c r="G4" s="3">
        <f t="shared" si="1"/>
        <v>266520</v>
      </c>
      <c r="H4" s="1">
        <v>361000000</v>
      </c>
      <c r="I4" s="3">
        <f t="shared" si="2"/>
        <v>7.3828254847645436E-2</v>
      </c>
      <c r="J4" s="13">
        <v>5959126</v>
      </c>
      <c r="K4" s="13">
        <f t="shared" si="3"/>
        <v>2.8647056653585243E-3</v>
      </c>
      <c r="L4" s="13">
        <f t="shared" si="4"/>
        <v>8.3333333333333329E-2</v>
      </c>
      <c r="M4" s="13">
        <f t="shared" si="5"/>
        <v>3.4376467984302295</v>
      </c>
      <c r="N4" s="3">
        <f t="shared" si="6"/>
        <v>6663</v>
      </c>
      <c r="O4" s="3">
        <f t="shared" si="7"/>
        <v>38.051750380517504</v>
      </c>
      <c r="P4" s="13">
        <v>7752978</v>
      </c>
      <c r="T4" s="3">
        <f t="shared" si="10"/>
        <v>3.4376467984302295</v>
      </c>
    </row>
    <row r="5" spans="1:21" ht="15.75" customHeight="1">
      <c r="A5" s="12" t="s">
        <v>99</v>
      </c>
      <c r="B5" s="13">
        <v>10084</v>
      </c>
      <c r="C5" s="1">
        <v>750</v>
      </c>
      <c r="D5" s="1">
        <v>2.9</v>
      </c>
      <c r="E5" s="1">
        <v>30000</v>
      </c>
      <c r="F5" s="3">
        <f t="shared" si="0"/>
        <v>3477241.3793103448</v>
      </c>
      <c r="G5" s="3">
        <f t="shared" si="1"/>
        <v>104317.24137931035</v>
      </c>
      <c r="H5" s="1">
        <v>361000000</v>
      </c>
      <c r="I5" s="3">
        <f t="shared" si="2"/>
        <v>2.8896742764351897E-2</v>
      </c>
      <c r="J5" s="13">
        <v>20435471</v>
      </c>
      <c r="K5" s="13">
        <f t="shared" si="3"/>
        <v>5.2461347083991377E-4</v>
      </c>
      <c r="L5" s="13">
        <f t="shared" si="4"/>
        <v>9.6666666666666665E-2</v>
      </c>
      <c r="M5" s="13">
        <f t="shared" si="5"/>
        <v>0.54270359052404882</v>
      </c>
      <c r="N5" s="3">
        <f t="shared" si="6"/>
        <v>2607.9310344827586</v>
      </c>
      <c r="O5" s="3">
        <f t="shared" si="7"/>
        <v>44.140030441400299</v>
      </c>
      <c r="P5" s="13">
        <v>19221771</v>
      </c>
      <c r="T5" s="3">
        <f t="shared" si="10"/>
        <v>0.54270359052404871</v>
      </c>
    </row>
    <row r="6" spans="1:21" ht="15.75" customHeight="1">
      <c r="A6" s="12" t="s">
        <v>100</v>
      </c>
      <c r="B6" s="14">
        <v>6450</v>
      </c>
      <c r="C6" s="1">
        <v>750</v>
      </c>
      <c r="D6" s="1">
        <v>3.1</v>
      </c>
      <c r="E6" s="1">
        <v>30000</v>
      </c>
      <c r="F6" s="3">
        <f t="shared" si="0"/>
        <v>2080645.1612903224</v>
      </c>
      <c r="G6" s="3">
        <f t="shared" si="1"/>
        <v>62419.354838709674</v>
      </c>
      <c r="H6" s="1">
        <v>361000000</v>
      </c>
      <c r="I6" s="3">
        <f t="shared" si="2"/>
        <v>1.7290680010722901E-2</v>
      </c>
      <c r="J6" s="13">
        <v>29346477</v>
      </c>
      <c r="K6" s="13">
        <f t="shared" si="3"/>
        <v>5.0492833540393095E-4</v>
      </c>
      <c r="L6" s="13">
        <f t="shared" si="4"/>
        <v>0.10333333333333333</v>
      </c>
      <c r="M6" s="13">
        <f t="shared" si="5"/>
        <v>0.48864032458444934</v>
      </c>
      <c r="N6" s="3">
        <f t="shared" si="6"/>
        <v>1560.4838709677417</v>
      </c>
      <c r="O6" s="3">
        <f t="shared" si="7"/>
        <v>47.184170471841711</v>
      </c>
      <c r="P6" s="13">
        <v>12774090</v>
      </c>
      <c r="T6" s="3">
        <f t="shared" si="10"/>
        <v>0.48864032458444923</v>
      </c>
    </row>
    <row r="7" spans="1:21" ht="15.75" customHeight="1">
      <c r="A7" s="12" t="s">
        <v>101</v>
      </c>
      <c r="B7" s="13">
        <v>11711</v>
      </c>
      <c r="C7" s="1">
        <v>750</v>
      </c>
      <c r="D7" s="1">
        <v>2.4</v>
      </c>
      <c r="E7" s="1">
        <v>30000</v>
      </c>
      <c r="F7" s="3">
        <f t="shared" si="0"/>
        <v>4879583.333333334</v>
      </c>
      <c r="G7" s="3">
        <f t="shared" si="1"/>
        <v>146387.50000000003</v>
      </c>
      <c r="H7" s="1">
        <v>361000000</v>
      </c>
      <c r="I7" s="3">
        <f t="shared" si="2"/>
        <v>4.0550554016620506E-2</v>
      </c>
      <c r="J7" s="13">
        <v>22129898</v>
      </c>
      <c r="K7" s="13">
        <f t="shared" si="3"/>
        <v>1.5432320426153954E-3</v>
      </c>
      <c r="L7" s="13">
        <f t="shared" si="4"/>
        <v>7.9999999999999988E-2</v>
      </c>
      <c r="M7" s="13">
        <f t="shared" si="5"/>
        <v>1.9290400532692444</v>
      </c>
      <c r="N7" s="3">
        <f t="shared" si="6"/>
        <v>3659.6875000000005</v>
      </c>
      <c r="O7" s="3">
        <f t="shared" si="7"/>
        <v>36.529680365296798</v>
      </c>
      <c r="P7" s="13">
        <v>7588619</v>
      </c>
      <c r="T7" s="3">
        <f t="shared" si="10"/>
        <v>1.9290400532692449</v>
      </c>
    </row>
    <row r="8" spans="1:21" ht="15.75" customHeight="1">
      <c r="A8" s="12" t="s">
        <v>102</v>
      </c>
      <c r="B8" s="13">
        <v>4617</v>
      </c>
      <c r="C8" s="1">
        <v>750</v>
      </c>
      <c r="D8" s="1">
        <v>2.7</v>
      </c>
      <c r="E8" s="1">
        <v>30000</v>
      </c>
      <c r="F8" s="3">
        <f t="shared" si="0"/>
        <v>1710000</v>
      </c>
      <c r="G8" s="3">
        <f t="shared" si="1"/>
        <v>51300</v>
      </c>
      <c r="H8" s="1">
        <v>361000000</v>
      </c>
      <c r="I8" s="3">
        <f t="shared" si="2"/>
        <v>1.4210526315789474E-2</v>
      </c>
      <c r="J8" s="13">
        <v>2380033</v>
      </c>
      <c r="K8" s="13">
        <f t="shared" si="3"/>
        <v>2.2357270834342163E-2</v>
      </c>
      <c r="L8" s="13">
        <f t="shared" si="4"/>
        <v>0.09</v>
      </c>
      <c r="M8" s="13">
        <f t="shared" si="5"/>
        <v>24.841412038157959</v>
      </c>
      <c r="N8" s="3">
        <f t="shared" si="6"/>
        <v>1282.5</v>
      </c>
      <c r="O8" s="3">
        <f t="shared" si="7"/>
        <v>41.095890410958901</v>
      </c>
      <c r="P8" s="13">
        <v>206510</v>
      </c>
      <c r="T8" s="3">
        <f t="shared" si="10"/>
        <v>24.841412038157959</v>
      </c>
    </row>
    <row r="9" spans="1:21" ht="15.75" customHeight="1">
      <c r="A9" s="15" t="s">
        <v>103</v>
      </c>
      <c r="B9" s="16">
        <v>160318</v>
      </c>
      <c r="C9" s="16">
        <v>750</v>
      </c>
      <c r="D9" s="16">
        <f>AVERAGE(D2:D8)</f>
        <v>2.8999999999999995</v>
      </c>
      <c r="E9" s="1">
        <v>30000</v>
      </c>
      <c r="F9" s="3">
        <f t="shared" si="0"/>
        <v>55282068.965517253</v>
      </c>
      <c r="G9" s="3">
        <f t="shared" si="1"/>
        <v>1658462.0689655177</v>
      </c>
      <c r="H9" s="1">
        <v>361000000</v>
      </c>
      <c r="I9" s="3">
        <f t="shared" si="2"/>
        <v>0.45940777533670851</v>
      </c>
      <c r="J9" s="17">
        <f>SUM(J2:J8)</f>
        <v>133202004</v>
      </c>
      <c r="K9" s="13">
        <f t="shared" si="3"/>
        <v>1.7523742141257268E-3</v>
      </c>
      <c r="L9" s="13">
        <f t="shared" si="4"/>
        <v>9.6666666666666637E-2</v>
      </c>
      <c r="M9" s="13">
        <f t="shared" si="5"/>
        <v>1.8128009111645453</v>
      </c>
      <c r="N9" s="3">
        <f t="shared" si="6"/>
        <v>41461.551724137942</v>
      </c>
      <c r="O9" s="3">
        <f t="shared" si="7"/>
        <v>44.140030441400292</v>
      </c>
      <c r="P9" s="17">
        <v>91486167</v>
      </c>
      <c r="T9" s="3">
        <f t="shared" si="10"/>
        <v>1.8128009111645453</v>
      </c>
    </row>
    <row r="10" spans="1:21" ht="15.75" customHeight="1">
      <c r="E10" s="1">
        <v>30000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Feuille 1</vt:lpstr>
      <vt:lpstr>Future project</vt:lpstr>
      <vt:lpstr>Feuille 3</vt:lpstr>
      <vt:lpstr>100% wave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2022-04-17T09:25:43Z</dcterms:created>
  <dcterms:modified xsi:type="dcterms:W3CDTF">2022-06-11T21:21:20Z</dcterms:modified>
</cp:coreProperties>
</file>