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4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5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6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7.xml" ContentType="application/vnd.openxmlformats-officedocument.drawing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8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drawings/drawing9.xml" ContentType="application/vnd.openxmlformats-officedocument.drawing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charts/chart33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charts/chart34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charts/chart35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charts/chart36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xl/charts/chart37.xml" ContentType="application/vnd.openxmlformats-officedocument.drawingml.chart+xml"/>
  <Override PartName="/xl/charts/style37.xml" ContentType="application/vnd.ms-office.chartstyle+xml"/>
  <Override PartName="/xl/charts/colors37.xml" ContentType="application/vnd.ms-office.chartcolorstyle+xml"/>
  <Override PartName="/xl/charts/chart38.xml" ContentType="application/vnd.openxmlformats-officedocument.drawingml.chart+xml"/>
  <Override PartName="/xl/charts/style38.xml" ContentType="application/vnd.ms-office.chartstyle+xml"/>
  <Override PartName="/xl/charts/colors38.xml" ContentType="application/vnd.ms-office.chartcolorstyle+xml"/>
  <Override PartName="/xl/charts/chart39.xml" ContentType="application/vnd.openxmlformats-officedocument.drawingml.chart+xml"/>
  <Override PartName="/xl/charts/style39.xml" ContentType="application/vnd.ms-office.chartstyle+xml"/>
  <Override PartName="/xl/charts/colors39.xml" ContentType="application/vnd.ms-office.chartcolorstyle+xml"/>
  <Override PartName="/xl/charts/chart40.xml" ContentType="application/vnd.openxmlformats-officedocument.drawingml.chart+xml"/>
  <Override PartName="/xl/charts/style40.xml" ContentType="application/vnd.ms-office.chartstyle+xml"/>
  <Override PartName="/xl/charts/colors40.xml" ContentType="application/vnd.ms-office.chartcolorstyle+xml"/>
  <Override PartName="/xl/charts/chart41.xml" ContentType="application/vnd.openxmlformats-officedocument.drawingml.chart+xml"/>
  <Override PartName="/xl/charts/style41.xml" ContentType="application/vnd.ms-office.chartstyle+xml"/>
  <Override PartName="/xl/charts/colors41.xml" ContentType="application/vnd.ms-office.chartcolorstyle+xml"/>
  <Override PartName="/xl/charts/chart42.xml" ContentType="application/vnd.openxmlformats-officedocument.drawingml.chart+xml"/>
  <Override PartName="/xl/charts/style42.xml" ContentType="application/vnd.ms-office.chartstyle+xml"/>
  <Override PartName="/xl/charts/colors42.xml" ContentType="application/vnd.ms-office.chartcolorstyle+xml"/>
  <Override PartName="/xl/charts/chart43.xml" ContentType="application/vnd.openxmlformats-officedocument.drawingml.chart+xml"/>
  <Override PartName="/xl/charts/style43.xml" ContentType="application/vnd.ms-office.chartstyle+xml"/>
  <Override PartName="/xl/charts/colors43.xml" ContentType="application/vnd.ms-office.chartcolorstyle+xml"/>
  <Override PartName="/xl/drawings/drawing10.xml" ContentType="application/vnd.openxmlformats-officedocument.drawing+xml"/>
  <Override PartName="/xl/charts/chart44.xml" ContentType="application/vnd.openxmlformats-officedocument.drawingml.chart+xml"/>
  <Override PartName="/xl/charts/style44.xml" ContentType="application/vnd.ms-office.chartstyle+xml"/>
  <Override PartName="/xl/charts/colors44.xml" ContentType="application/vnd.ms-office.chartcolorstyle+xml"/>
  <Override PartName="/xl/charts/chart45.xml" ContentType="application/vnd.openxmlformats-officedocument.drawingml.chart+xml"/>
  <Override PartName="/xl/charts/style45.xml" ContentType="application/vnd.ms-office.chartstyle+xml"/>
  <Override PartName="/xl/charts/colors45.xml" ContentType="application/vnd.ms-office.chartcolorstyle+xml"/>
  <Override PartName="/xl/charts/chart46.xml" ContentType="application/vnd.openxmlformats-officedocument.drawingml.chart+xml"/>
  <Override PartName="/xl/charts/style46.xml" ContentType="application/vnd.ms-office.chartstyle+xml"/>
  <Override PartName="/xl/charts/colors46.xml" ContentType="application/vnd.ms-office.chartcolorstyle+xml"/>
  <Override PartName="/xl/charts/chart47.xml" ContentType="application/vnd.openxmlformats-officedocument.drawingml.chart+xml"/>
  <Override PartName="/xl/charts/style47.xml" ContentType="application/vnd.ms-office.chartstyle+xml"/>
  <Override PartName="/xl/charts/colors47.xml" ContentType="application/vnd.ms-office.chartcolorstyle+xml"/>
  <Override PartName="/xl/charts/chart48.xml" ContentType="application/vnd.openxmlformats-officedocument.drawingml.chart+xml"/>
  <Override PartName="/xl/charts/style48.xml" ContentType="application/vnd.ms-office.chartstyle+xml"/>
  <Override PartName="/xl/charts/colors48.xml" ContentType="application/vnd.ms-office.chartcolorstyle+xml"/>
  <Override PartName="/xl/charts/chart49.xml" ContentType="application/vnd.openxmlformats-officedocument.drawingml.chart+xml"/>
  <Override PartName="/xl/charts/style49.xml" ContentType="application/vnd.ms-office.chartstyle+xml"/>
  <Override PartName="/xl/charts/colors49.xml" ContentType="application/vnd.ms-office.chartcolorstyle+xml"/>
  <Override PartName="/xl/charts/chart50.xml" ContentType="application/vnd.openxmlformats-officedocument.drawingml.chart+xml"/>
  <Override PartName="/xl/charts/style50.xml" ContentType="application/vnd.ms-office.chartstyle+xml"/>
  <Override PartName="/xl/charts/colors50.xml" ContentType="application/vnd.ms-office.chartcolorstyle+xml"/>
  <Override PartName="/xl/charts/chart51.xml" ContentType="application/vnd.openxmlformats-officedocument.drawingml.chart+xml"/>
  <Override PartName="/xl/charts/style51.xml" ContentType="application/vnd.ms-office.chartstyle+xml"/>
  <Override PartName="/xl/charts/colors51.xml" ContentType="application/vnd.ms-office.chartcolorstyle+xml"/>
  <Override PartName="/xl/charts/chart52.xml" ContentType="application/vnd.openxmlformats-officedocument.drawingml.chart+xml"/>
  <Override PartName="/xl/charts/style52.xml" ContentType="application/vnd.ms-office.chartstyle+xml"/>
  <Override PartName="/xl/charts/colors52.xml" ContentType="application/vnd.ms-office.chartcolorstyle+xml"/>
  <Override PartName="/xl/charts/chart53.xml" ContentType="application/vnd.openxmlformats-officedocument.drawingml.chart+xml"/>
  <Override PartName="/xl/charts/style53.xml" ContentType="application/vnd.ms-office.chartstyle+xml"/>
  <Override PartName="/xl/charts/colors53.xml" ContentType="application/vnd.ms-office.chartcolorstyle+xml"/>
  <Override PartName="/xl/charts/chart54.xml" ContentType="application/vnd.openxmlformats-officedocument.drawingml.chart+xml"/>
  <Override PartName="/xl/charts/style54.xml" ContentType="application/vnd.ms-office.chartstyle+xml"/>
  <Override PartName="/xl/charts/colors54.xml" ContentType="application/vnd.ms-office.chartcolorstyle+xml"/>
  <Override PartName="/xl/charts/chart55.xml" ContentType="application/vnd.openxmlformats-officedocument.drawingml.chart+xml"/>
  <Override PartName="/xl/charts/style55.xml" ContentType="application/vnd.ms-office.chartstyle+xml"/>
  <Override PartName="/xl/charts/colors55.xml" ContentType="application/vnd.ms-office.chartcolorstyle+xml"/>
  <Override PartName="/xl/charts/chart56.xml" ContentType="application/vnd.openxmlformats-officedocument.drawingml.chart+xml"/>
  <Override PartName="/xl/charts/style56.xml" ContentType="application/vnd.ms-office.chartstyle+xml"/>
  <Override PartName="/xl/charts/colors56.xml" ContentType="application/vnd.ms-office.chartcolorstyle+xml"/>
  <Override PartName="/xl/charts/chart57.xml" ContentType="application/vnd.openxmlformats-officedocument.drawingml.chart+xml"/>
  <Override PartName="/xl/charts/style57.xml" ContentType="application/vnd.ms-office.chartstyle+xml"/>
  <Override PartName="/xl/charts/colors57.xml" ContentType="application/vnd.ms-office.chartcolorstyle+xml"/>
  <Override PartName="/xl/charts/chart58.xml" ContentType="application/vnd.openxmlformats-officedocument.drawingml.chart+xml"/>
  <Override PartName="/xl/charts/style58.xml" ContentType="application/vnd.ms-office.chartstyle+xml"/>
  <Override PartName="/xl/charts/colors58.xml" ContentType="application/vnd.ms-office.chartcolorstyle+xml"/>
  <Override PartName="/xl/charts/chart59.xml" ContentType="application/vnd.openxmlformats-officedocument.drawingml.chart+xml"/>
  <Override PartName="/xl/charts/style59.xml" ContentType="application/vnd.ms-office.chartstyle+xml"/>
  <Override PartName="/xl/charts/colors59.xml" ContentType="application/vnd.ms-office.chartcolorstyle+xml"/>
  <Override PartName="/xl/charts/chart60.xml" ContentType="application/vnd.openxmlformats-officedocument.drawingml.chart+xml"/>
  <Override PartName="/xl/charts/style60.xml" ContentType="application/vnd.ms-office.chartstyle+xml"/>
  <Override PartName="/xl/charts/colors60.xml" ContentType="application/vnd.ms-office.chartcolorstyle+xml"/>
  <Override PartName="/xl/charts/chart61.xml" ContentType="application/vnd.openxmlformats-officedocument.drawingml.chart+xml"/>
  <Override PartName="/xl/charts/style61.xml" ContentType="application/vnd.ms-office.chartstyle+xml"/>
  <Override PartName="/xl/charts/colors61.xml" ContentType="application/vnd.ms-office.chartcolorstyle+xml"/>
  <Override PartName="/xl/charts/chart62.xml" ContentType="application/vnd.openxmlformats-officedocument.drawingml.chart+xml"/>
  <Override PartName="/xl/charts/style62.xml" ContentType="application/vnd.ms-office.chartstyle+xml"/>
  <Override PartName="/xl/charts/colors62.xml" ContentType="application/vnd.ms-office.chartcolorstyle+xml"/>
  <Override PartName="/xl/charts/chart63.xml" ContentType="application/vnd.openxmlformats-officedocument.drawingml.chart+xml"/>
  <Override PartName="/xl/charts/style63.xml" ContentType="application/vnd.ms-office.chartstyle+xml"/>
  <Override PartName="/xl/charts/colors63.xml" ContentType="application/vnd.ms-office.chartcolorstyle+xml"/>
  <Override PartName="/xl/charts/chart64.xml" ContentType="application/vnd.openxmlformats-officedocument.drawingml.chart+xml"/>
  <Override PartName="/xl/charts/style64.xml" ContentType="application/vnd.ms-office.chartstyle+xml"/>
  <Override PartName="/xl/charts/colors64.xml" ContentType="application/vnd.ms-office.chartcolorstyle+xml"/>
  <Override PartName="/xl/charts/chart65.xml" ContentType="application/vnd.openxmlformats-officedocument.drawingml.chart+xml"/>
  <Override PartName="/xl/charts/style65.xml" ContentType="application/vnd.ms-office.chartstyle+xml"/>
  <Override PartName="/xl/charts/colors65.xml" ContentType="application/vnd.ms-office.chartcolorstyle+xml"/>
  <Override PartName="/xl/charts/chart66.xml" ContentType="application/vnd.openxmlformats-officedocument.drawingml.chart+xml"/>
  <Override PartName="/xl/charts/style66.xml" ContentType="application/vnd.ms-office.chartstyle+xml"/>
  <Override PartName="/xl/charts/colors66.xml" ContentType="application/vnd.ms-office.chartcolorstyle+xml"/>
  <Override PartName="/xl/drawings/drawing11.xml" ContentType="application/vnd.openxmlformats-officedocument.drawing+xml"/>
  <Override PartName="/xl/charts/chart67.xml" ContentType="application/vnd.openxmlformats-officedocument.drawingml.chart+xml"/>
  <Override PartName="/xl/charts/style67.xml" ContentType="application/vnd.ms-office.chartstyle+xml"/>
  <Override PartName="/xl/charts/colors67.xml" ContentType="application/vnd.ms-office.chartcolorstyle+xml"/>
  <Override PartName="/xl/drawings/drawing12.xml" ContentType="application/vnd.openxmlformats-officedocument.drawingml.chartshapes+xml"/>
  <Override PartName="/xl/charts/chart68.xml" ContentType="application/vnd.openxmlformats-officedocument.drawingml.chart+xml"/>
  <Override PartName="/xl/charts/style68.xml" ContentType="application/vnd.ms-office.chartstyle+xml"/>
  <Override PartName="/xl/charts/colors68.xml" ContentType="application/vnd.ms-office.chartcolorstyle+xml"/>
  <Override PartName="/xl/drawings/drawing13.xml" ContentType="application/vnd.openxmlformats-officedocument.drawingml.chartshapes+xml"/>
  <Override PartName="/xl/charts/chart69.xml" ContentType="application/vnd.openxmlformats-officedocument.drawingml.chart+xml"/>
  <Override PartName="/xl/charts/style69.xml" ContentType="application/vnd.ms-office.chartstyle+xml"/>
  <Override PartName="/xl/charts/colors69.xml" ContentType="application/vnd.ms-office.chartcolorstyle+xml"/>
  <Override PartName="/xl/drawings/drawing14.xml" ContentType="application/vnd.openxmlformats-officedocument.drawingml.chartshapes+xml"/>
  <Override PartName="/xl/charts/chart70.xml" ContentType="application/vnd.openxmlformats-officedocument.drawingml.chart+xml"/>
  <Override PartName="/xl/charts/style70.xml" ContentType="application/vnd.ms-office.chartstyle+xml"/>
  <Override PartName="/xl/charts/colors70.xml" ContentType="application/vnd.ms-office.chartcolorstyle+xml"/>
  <Override PartName="/xl/drawings/drawing15.xml" ContentType="application/vnd.openxmlformats-officedocument.drawingml.chartshapes+xml"/>
  <Override PartName="/xl/charts/chart71.xml" ContentType="application/vnd.openxmlformats-officedocument.drawingml.chart+xml"/>
  <Override PartName="/xl/charts/style71.xml" ContentType="application/vnd.ms-office.chartstyle+xml"/>
  <Override PartName="/xl/charts/colors71.xml" ContentType="application/vnd.ms-office.chartcolorstyle+xml"/>
  <Override PartName="/xl/drawings/drawing16.xml" ContentType="application/vnd.openxmlformats-officedocument.drawingml.chartshapes+xml"/>
  <Override PartName="/xl/charts/chart72.xml" ContentType="application/vnd.openxmlformats-officedocument.drawingml.chart+xml"/>
  <Override PartName="/xl/charts/style72.xml" ContentType="application/vnd.ms-office.chartstyle+xml"/>
  <Override PartName="/xl/charts/colors72.xml" ContentType="application/vnd.ms-office.chartcolorstyle+xml"/>
  <Override PartName="/xl/drawings/drawing17.xml" ContentType="application/vnd.openxmlformats-officedocument.drawingml.chartshapes+xml"/>
  <Override PartName="/xl/drawings/drawing18.xml" ContentType="application/vnd.openxmlformats-officedocument.drawing+xml"/>
  <Override PartName="/xl/charts/chart73.xml" ContentType="application/vnd.openxmlformats-officedocument.drawingml.chart+xml"/>
  <Override PartName="/xl/charts/style73.xml" ContentType="application/vnd.ms-office.chartstyle+xml"/>
  <Override PartName="/xl/charts/colors73.xml" ContentType="application/vnd.ms-office.chartcolorstyle+xml"/>
  <Override PartName="/xl/drawings/drawing19.xml" ContentType="application/vnd.openxmlformats-officedocument.drawingml.chartshapes+xml"/>
  <Override PartName="/xl/charts/chart74.xml" ContentType="application/vnd.openxmlformats-officedocument.drawingml.chart+xml"/>
  <Override PartName="/xl/charts/style74.xml" ContentType="application/vnd.ms-office.chartstyle+xml"/>
  <Override PartName="/xl/charts/colors74.xml" ContentType="application/vnd.ms-office.chartcolorstyle+xml"/>
  <Override PartName="/xl/drawings/drawing20.xml" ContentType="application/vnd.openxmlformats-officedocument.drawingml.chartshapes+xml"/>
  <Override PartName="/xl/charts/chart75.xml" ContentType="application/vnd.openxmlformats-officedocument.drawingml.chart+xml"/>
  <Override PartName="/xl/charts/style75.xml" ContentType="application/vnd.ms-office.chartstyle+xml"/>
  <Override PartName="/xl/charts/colors75.xml" ContentType="application/vnd.ms-office.chartcolorstyle+xml"/>
  <Override PartName="/xl/drawings/drawing21.xml" ContentType="application/vnd.openxmlformats-officedocument.drawingml.chartshapes+xml"/>
  <Override PartName="/xl/charts/chart76.xml" ContentType="application/vnd.openxmlformats-officedocument.drawingml.chart+xml"/>
  <Override PartName="/xl/charts/style76.xml" ContentType="application/vnd.ms-office.chartstyle+xml"/>
  <Override PartName="/xl/charts/colors76.xml" ContentType="application/vnd.ms-office.chartcolorstyle+xml"/>
  <Override PartName="/xl/drawings/drawing22.xml" ContentType="application/vnd.openxmlformats-officedocument.drawingml.chartshapes+xml"/>
  <Override PartName="/xl/charts/chart77.xml" ContentType="application/vnd.openxmlformats-officedocument.drawingml.chart+xml"/>
  <Override PartName="/xl/charts/style77.xml" ContentType="application/vnd.ms-office.chartstyle+xml"/>
  <Override PartName="/xl/charts/colors77.xml" ContentType="application/vnd.ms-office.chartcolorstyle+xml"/>
  <Override PartName="/xl/drawings/drawing23.xml" ContentType="application/vnd.openxmlformats-officedocument.drawingml.chartshapes+xml"/>
  <Override PartName="/xl/charts/chart78.xml" ContentType="application/vnd.openxmlformats-officedocument.drawingml.chart+xml"/>
  <Override PartName="/xl/charts/style78.xml" ContentType="application/vnd.ms-office.chartstyle+xml"/>
  <Override PartName="/xl/charts/colors78.xml" ContentType="application/vnd.ms-office.chartcolorstyle+xml"/>
  <Override PartName="/xl/drawings/drawing24.xml" ContentType="application/vnd.openxmlformats-officedocument.drawingml.chartshapes+xml"/>
  <Override PartName="/xl/charts/chart79.xml" ContentType="application/vnd.openxmlformats-officedocument.drawingml.chart+xml"/>
  <Override PartName="/xl/charts/style79.xml" ContentType="application/vnd.ms-office.chartstyle+xml"/>
  <Override PartName="/xl/charts/colors79.xml" ContentType="application/vnd.ms-office.chartcolorstyle+xml"/>
  <Override PartName="/xl/drawings/drawing25.xml" ContentType="application/vnd.openxmlformats-officedocument.drawingml.chartshapes+xml"/>
  <Override PartName="/xl/charts/chart80.xml" ContentType="application/vnd.openxmlformats-officedocument.drawingml.chart+xml"/>
  <Override PartName="/xl/charts/style80.xml" ContentType="application/vnd.ms-office.chartstyle+xml"/>
  <Override PartName="/xl/charts/colors80.xml" ContentType="application/vnd.ms-office.chartcolorstyle+xml"/>
  <Override PartName="/xl/drawings/drawing26.xml" ContentType="application/vnd.openxmlformats-officedocument.drawingml.chartshapes+xml"/>
  <Override PartName="/xl/drawings/drawing27.xml" ContentType="application/vnd.openxmlformats-officedocument.drawing+xml"/>
  <Override PartName="/xl/charts/chart81.xml" ContentType="application/vnd.openxmlformats-officedocument.drawingml.chart+xml"/>
  <Override PartName="/xl/charts/style81.xml" ContentType="application/vnd.ms-office.chartstyle+xml"/>
  <Override PartName="/xl/charts/colors81.xml" ContentType="application/vnd.ms-office.chartcolorstyle+xml"/>
  <Override PartName="/xl/drawings/drawing28.xml" ContentType="application/vnd.openxmlformats-officedocument.drawingml.chartshapes+xml"/>
  <Override PartName="/xl/charts/chart82.xml" ContentType="application/vnd.openxmlformats-officedocument.drawingml.chart+xml"/>
  <Override PartName="/xl/charts/style82.xml" ContentType="application/vnd.ms-office.chartstyle+xml"/>
  <Override PartName="/xl/charts/colors82.xml" ContentType="application/vnd.ms-office.chartcolorstyle+xml"/>
  <Override PartName="/xl/drawings/drawing29.xml" ContentType="application/vnd.openxmlformats-officedocument.drawingml.chartshapes+xml"/>
  <Override PartName="/xl/drawings/drawing30.xml" ContentType="application/vnd.openxmlformats-officedocument.drawing+xml"/>
  <Override PartName="/xl/charts/chart83.xml" ContentType="application/vnd.openxmlformats-officedocument.drawingml.chart+xml"/>
  <Override PartName="/xl/charts/chart84.xml" ContentType="application/vnd.openxmlformats-officedocument.drawingml.chart+xml"/>
  <Override PartName="/xl/drawings/drawing31.xml" ContentType="application/vnd.openxmlformats-officedocument.drawing+xml"/>
  <Override PartName="/xl/charts/chart85.xml" ContentType="application/vnd.openxmlformats-officedocument.drawingml.chart+xml"/>
  <Override PartName="/xl/charts/style83.xml" ContentType="application/vnd.ms-office.chartstyle+xml"/>
  <Override PartName="/xl/charts/colors83.xml" ContentType="application/vnd.ms-office.chartcolorstyle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charts/chart86.xml" ContentType="application/vnd.openxmlformats-officedocument.drawingml.chart+xml"/>
  <Override PartName="/xl/charts/style84.xml" ContentType="application/vnd.ms-office.chartstyle+xml"/>
  <Override PartName="/xl/charts/colors8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D\Documents\DISSERTATION STUDY\SHEETS\"/>
    </mc:Choice>
  </mc:AlternateContent>
  <bookViews>
    <workbookView xWindow="0" yWindow="0" windowWidth="20115" windowHeight="7680" tabRatio="698" firstSheet="8" activeTab="14"/>
  </bookViews>
  <sheets>
    <sheet name="MASTER COPY(SA)" sheetId="17" r:id="rId1"/>
    <sheet name="Proctor" sheetId="31" r:id="rId2"/>
    <sheet name="J DST" sheetId="24" r:id="rId3"/>
    <sheet name="J CBR" sheetId="26" r:id="rId4"/>
    <sheet name="Trial sheet" sheetId="25" r:id="rId5"/>
    <sheet name="SG" sheetId="15" r:id="rId6"/>
    <sheet name="Sieve Analysis" sheetId="19" r:id="rId7"/>
    <sheet name="Relative Density" sheetId="28" r:id="rId8"/>
    <sheet name=" P DST" sheetId="22" r:id="rId9"/>
    <sheet name="Pull-out(A)" sheetId="27" r:id="rId10"/>
    <sheet name="Pull-out(E)" sheetId="29" r:id="rId11"/>
    <sheet name="LOAD-DISP" sheetId="34" r:id="rId12"/>
    <sheet name="Result Comparison" sheetId="32" r:id="rId13"/>
    <sheet name="Graph" sheetId="33" r:id="rId14"/>
    <sheet name="proposed angle" sheetId="35" r:id="rId15"/>
    <sheet name="Shrinkage Limit" sheetId="5" state="hidden" r:id="rId16"/>
    <sheet name="Consolidation" sheetId="9" state="hidden" r:id="rId17"/>
    <sheet name="Specific Gravity" sheetId="4" state="hidden" r:id="rId18"/>
    <sheet name="Free Swell" sheetId="6" state="hidden" r:id="rId19"/>
    <sheet name="Permeability" sheetId="7" state="hidden" r:id="rId20"/>
    <sheet name="Standard Proctor Test " sheetId="10" state="hidden" r:id="rId21"/>
    <sheet name="Unconfine Compressive Strength" sheetId="11" state="hidden" r:id="rId22"/>
    <sheet name="Direct Shear Test" sheetId="12" state="hidden" r:id="rId23"/>
  </sheets>
  <externalReferences>
    <externalReference r:id="rId24"/>
    <externalReference r:id="rId25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8" i="32" l="1"/>
  <c r="I14" i="35" l="1"/>
  <c r="G14" i="35"/>
  <c r="L8" i="33" l="1"/>
  <c r="J36" i="35" l="1"/>
  <c r="G37" i="35"/>
  <c r="G36" i="35"/>
  <c r="K17" i="35"/>
  <c r="K20" i="35"/>
  <c r="K23" i="35"/>
  <c r="K26" i="35"/>
  <c r="K29" i="35"/>
  <c r="K14" i="35"/>
  <c r="G15" i="35"/>
  <c r="G16" i="35"/>
  <c r="G17" i="35"/>
  <c r="G18" i="35"/>
  <c r="G19" i="35"/>
  <c r="G20" i="35"/>
  <c r="G21" i="35"/>
  <c r="G22" i="35"/>
  <c r="G23" i="35"/>
  <c r="G24" i="35"/>
  <c r="G25" i="35"/>
  <c r="G26" i="35"/>
  <c r="G27" i="35"/>
  <c r="G28" i="35"/>
  <c r="G29" i="35"/>
  <c r="G30" i="35"/>
  <c r="G31" i="35"/>
  <c r="H23" i="35" l="1"/>
  <c r="I23" i="35" l="1"/>
  <c r="I24" i="35"/>
  <c r="I25" i="35"/>
  <c r="I26" i="35"/>
  <c r="I27" i="35"/>
  <c r="I28" i="35"/>
  <c r="I29" i="35"/>
  <c r="I30" i="35"/>
  <c r="I31" i="35"/>
  <c r="H14" i="35"/>
  <c r="I16" i="35" l="1"/>
  <c r="I15" i="35"/>
  <c r="J15" i="35" s="1"/>
  <c r="J14" i="35"/>
  <c r="I18" i="35"/>
  <c r="J18" i="35" s="1"/>
  <c r="I17" i="35"/>
  <c r="J17" i="35" s="1"/>
  <c r="I22" i="35"/>
  <c r="I19" i="35"/>
  <c r="J19" i="35" s="1"/>
  <c r="I21" i="35"/>
  <c r="J21" i="35" s="1"/>
  <c r="J31" i="35"/>
  <c r="J30" i="35"/>
  <c r="J29" i="35"/>
  <c r="J28" i="35"/>
  <c r="J27" i="35"/>
  <c r="J26" i="35"/>
  <c r="J25" i="35"/>
  <c r="J24" i="35"/>
  <c r="J23" i="35"/>
  <c r="J22" i="35"/>
  <c r="I20" i="35"/>
  <c r="J16" i="35"/>
  <c r="AP24" i="29"/>
  <c r="AP25" i="29"/>
  <c r="AP26" i="29"/>
  <c r="AP27" i="29"/>
  <c r="AP28" i="29"/>
  <c r="AP29" i="29"/>
  <c r="AP30" i="29"/>
  <c r="AP31" i="29"/>
  <c r="AP23" i="29"/>
  <c r="AP15" i="29"/>
  <c r="AP16" i="29"/>
  <c r="AP17" i="29"/>
  <c r="AP18" i="29"/>
  <c r="AP19" i="29"/>
  <c r="AP20" i="29"/>
  <c r="AP21" i="29"/>
  <c r="AP22" i="29"/>
  <c r="G5" i="19"/>
  <c r="Q272" i="29"/>
  <c r="Q273" i="29"/>
  <c r="Q274" i="29"/>
  <c r="Q275" i="29"/>
  <c r="Q276" i="29"/>
  <c r="Q277" i="29"/>
  <c r="Q278" i="29"/>
  <c r="Q279" i="29"/>
  <c r="Q280" i="29"/>
  <c r="Q281" i="29"/>
  <c r="Q282" i="29"/>
  <c r="Q283" i="29"/>
  <c r="Q284" i="29"/>
  <c r="Q285" i="29"/>
  <c r="Q271" i="29"/>
  <c r="Q171" i="29"/>
  <c r="Q158" i="29"/>
  <c r="Q159" i="29"/>
  <c r="Q160" i="29"/>
  <c r="Q161" i="29"/>
  <c r="Q162" i="29"/>
  <c r="Q163" i="29"/>
  <c r="Q164" i="29"/>
  <c r="Q165" i="29"/>
  <c r="Q166" i="29"/>
  <c r="Q167" i="29"/>
  <c r="Q168" i="29"/>
  <c r="Q169" i="29"/>
  <c r="Q170" i="29"/>
  <c r="Q157" i="29"/>
  <c r="O285" i="29"/>
  <c r="O284" i="29"/>
  <c r="O283" i="29"/>
  <c r="O282" i="29"/>
  <c r="O281" i="29"/>
  <c r="O280" i="29"/>
  <c r="O279" i="29"/>
  <c r="O278" i="29"/>
  <c r="O171" i="29"/>
  <c r="O170" i="29"/>
  <c r="O169" i="29"/>
  <c r="O168" i="29"/>
  <c r="O167" i="29"/>
  <c r="O166" i="29"/>
  <c r="O165" i="29"/>
  <c r="O164" i="29"/>
  <c r="O163" i="29"/>
  <c r="O162" i="29"/>
  <c r="O161" i="29"/>
  <c r="O160" i="29"/>
  <c r="O159" i="29"/>
  <c r="O158" i="29"/>
  <c r="O157" i="29"/>
  <c r="U238" i="29"/>
  <c r="W238" i="29"/>
  <c r="AC252" i="29"/>
  <c r="AC251" i="29"/>
  <c r="AC250" i="29"/>
  <c r="AC249" i="29"/>
  <c r="AA252" i="29"/>
  <c r="AA251" i="29"/>
  <c r="AA250" i="29"/>
  <c r="AA249" i="29"/>
  <c r="I251" i="29"/>
  <c r="I250" i="29"/>
  <c r="K251" i="29"/>
  <c r="K250" i="29"/>
  <c r="AS28" i="29"/>
  <c r="AT28" i="29" s="1"/>
  <c r="AS27" i="29"/>
  <c r="AT27" i="29" s="1"/>
  <c r="AS26" i="29"/>
  <c r="AT26" i="29" s="1"/>
  <c r="AS25" i="29"/>
  <c r="AT25" i="29" s="1"/>
  <c r="AS24" i="29"/>
  <c r="AT24" i="29" s="1"/>
  <c r="AS23" i="29"/>
  <c r="AT23" i="29" s="1"/>
  <c r="AS22" i="29"/>
  <c r="AT22" i="29" s="1"/>
  <c r="AS21" i="29"/>
  <c r="AT21" i="29" s="1"/>
  <c r="AS20" i="29"/>
  <c r="AT20" i="29" s="1"/>
  <c r="AS19" i="29"/>
  <c r="AT19" i="29" s="1"/>
  <c r="AS18" i="29"/>
  <c r="AT18" i="29" s="1"/>
  <c r="AS17" i="29"/>
  <c r="AT17" i="29" s="1"/>
  <c r="AS16" i="29"/>
  <c r="AT16" i="29" s="1"/>
  <c r="AS15" i="29"/>
  <c r="AT15" i="29" s="1"/>
  <c r="AS14" i="29"/>
  <c r="AT14" i="29" s="1"/>
  <c r="AP14" i="29"/>
  <c r="N25" i="33"/>
  <c r="O25" i="33" s="1"/>
  <c r="N24" i="33"/>
  <c r="O24" i="33" s="1"/>
  <c r="N23" i="33"/>
  <c r="O23" i="33" s="1"/>
  <c r="N22" i="33"/>
  <c r="O22" i="33" s="1"/>
  <c r="N21" i="33"/>
  <c r="O21" i="33" s="1"/>
  <c r="N20" i="33"/>
  <c r="O20" i="33" s="1"/>
  <c r="N19" i="33"/>
  <c r="O19" i="33" s="1"/>
  <c r="N18" i="33"/>
  <c r="O18" i="33" s="1"/>
  <c r="N17" i="33"/>
  <c r="O17" i="33" s="1"/>
  <c r="N16" i="33"/>
  <c r="O16" i="33" s="1"/>
  <c r="N15" i="33"/>
  <c r="O15" i="33" s="1"/>
  <c r="N14" i="33"/>
  <c r="O14" i="33" s="1"/>
  <c r="N13" i="33"/>
  <c r="O13" i="33" s="1"/>
  <c r="N12" i="33"/>
  <c r="O12" i="33" s="1"/>
  <c r="N11" i="33"/>
  <c r="O11" i="33" s="1"/>
  <c r="N10" i="33"/>
  <c r="O10" i="33" s="1"/>
  <c r="N9" i="33"/>
  <c r="O9" i="33" s="1"/>
  <c r="N8" i="33"/>
  <c r="O8" i="33" s="1"/>
  <c r="AG329" i="29"/>
  <c r="AA329" i="29"/>
  <c r="U329" i="29"/>
  <c r="O329" i="29"/>
  <c r="I329" i="29"/>
  <c r="C329" i="29"/>
  <c r="AG212" i="29"/>
  <c r="AA212" i="29"/>
  <c r="U212" i="29"/>
  <c r="O212" i="29"/>
  <c r="I212" i="29"/>
  <c r="C212" i="29"/>
  <c r="AG102" i="29"/>
  <c r="AA102" i="29"/>
  <c r="U102" i="29"/>
  <c r="O102" i="29"/>
  <c r="I102" i="29"/>
  <c r="C102" i="29"/>
  <c r="Q54" i="29"/>
  <c r="Q48" i="29"/>
  <c r="Q51" i="29"/>
  <c r="Q45" i="29"/>
  <c r="Q42" i="29"/>
  <c r="AI54" i="29"/>
  <c r="AI51" i="29"/>
  <c r="AI48" i="29"/>
  <c r="AI45" i="29"/>
  <c r="AI42" i="29"/>
  <c r="J20" i="35" l="1"/>
  <c r="I24" i="33"/>
  <c r="I25" i="33"/>
  <c r="I23" i="33"/>
  <c r="I18" i="33"/>
  <c r="I19" i="33"/>
  <c r="I17" i="33"/>
  <c r="I12" i="33"/>
  <c r="I13" i="33"/>
  <c r="I11" i="33"/>
  <c r="I21" i="33"/>
  <c r="I22" i="33"/>
  <c r="I15" i="33"/>
  <c r="I16" i="33"/>
  <c r="I9" i="33"/>
  <c r="I10" i="33"/>
  <c r="I8" i="33"/>
  <c r="I20" i="33"/>
  <c r="I14" i="33"/>
  <c r="G24" i="32"/>
  <c r="G25" i="32"/>
  <c r="G23" i="32"/>
  <c r="G21" i="32"/>
  <c r="G22" i="32"/>
  <c r="G20" i="32"/>
  <c r="G18" i="32"/>
  <c r="G19" i="32"/>
  <c r="G17" i="32"/>
  <c r="G15" i="32"/>
  <c r="G16" i="32"/>
  <c r="G14" i="32"/>
  <c r="G12" i="32"/>
  <c r="G13" i="32"/>
  <c r="G11" i="32"/>
  <c r="G9" i="32"/>
  <c r="G10" i="32"/>
  <c r="G8" i="32"/>
  <c r="E116" i="22" l="1"/>
  <c r="F116" i="22" s="1"/>
  <c r="E117" i="22"/>
  <c r="F117" i="22"/>
  <c r="O109" i="22"/>
  <c r="O110" i="22"/>
  <c r="O111" i="22"/>
  <c r="O112" i="22"/>
  <c r="H109" i="22"/>
  <c r="H110" i="22"/>
  <c r="H111" i="22"/>
  <c r="H112" i="22"/>
  <c r="H113" i="22"/>
  <c r="H114" i="22"/>
  <c r="K109" i="22"/>
  <c r="K110" i="22"/>
  <c r="K111" i="22"/>
  <c r="K112" i="22"/>
  <c r="K113" i="22"/>
  <c r="K114" i="22"/>
  <c r="K115" i="22"/>
  <c r="N109" i="22"/>
  <c r="N110" i="22"/>
  <c r="N111" i="22"/>
  <c r="N112" i="22"/>
  <c r="N113" i="22"/>
  <c r="O113" i="22" s="1"/>
  <c r="N114" i="22"/>
  <c r="O114" i="22" s="1"/>
  <c r="N115" i="22"/>
  <c r="O115" i="22" s="1"/>
  <c r="N116" i="22"/>
  <c r="E115" i="22"/>
  <c r="F115" i="22" s="1"/>
  <c r="N32" i="22"/>
  <c r="O32" i="22" s="1"/>
  <c r="N33" i="22"/>
  <c r="O33" i="22" s="1"/>
  <c r="N34" i="22"/>
  <c r="O34" i="22" s="1"/>
  <c r="E32" i="22"/>
  <c r="F32" i="22" s="1"/>
  <c r="E33" i="22"/>
  <c r="F33" i="22"/>
  <c r="E34" i="22"/>
  <c r="F34" i="22" s="1"/>
  <c r="K32" i="22"/>
  <c r="K33" i="22"/>
  <c r="K30" i="25"/>
  <c r="L30" i="25" s="1"/>
  <c r="K29" i="25"/>
  <c r="L29" i="25" s="1"/>
  <c r="O116" i="22" l="1"/>
  <c r="L115" i="22"/>
  <c r="L32" i="22"/>
  <c r="L33" i="22"/>
  <c r="E31" i="25" l="1"/>
  <c r="F31" i="25"/>
  <c r="N31" i="25"/>
  <c r="O31" i="25" s="1"/>
  <c r="G37" i="25"/>
  <c r="H29" i="25"/>
  <c r="I29" i="25" s="1"/>
  <c r="E29" i="25"/>
  <c r="F29" i="25" s="1"/>
  <c r="E30" i="25"/>
  <c r="F30" i="25"/>
  <c r="N30" i="25"/>
  <c r="N29" i="25"/>
  <c r="N76" i="22"/>
  <c r="O76" i="22" s="1"/>
  <c r="E76" i="22"/>
  <c r="F76" i="22" s="1"/>
  <c r="O30" i="25" l="1"/>
  <c r="O29" i="25"/>
  <c r="E12" i="15"/>
  <c r="AI325" i="29" l="1"/>
  <c r="AG325" i="29"/>
  <c r="AI324" i="29"/>
  <c r="AG324" i="29"/>
  <c r="AI323" i="29"/>
  <c r="AG323" i="29"/>
  <c r="AI322" i="29"/>
  <c r="AG322" i="29"/>
  <c r="AI321" i="29"/>
  <c r="AG321" i="29"/>
  <c r="AI320" i="29"/>
  <c r="AG320" i="29"/>
  <c r="AI319" i="29"/>
  <c r="AG319" i="29"/>
  <c r="AI318" i="29"/>
  <c r="AG318" i="29"/>
  <c r="AI317" i="29"/>
  <c r="AG317" i="29"/>
  <c r="AI316" i="29"/>
  <c r="AG316" i="29"/>
  <c r="AI315" i="29"/>
  <c r="AG315" i="29"/>
  <c r="AI314" i="29"/>
  <c r="AG314" i="29"/>
  <c r="AI313" i="29"/>
  <c r="AG313" i="29"/>
  <c r="AI312" i="29"/>
  <c r="AG312" i="29"/>
  <c r="AI311" i="29"/>
  <c r="AG311" i="29"/>
  <c r="AI310" i="29"/>
  <c r="AG310" i="29"/>
  <c r="AI309" i="29"/>
  <c r="AG309" i="29"/>
  <c r="AI308" i="29"/>
  <c r="AG308" i="29"/>
  <c r="AI307" i="29"/>
  <c r="AG307" i="29"/>
  <c r="AI306" i="29"/>
  <c r="AG306" i="29"/>
  <c r="AI305" i="29"/>
  <c r="AG305" i="29"/>
  <c r="AI304" i="29"/>
  <c r="AG304" i="29"/>
  <c r="AI303" i="29"/>
  <c r="AG303" i="29"/>
  <c r="AI302" i="29"/>
  <c r="AG302" i="29"/>
  <c r="AI301" i="29"/>
  <c r="AG301" i="29"/>
  <c r="AI300" i="29"/>
  <c r="AG300" i="29"/>
  <c r="AI299" i="29"/>
  <c r="AG299" i="29"/>
  <c r="AI298" i="29"/>
  <c r="AG298" i="29"/>
  <c r="AI297" i="29"/>
  <c r="AG297" i="29"/>
  <c r="AI296" i="29"/>
  <c r="AG296" i="29"/>
  <c r="AI295" i="29"/>
  <c r="AG295" i="29"/>
  <c r="AI294" i="29"/>
  <c r="AG294" i="29"/>
  <c r="AI293" i="29"/>
  <c r="AG293" i="29"/>
  <c r="AI292" i="29"/>
  <c r="AG292" i="29"/>
  <c r="AI291" i="29"/>
  <c r="AG291" i="29"/>
  <c r="AI290" i="29"/>
  <c r="AG290" i="29"/>
  <c r="AI289" i="29"/>
  <c r="AG289" i="29"/>
  <c r="AI288" i="29"/>
  <c r="AG288" i="29"/>
  <c r="AI287" i="29"/>
  <c r="AG287" i="29"/>
  <c r="AI286" i="29"/>
  <c r="AG286" i="29"/>
  <c r="AI285" i="29"/>
  <c r="AG285" i="29"/>
  <c r="AI284" i="29"/>
  <c r="AG284" i="29"/>
  <c r="AI283" i="29"/>
  <c r="AG283" i="29"/>
  <c r="AI282" i="29"/>
  <c r="AG282" i="29"/>
  <c r="AI281" i="29"/>
  <c r="AG281" i="29"/>
  <c r="AI280" i="29"/>
  <c r="AG280" i="29"/>
  <c r="AI279" i="29"/>
  <c r="AG279" i="29"/>
  <c r="AI278" i="29"/>
  <c r="AG278" i="29"/>
  <c r="AI277" i="29"/>
  <c r="AG277" i="29"/>
  <c r="O277" i="29"/>
  <c r="AI276" i="29"/>
  <c r="AG276" i="29"/>
  <c r="O276" i="29"/>
  <c r="AI275" i="29"/>
  <c r="AG275" i="29"/>
  <c r="O275" i="29"/>
  <c r="AI274" i="29"/>
  <c r="AG274" i="29"/>
  <c r="O274" i="29"/>
  <c r="AI273" i="29"/>
  <c r="AG273" i="29"/>
  <c r="O273" i="29"/>
  <c r="AI272" i="29"/>
  <c r="AG272" i="29"/>
  <c r="O272" i="29"/>
  <c r="AI271" i="29"/>
  <c r="AG271" i="29"/>
  <c r="O271" i="29"/>
  <c r="AI270" i="29"/>
  <c r="AG270" i="29"/>
  <c r="Q270" i="29"/>
  <c r="O270" i="29"/>
  <c r="AI269" i="29"/>
  <c r="AG269" i="29"/>
  <c r="Q269" i="29"/>
  <c r="O269" i="29"/>
  <c r="AI268" i="29"/>
  <c r="AG268" i="29"/>
  <c r="Q268" i="29"/>
  <c r="O268" i="29"/>
  <c r="AI267" i="29"/>
  <c r="AG267" i="29"/>
  <c r="Q267" i="29"/>
  <c r="O267" i="29"/>
  <c r="AI266" i="29"/>
  <c r="AG266" i="29"/>
  <c r="Q266" i="29"/>
  <c r="O266" i="29"/>
  <c r="AI265" i="29"/>
  <c r="AG265" i="29"/>
  <c r="Q265" i="29"/>
  <c r="O265" i="29"/>
  <c r="AI264" i="29"/>
  <c r="AG264" i="29"/>
  <c r="Q264" i="29"/>
  <c r="O264" i="29"/>
  <c r="AI263" i="29"/>
  <c r="AG263" i="29"/>
  <c r="Q263" i="29"/>
  <c r="O263" i="29"/>
  <c r="AI262" i="29"/>
  <c r="AG262" i="29"/>
  <c r="Q262" i="29"/>
  <c r="O262" i="29"/>
  <c r="AI261" i="29"/>
  <c r="AG261" i="29"/>
  <c r="Q261" i="29"/>
  <c r="O261" i="29"/>
  <c r="AI260" i="29"/>
  <c r="AG260" i="29"/>
  <c r="Q260" i="29"/>
  <c r="O260" i="29"/>
  <c r="AI259" i="29"/>
  <c r="AG259" i="29"/>
  <c r="Q259" i="29"/>
  <c r="O259" i="29"/>
  <c r="AI258" i="29"/>
  <c r="AG258" i="29"/>
  <c r="Q258" i="29"/>
  <c r="O258" i="29"/>
  <c r="AI257" i="29"/>
  <c r="AG257" i="29"/>
  <c r="Q257" i="29"/>
  <c r="O257" i="29"/>
  <c r="AI256" i="29"/>
  <c r="AG256" i="29"/>
  <c r="Q256" i="29"/>
  <c r="O256" i="29"/>
  <c r="AI255" i="29"/>
  <c r="AG255" i="29"/>
  <c r="Q255" i="29"/>
  <c r="O255" i="29"/>
  <c r="AI254" i="29"/>
  <c r="AG254" i="29"/>
  <c r="Q254" i="29"/>
  <c r="O254" i="29"/>
  <c r="AI253" i="29"/>
  <c r="AG253" i="29"/>
  <c r="Q253" i="29"/>
  <c r="O253" i="29"/>
  <c r="AI252" i="29"/>
  <c r="AG252" i="29"/>
  <c r="Q252" i="29"/>
  <c r="O252" i="29"/>
  <c r="AI251" i="29"/>
  <c r="AG251" i="29"/>
  <c r="Q251" i="29"/>
  <c r="O251" i="29"/>
  <c r="AI250" i="29"/>
  <c r="AG250" i="29"/>
  <c r="Q250" i="29"/>
  <c r="O250" i="29"/>
  <c r="AI249" i="29"/>
  <c r="AG249" i="29"/>
  <c r="Q249" i="29"/>
  <c r="O249" i="29"/>
  <c r="K249" i="29"/>
  <c r="I249" i="29"/>
  <c r="AI248" i="29"/>
  <c r="AG248" i="29"/>
  <c r="AC248" i="29"/>
  <c r="AA248" i="29"/>
  <c r="Q248" i="29"/>
  <c r="O248" i="29"/>
  <c r="K248" i="29"/>
  <c r="I248" i="29"/>
  <c r="AI247" i="29"/>
  <c r="AG247" i="29"/>
  <c r="AC247" i="29"/>
  <c r="AA247" i="29"/>
  <c r="Q247" i="29"/>
  <c r="O247" i="29"/>
  <c r="K247" i="29"/>
  <c r="I247" i="29"/>
  <c r="AI246" i="29"/>
  <c r="AG246" i="29"/>
  <c r="AC246" i="29"/>
  <c r="AA246" i="29"/>
  <c r="Q246" i="29"/>
  <c r="O246" i="29"/>
  <c r="K246" i="29"/>
  <c r="I246" i="29"/>
  <c r="AI245" i="29"/>
  <c r="AG245" i="29"/>
  <c r="AC245" i="29"/>
  <c r="AA245" i="29"/>
  <c r="Q245" i="29"/>
  <c r="O245" i="29"/>
  <c r="K245" i="29"/>
  <c r="I245" i="29"/>
  <c r="AI244" i="29"/>
  <c r="AG244" i="29"/>
  <c r="AC244" i="29"/>
  <c r="AA244" i="29"/>
  <c r="Q244" i="29"/>
  <c r="O244" i="29"/>
  <c r="K244" i="29"/>
  <c r="I244" i="29"/>
  <c r="AI243" i="29"/>
  <c r="AG243" i="29"/>
  <c r="AC243" i="29"/>
  <c r="AA243" i="29"/>
  <c r="Q243" i="29"/>
  <c r="O243" i="29"/>
  <c r="K243" i="29"/>
  <c r="I243" i="29"/>
  <c r="AI242" i="29"/>
  <c r="AG242" i="29"/>
  <c r="AC242" i="29"/>
  <c r="AA242" i="29"/>
  <c r="Q242" i="29"/>
  <c r="O242" i="29"/>
  <c r="K242" i="29"/>
  <c r="I242" i="29"/>
  <c r="AI241" i="29"/>
  <c r="AG241" i="29"/>
  <c r="AC241" i="29"/>
  <c r="AA241" i="29"/>
  <c r="Q241" i="29"/>
  <c r="O241" i="29"/>
  <c r="K241" i="29"/>
  <c r="I241" i="29"/>
  <c r="AI240" i="29"/>
  <c r="AG240" i="29"/>
  <c r="AC240" i="29"/>
  <c r="AA240" i="29"/>
  <c r="Q240" i="29"/>
  <c r="O240" i="29"/>
  <c r="K240" i="29"/>
  <c r="I240" i="29"/>
  <c r="AI239" i="29"/>
  <c r="AG239" i="29"/>
  <c r="AC239" i="29"/>
  <c r="AA239" i="29"/>
  <c r="Q239" i="29"/>
  <c r="O239" i="29"/>
  <c r="K239" i="29"/>
  <c r="I239" i="29"/>
  <c r="AI238" i="29"/>
  <c r="AG238" i="29"/>
  <c r="AC238" i="29"/>
  <c r="AA238" i="29"/>
  <c r="Q238" i="29"/>
  <c r="O238" i="29"/>
  <c r="K238" i="29"/>
  <c r="I238" i="29"/>
  <c r="AI237" i="29"/>
  <c r="AG237" i="29"/>
  <c r="AC237" i="29"/>
  <c r="AA237" i="29"/>
  <c r="W237" i="29"/>
  <c r="U237" i="29"/>
  <c r="Q237" i="29"/>
  <c r="O237" i="29"/>
  <c r="K237" i="29"/>
  <c r="I237" i="29"/>
  <c r="E237" i="29"/>
  <c r="C237" i="29"/>
  <c r="AI236" i="29"/>
  <c r="AG236" i="29"/>
  <c r="AC236" i="29"/>
  <c r="AA236" i="29"/>
  <c r="W236" i="29"/>
  <c r="U236" i="29"/>
  <c r="Q236" i="29"/>
  <c r="O236" i="29"/>
  <c r="K236" i="29"/>
  <c r="I236" i="29"/>
  <c r="E236" i="29"/>
  <c r="C236" i="29"/>
  <c r="AI235" i="29"/>
  <c r="AG235" i="29"/>
  <c r="AC235" i="29"/>
  <c r="AA235" i="29"/>
  <c r="W235" i="29"/>
  <c r="U235" i="29"/>
  <c r="Q235" i="29"/>
  <c r="O235" i="29"/>
  <c r="K235" i="29"/>
  <c r="I235" i="29"/>
  <c r="E235" i="29"/>
  <c r="C235" i="29"/>
  <c r="AI234" i="29"/>
  <c r="AG234" i="29"/>
  <c r="AC234" i="29"/>
  <c r="AA234" i="29"/>
  <c r="W234" i="29"/>
  <c r="U234" i="29"/>
  <c r="Q234" i="29"/>
  <c r="O234" i="29"/>
  <c r="K234" i="29"/>
  <c r="I234" i="29"/>
  <c r="E234" i="29"/>
  <c r="C234" i="29"/>
  <c r="AI233" i="29"/>
  <c r="AG233" i="29"/>
  <c r="AC233" i="29"/>
  <c r="AA233" i="29"/>
  <c r="W233" i="29"/>
  <c r="U233" i="29"/>
  <c r="Q233" i="29"/>
  <c r="O233" i="29"/>
  <c r="K233" i="29"/>
  <c r="I233" i="29"/>
  <c r="E233" i="29"/>
  <c r="C233" i="29"/>
  <c r="AI232" i="29"/>
  <c r="AG232" i="29"/>
  <c r="AC232" i="29"/>
  <c r="AA232" i="29"/>
  <c r="W232" i="29"/>
  <c r="U232" i="29"/>
  <c r="Q232" i="29"/>
  <c r="O232" i="29"/>
  <c r="K232" i="29"/>
  <c r="I232" i="29"/>
  <c r="E232" i="29"/>
  <c r="C232" i="29"/>
  <c r="AI231" i="29"/>
  <c r="AG231" i="29"/>
  <c r="AC231" i="29"/>
  <c r="AA231" i="29"/>
  <c r="W231" i="29"/>
  <c r="U231" i="29"/>
  <c r="Q231" i="29"/>
  <c r="O231" i="29"/>
  <c r="K231" i="29"/>
  <c r="I231" i="29"/>
  <c r="E231" i="29"/>
  <c r="C231" i="29"/>
  <c r="AI230" i="29"/>
  <c r="AG230" i="29"/>
  <c r="AC230" i="29"/>
  <c r="AA230" i="29"/>
  <c r="W230" i="29"/>
  <c r="U230" i="29"/>
  <c r="Q230" i="29"/>
  <c r="O230" i="29"/>
  <c r="K230" i="29"/>
  <c r="I230" i="29"/>
  <c r="E230" i="29"/>
  <c r="C230" i="29"/>
  <c r="AI229" i="29"/>
  <c r="AG229" i="29"/>
  <c r="AC229" i="29"/>
  <c r="AA229" i="29"/>
  <c r="W229" i="29"/>
  <c r="U229" i="29"/>
  <c r="Q229" i="29"/>
  <c r="O229" i="29"/>
  <c r="K229" i="29"/>
  <c r="I229" i="29"/>
  <c r="E229" i="29"/>
  <c r="C229" i="29"/>
  <c r="AI228" i="29"/>
  <c r="AG228" i="29"/>
  <c r="AC228" i="29"/>
  <c r="AA228" i="29"/>
  <c r="W228" i="29"/>
  <c r="U228" i="29"/>
  <c r="Q228" i="29"/>
  <c r="O228" i="29"/>
  <c r="K228" i="29"/>
  <c r="I228" i="29"/>
  <c r="E228" i="29"/>
  <c r="C228" i="29"/>
  <c r="AI227" i="29"/>
  <c r="AG227" i="29"/>
  <c r="AC227" i="29"/>
  <c r="AA227" i="29"/>
  <c r="W227" i="29"/>
  <c r="U227" i="29"/>
  <c r="Q227" i="29"/>
  <c r="O227" i="29"/>
  <c r="K227" i="29"/>
  <c r="I227" i="29"/>
  <c r="E227" i="29"/>
  <c r="C227" i="29"/>
  <c r="AI226" i="29"/>
  <c r="AG226" i="29"/>
  <c r="AC226" i="29"/>
  <c r="AC327" i="29" s="1"/>
  <c r="AA226" i="29"/>
  <c r="W226" i="29"/>
  <c r="W327" i="29" s="1"/>
  <c r="U226" i="29"/>
  <c r="Q226" i="29"/>
  <c r="O226" i="29"/>
  <c r="K226" i="29"/>
  <c r="I226" i="29"/>
  <c r="E226" i="29"/>
  <c r="E327" i="29" s="1"/>
  <c r="C226" i="29"/>
  <c r="AI208" i="29"/>
  <c r="AG208" i="29"/>
  <c r="AI207" i="29"/>
  <c r="AG207" i="29"/>
  <c r="AI206" i="29"/>
  <c r="AG206" i="29"/>
  <c r="AI205" i="29"/>
  <c r="AG205" i="29"/>
  <c r="AI204" i="29"/>
  <c r="AG204" i="29"/>
  <c r="AI203" i="29"/>
  <c r="AG203" i="29"/>
  <c r="AI202" i="29"/>
  <c r="AG202" i="29"/>
  <c r="AI201" i="29"/>
  <c r="AG201" i="29"/>
  <c r="AI200" i="29"/>
  <c r="AG200" i="29"/>
  <c r="AI199" i="29"/>
  <c r="AG199" i="29"/>
  <c r="AI198" i="29"/>
  <c r="AG198" i="29"/>
  <c r="AI197" i="29"/>
  <c r="AG197" i="29"/>
  <c r="AI196" i="29"/>
  <c r="AG196" i="29"/>
  <c r="AI195" i="29"/>
  <c r="AG195" i="29"/>
  <c r="AI194" i="29"/>
  <c r="AG194" i="29"/>
  <c r="AI193" i="29"/>
  <c r="AG193" i="29"/>
  <c r="AI192" i="29"/>
  <c r="AG192" i="29"/>
  <c r="AI191" i="29"/>
  <c r="AG191" i="29"/>
  <c r="AI190" i="29"/>
  <c r="AG190" i="29"/>
  <c r="AI189" i="29"/>
  <c r="AG189" i="29"/>
  <c r="AI188" i="29"/>
  <c r="AG188" i="29"/>
  <c r="AI187" i="29"/>
  <c r="AG187" i="29"/>
  <c r="AI186" i="29"/>
  <c r="AG186" i="29"/>
  <c r="AI185" i="29"/>
  <c r="AG185" i="29"/>
  <c r="AI184" i="29"/>
  <c r="AG184" i="29"/>
  <c r="AI183" i="29"/>
  <c r="AG183" i="29"/>
  <c r="AI182" i="29"/>
  <c r="AG182" i="29"/>
  <c r="AI181" i="29"/>
  <c r="AG181" i="29"/>
  <c r="AI180" i="29"/>
  <c r="AG180" i="29"/>
  <c r="AI179" i="29"/>
  <c r="AG179" i="29"/>
  <c r="AI178" i="29"/>
  <c r="AG178" i="29"/>
  <c r="AI177" i="29"/>
  <c r="AG177" i="29"/>
  <c r="AI176" i="29"/>
  <c r="AG176" i="29"/>
  <c r="AI175" i="29"/>
  <c r="AG175" i="29"/>
  <c r="AI174" i="29"/>
  <c r="AG174" i="29"/>
  <c r="AI173" i="29"/>
  <c r="AG173" i="29"/>
  <c r="AI172" i="29"/>
  <c r="AG172" i="29"/>
  <c r="AI171" i="29"/>
  <c r="AG171" i="29"/>
  <c r="AI170" i="29"/>
  <c r="AG170" i="29"/>
  <c r="AI169" i="29"/>
  <c r="AG169" i="29"/>
  <c r="AI168" i="29"/>
  <c r="AG168" i="29"/>
  <c r="AI167" i="29"/>
  <c r="AG167" i="29"/>
  <c r="AI166" i="29"/>
  <c r="AG166" i="29"/>
  <c r="AI165" i="29"/>
  <c r="AG165" i="29"/>
  <c r="AI164" i="29"/>
  <c r="AG164" i="29"/>
  <c r="AI163" i="29"/>
  <c r="AG163" i="29"/>
  <c r="AI162" i="29"/>
  <c r="AG162" i="29"/>
  <c r="AI161" i="29"/>
  <c r="AG161" i="29"/>
  <c r="AI160" i="29"/>
  <c r="AG160" i="29"/>
  <c r="AI159" i="29"/>
  <c r="AG159" i="29"/>
  <c r="AI158" i="29"/>
  <c r="AG158" i="29"/>
  <c r="AI157" i="29"/>
  <c r="AG157" i="29"/>
  <c r="AI156" i="29"/>
  <c r="AG156" i="29"/>
  <c r="Q156" i="29"/>
  <c r="O156" i="29"/>
  <c r="AI155" i="29"/>
  <c r="AG155" i="29"/>
  <c r="Q155" i="29"/>
  <c r="O155" i="29"/>
  <c r="AI154" i="29"/>
  <c r="AG154" i="29"/>
  <c r="Q154" i="29"/>
  <c r="O154" i="29"/>
  <c r="AI153" i="29"/>
  <c r="AG153" i="29"/>
  <c r="Q153" i="29"/>
  <c r="O153" i="29"/>
  <c r="AI152" i="29"/>
  <c r="AG152" i="29"/>
  <c r="Q152" i="29"/>
  <c r="O152" i="29"/>
  <c r="AI151" i="29"/>
  <c r="AG151" i="29"/>
  <c r="Q151" i="29"/>
  <c r="O151" i="29"/>
  <c r="AI150" i="29"/>
  <c r="AG150" i="29"/>
  <c r="Q150" i="29"/>
  <c r="O150" i="29"/>
  <c r="AI149" i="29"/>
  <c r="AG149" i="29"/>
  <c r="Q149" i="29"/>
  <c r="O149" i="29"/>
  <c r="AI148" i="29"/>
  <c r="AG148" i="29"/>
  <c r="Q148" i="29"/>
  <c r="O148" i="29"/>
  <c r="AI147" i="29"/>
  <c r="AG147" i="29"/>
  <c r="Q147" i="29"/>
  <c r="O147" i="29"/>
  <c r="AI146" i="29"/>
  <c r="AG146" i="29"/>
  <c r="Q146" i="29"/>
  <c r="O146" i="29"/>
  <c r="AI145" i="29"/>
  <c r="AG145" i="29"/>
  <c r="Q145" i="29"/>
  <c r="O145" i="29"/>
  <c r="AI144" i="29"/>
  <c r="AG144" i="29"/>
  <c r="Q144" i="29"/>
  <c r="O144" i="29"/>
  <c r="AI143" i="29"/>
  <c r="AG143" i="29"/>
  <c r="Q143" i="29"/>
  <c r="O143" i="29"/>
  <c r="AI142" i="29"/>
  <c r="AG142" i="29"/>
  <c r="Q142" i="29"/>
  <c r="O142" i="29"/>
  <c r="AI141" i="29"/>
  <c r="AG141" i="29"/>
  <c r="Q141" i="29"/>
  <c r="O141" i="29"/>
  <c r="AI140" i="29"/>
  <c r="AG140" i="29"/>
  <c r="AC140" i="29"/>
  <c r="AA140" i="29"/>
  <c r="Q140" i="29"/>
  <c r="O140" i="29"/>
  <c r="K140" i="29"/>
  <c r="I140" i="29"/>
  <c r="AI139" i="29"/>
  <c r="AG139" i="29"/>
  <c r="AC139" i="29"/>
  <c r="AA139" i="29"/>
  <c r="Q139" i="29"/>
  <c r="O139" i="29"/>
  <c r="K139" i="29"/>
  <c r="I139" i="29"/>
  <c r="AI138" i="29"/>
  <c r="AG138" i="29"/>
  <c r="AC138" i="29"/>
  <c r="AA138" i="29"/>
  <c r="Q138" i="29"/>
  <c r="O138" i="29"/>
  <c r="K138" i="29"/>
  <c r="I138" i="29"/>
  <c r="AI137" i="29"/>
  <c r="AG137" i="29"/>
  <c r="AC137" i="29"/>
  <c r="AA137" i="29"/>
  <c r="Q137" i="29"/>
  <c r="O137" i="29"/>
  <c r="K137" i="29"/>
  <c r="I137" i="29"/>
  <c r="AI136" i="29"/>
  <c r="AG136" i="29"/>
  <c r="AC136" i="29"/>
  <c r="AA136" i="29"/>
  <c r="Q136" i="29"/>
  <c r="O136" i="29"/>
  <c r="K136" i="29"/>
  <c r="I136" i="29"/>
  <c r="AI135" i="29"/>
  <c r="AG135" i="29"/>
  <c r="AC135" i="29"/>
  <c r="AA135" i="29"/>
  <c r="Q135" i="29"/>
  <c r="O135" i="29"/>
  <c r="K135" i="29"/>
  <c r="I135" i="29"/>
  <c r="AI134" i="29"/>
  <c r="AG134" i="29"/>
  <c r="AC134" i="29"/>
  <c r="AA134" i="29"/>
  <c r="Q134" i="29"/>
  <c r="O134" i="29"/>
  <c r="K134" i="29"/>
  <c r="I134" i="29"/>
  <c r="AI133" i="29"/>
  <c r="AG133" i="29"/>
  <c r="AC133" i="29"/>
  <c r="AA133" i="29"/>
  <c r="Q133" i="29"/>
  <c r="O133" i="29"/>
  <c r="K133" i="29"/>
  <c r="I133" i="29"/>
  <c r="AI132" i="29"/>
  <c r="AG132" i="29"/>
  <c r="AC132" i="29"/>
  <c r="AA132" i="29"/>
  <c r="Q132" i="29"/>
  <c r="O132" i="29"/>
  <c r="K132" i="29"/>
  <c r="I132" i="29"/>
  <c r="AI131" i="29"/>
  <c r="AG131" i="29"/>
  <c r="AC131" i="29"/>
  <c r="AA131" i="29"/>
  <c r="Q131" i="29"/>
  <c r="O131" i="29"/>
  <c r="K131" i="29"/>
  <c r="I131" i="29"/>
  <c r="AI130" i="29"/>
  <c r="AG130" i="29"/>
  <c r="AC130" i="29"/>
  <c r="AA130" i="29"/>
  <c r="Q130" i="29"/>
  <c r="O130" i="29"/>
  <c r="K130" i="29"/>
  <c r="I130" i="29"/>
  <c r="AI129" i="29"/>
  <c r="AG129" i="29"/>
  <c r="AC129" i="29"/>
  <c r="AA129" i="29"/>
  <c r="Q129" i="29"/>
  <c r="O129" i="29"/>
  <c r="K129" i="29"/>
  <c r="I129" i="29"/>
  <c r="AI128" i="29"/>
  <c r="AG128" i="29"/>
  <c r="AC128" i="29"/>
  <c r="AA128" i="29"/>
  <c r="Q128" i="29"/>
  <c r="O128" i="29"/>
  <c r="K128" i="29"/>
  <c r="I128" i="29"/>
  <c r="AI127" i="29"/>
  <c r="AG127" i="29"/>
  <c r="AC127" i="29"/>
  <c r="AA127" i="29"/>
  <c r="Q127" i="29"/>
  <c r="O127" i="29"/>
  <c r="K127" i="29"/>
  <c r="I127" i="29"/>
  <c r="AI126" i="29"/>
  <c r="AG126" i="29"/>
  <c r="AC126" i="29"/>
  <c r="AA126" i="29"/>
  <c r="Q126" i="29"/>
  <c r="O126" i="29"/>
  <c r="K126" i="29"/>
  <c r="I126" i="29"/>
  <c r="AI125" i="29"/>
  <c r="AG125" i="29"/>
  <c r="AC125" i="29"/>
  <c r="AA125" i="29"/>
  <c r="Q125" i="29"/>
  <c r="O125" i="29"/>
  <c r="K125" i="29"/>
  <c r="I125" i="29"/>
  <c r="AI124" i="29"/>
  <c r="AG124" i="29"/>
  <c r="AC124" i="29"/>
  <c r="AA124" i="29"/>
  <c r="W124" i="29"/>
  <c r="U124" i="29"/>
  <c r="Q124" i="29"/>
  <c r="O124" i="29"/>
  <c r="K124" i="29"/>
  <c r="I124" i="29"/>
  <c r="AI123" i="29"/>
  <c r="AG123" i="29"/>
  <c r="AC123" i="29"/>
  <c r="AA123" i="29"/>
  <c r="W123" i="29"/>
  <c r="U123" i="29"/>
  <c r="Q123" i="29"/>
  <c r="O123" i="29"/>
  <c r="K123" i="29"/>
  <c r="I123" i="29"/>
  <c r="E123" i="29"/>
  <c r="C123" i="29"/>
  <c r="AI122" i="29"/>
  <c r="AG122" i="29"/>
  <c r="AC122" i="29"/>
  <c r="AA122" i="29"/>
  <c r="W122" i="29"/>
  <c r="U122" i="29"/>
  <c r="Q122" i="29"/>
  <c r="O122" i="29"/>
  <c r="K122" i="29"/>
  <c r="I122" i="29"/>
  <c r="E122" i="29"/>
  <c r="C122" i="29"/>
  <c r="AI121" i="29"/>
  <c r="AG121" i="29"/>
  <c r="AC121" i="29"/>
  <c r="AA121" i="29"/>
  <c r="W121" i="29"/>
  <c r="U121" i="29"/>
  <c r="Q121" i="29"/>
  <c r="O121" i="29"/>
  <c r="K121" i="29"/>
  <c r="I121" i="29"/>
  <c r="E121" i="29"/>
  <c r="C121" i="29"/>
  <c r="AI120" i="29"/>
  <c r="AG120" i="29"/>
  <c r="AC120" i="29"/>
  <c r="AA120" i="29"/>
  <c r="W120" i="29"/>
  <c r="U120" i="29"/>
  <c r="Q120" i="29"/>
  <c r="O120" i="29"/>
  <c r="K120" i="29"/>
  <c r="I120" i="29"/>
  <c r="E120" i="29"/>
  <c r="C120" i="29"/>
  <c r="AI119" i="29"/>
  <c r="AG119" i="29"/>
  <c r="AC119" i="29"/>
  <c r="AA119" i="29"/>
  <c r="W119" i="29"/>
  <c r="U119" i="29"/>
  <c r="Q119" i="29"/>
  <c r="O119" i="29"/>
  <c r="K119" i="29"/>
  <c r="I119" i="29"/>
  <c r="E119" i="29"/>
  <c r="C119" i="29"/>
  <c r="AI118" i="29"/>
  <c r="AG118" i="29"/>
  <c r="AC118" i="29"/>
  <c r="AA118" i="29"/>
  <c r="W118" i="29"/>
  <c r="U118" i="29"/>
  <c r="Q118" i="29"/>
  <c r="O118" i="29"/>
  <c r="K118" i="29"/>
  <c r="I118" i="29"/>
  <c r="E118" i="29"/>
  <c r="C118" i="29"/>
  <c r="AI117" i="29"/>
  <c r="AG117" i="29"/>
  <c r="AC117" i="29"/>
  <c r="AA117" i="29"/>
  <c r="W117" i="29"/>
  <c r="U117" i="29"/>
  <c r="Q117" i="29"/>
  <c r="O117" i="29"/>
  <c r="K117" i="29"/>
  <c r="I117" i="29"/>
  <c r="E117" i="29"/>
  <c r="C117" i="29"/>
  <c r="AI116" i="29"/>
  <c r="AG116" i="29"/>
  <c r="AC116" i="29"/>
  <c r="AA116" i="29"/>
  <c r="W116" i="29"/>
  <c r="U116" i="29"/>
  <c r="Q116" i="29"/>
  <c r="O116" i="29"/>
  <c r="K116" i="29"/>
  <c r="I116" i="29"/>
  <c r="E116" i="29"/>
  <c r="C116" i="29"/>
  <c r="AI115" i="29"/>
  <c r="AG115" i="29"/>
  <c r="AC115" i="29"/>
  <c r="AA115" i="29"/>
  <c r="W115" i="29"/>
  <c r="U115" i="29"/>
  <c r="Q115" i="29"/>
  <c r="O115" i="29"/>
  <c r="K115" i="29"/>
  <c r="I115" i="29"/>
  <c r="E115" i="29"/>
  <c r="E210" i="29" s="1"/>
  <c r="C115" i="29"/>
  <c r="AI98" i="29"/>
  <c r="AG98" i="29"/>
  <c r="AI97" i="29"/>
  <c r="AG97" i="29"/>
  <c r="AI96" i="29"/>
  <c r="AG96" i="29"/>
  <c r="AI95" i="29"/>
  <c r="AG95" i="29"/>
  <c r="AI94" i="29"/>
  <c r="AG94" i="29"/>
  <c r="AI93" i="29"/>
  <c r="AG93" i="29"/>
  <c r="AI92" i="29"/>
  <c r="AG92" i="29"/>
  <c r="AI91" i="29"/>
  <c r="AG91" i="29"/>
  <c r="AI90" i="29"/>
  <c r="AG90" i="29"/>
  <c r="AI89" i="29"/>
  <c r="AG89" i="29"/>
  <c r="AI88" i="29"/>
  <c r="AG88" i="29"/>
  <c r="AI87" i="29"/>
  <c r="AG87" i="29"/>
  <c r="AI86" i="29"/>
  <c r="AG86" i="29"/>
  <c r="AI85" i="29"/>
  <c r="AG85" i="29"/>
  <c r="AI84" i="29"/>
  <c r="AG84" i="29"/>
  <c r="AI83" i="29"/>
  <c r="AG83" i="29"/>
  <c r="AI82" i="29"/>
  <c r="AG82" i="29"/>
  <c r="AI81" i="29"/>
  <c r="AG81" i="29"/>
  <c r="AI80" i="29"/>
  <c r="AG80" i="29"/>
  <c r="AI79" i="29"/>
  <c r="AG79" i="29"/>
  <c r="AI78" i="29"/>
  <c r="AG78" i="29"/>
  <c r="AI77" i="29"/>
  <c r="AG77" i="29"/>
  <c r="AI76" i="29"/>
  <c r="AG76" i="29"/>
  <c r="AI75" i="29"/>
  <c r="AG75" i="29"/>
  <c r="AI74" i="29"/>
  <c r="AG74" i="29"/>
  <c r="AI73" i="29"/>
  <c r="AG73" i="29"/>
  <c r="AI72" i="29"/>
  <c r="AG72" i="29"/>
  <c r="AI71" i="29"/>
  <c r="AG71" i="29"/>
  <c r="AI70" i="29"/>
  <c r="AG70" i="29"/>
  <c r="AI69" i="29"/>
  <c r="AG69" i="29"/>
  <c r="Q69" i="29"/>
  <c r="O69" i="29"/>
  <c r="AI68" i="29"/>
  <c r="AG68" i="29"/>
  <c r="Q68" i="29"/>
  <c r="O68" i="29"/>
  <c r="AI67" i="29"/>
  <c r="AG67" i="29"/>
  <c r="Q67" i="29"/>
  <c r="O67" i="29"/>
  <c r="AI66" i="29"/>
  <c r="AG66" i="29"/>
  <c r="Q66" i="29"/>
  <c r="O66" i="29"/>
  <c r="AI65" i="29"/>
  <c r="AG65" i="29"/>
  <c r="Q65" i="29"/>
  <c r="O65" i="29"/>
  <c r="AI64" i="29"/>
  <c r="AG64" i="29"/>
  <c r="Q64" i="29"/>
  <c r="O64" i="29"/>
  <c r="AI63" i="29"/>
  <c r="AG63" i="29"/>
  <c r="Q63" i="29"/>
  <c r="O63" i="29"/>
  <c r="AI62" i="29"/>
  <c r="AG62" i="29"/>
  <c r="Q62" i="29"/>
  <c r="O62" i="29"/>
  <c r="AI61" i="29"/>
  <c r="AG61" i="29"/>
  <c r="Q61" i="29"/>
  <c r="O61" i="29"/>
  <c r="AI60" i="29"/>
  <c r="AG60" i="29"/>
  <c r="Q60" i="29"/>
  <c r="O60" i="29"/>
  <c r="AI59" i="29"/>
  <c r="AG59" i="29"/>
  <c r="Q59" i="29"/>
  <c r="O59" i="29"/>
  <c r="AI58" i="29"/>
  <c r="AG58" i="29"/>
  <c r="Q58" i="29"/>
  <c r="O58" i="29"/>
  <c r="AI57" i="29"/>
  <c r="AG57" i="29"/>
  <c r="Q57" i="29"/>
  <c r="O57" i="29"/>
  <c r="AI56" i="29"/>
  <c r="AG56" i="29"/>
  <c r="Q56" i="29"/>
  <c r="O56" i="29"/>
  <c r="AI55" i="29"/>
  <c r="AG55" i="29"/>
  <c r="Q55" i="29"/>
  <c r="O55" i="29"/>
  <c r="AG54" i="29"/>
  <c r="O54" i="29"/>
  <c r="AI53" i="29"/>
  <c r="AG53" i="29"/>
  <c r="Q53" i="29"/>
  <c r="O53" i="29"/>
  <c r="AI52" i="29"/>
  <c r="AG52" i="29"/>
  <c r="Q52" i="29"/>
  <c r="O52" i="29"/>
  <c r="AG51" i="29"/>
  <c r="O51" i="29"/>
  <c r="AI50" i="29"/>
  <c r="AG50" i="29"/>
  <c r="Q50" i="29"/>
  <c r="O50" i="29"/>
  <c r="AI49" i="29"/>
  <c r="AG49" i="29"/>
  <c r="Q49" i="29"/>
  <c r="O49" i="29"/>
  <c r="AG48" i="29"/>
  <c r="O48" i="29"/>
  <c r="AI47" i="29"/>
  <c r="AG47" i="29"/>
  <c r="Q47" i="29"/>
  <c r="O47" i="29"/>
  <c r="AI46" i="29"/>
  <c r="AG46" i="29"/>
  <c r="Q46" i="29"/>
  <c r="O46" i="29"/>
  <c r="AG45" i="29"/>
  <c r="O45" i="29"/>
  <c r="AI44" i="29"/>
  <c r="AG44" i="29"/>
  <c r="Q44" i="29"/>
  <c r="O44" i="29"/>
  <c r="AI43" i="29"/>
  <c r="AG43" i="29"/>
  <c r="Q43" i="29"/>
  <c r="O43" i="29"/>
  <c r="AG42" i="29"/>
  <c r="O42" i="29"/>
  <c r="AI41" i="29"/>
  <c r="AG41" i="29"/>
  <c r="Q41" i="29"/>
  <c r="O41" i="29"/>
  <c r="AI40" i="29"/>
  <c r="AG40" i="29"/>
  <c r="Q40" i="29"/>
  <c r="O40" i="29"/>
  <c r="AI39" i="29"/>
  <c r="AG39" i="29"/>
  <c r="Q39" i="29"/>
  <c r="O39" i="29"/>
  <c r="AI38" i="29"/>
  <c r="AG38" i="29"/>
  <c r="AC38" i="29"/>
  <c r="AA38" i="29"/>
  <c r="Q38" i="29"/>
  <c r="O38" i="29"/>
  <c r="AI37" i="29"/>
  <c r="AG37" i="29"/>
  <c r="AC37" i="29"/>
  <c r="AA37" i="29"/>
  <c r="Q37" i="29"/>
  <c r="O37" i="29"/>
  <c r="K37" i="29"/>
  <c r="I37" i="29"/>
  <c r="AI36" i="29"/>
  <c r="AG36" i="29"/>
  <c r="AC36" i="29"/>
  <c r="AA36" i="29"/>
  <c r="Q36" i="29"/>
  <c r="O36" i="29"/>
  <c r="K36" i="29"/>
  <c r="I36" i="29"/>
  <c r="AI35" i="29"/>
  <c r="AG35" i="29"/>
  <c r="AC35" i="29"/>
  <c r="AA35" i="29"/>
  <c r="Q35" i="29"/>
  <c r="O35" i="29"/>
  <c r="K35" i="29"/>
  <c r="I35" i="29"/>
  <c r="AI34" i="29"/>
  <c r="AG34" i="29"/>
  <c r="AC34" i="29"/>
  <c r="AA34" i="29"/>
  <c r="Q34" i="29"/>
  <c r="O34" i="29"/>
  <c r="K34" i="29"/>
  <c r="I34" i="29"/>
  <c r="AI33" i="29"/>
  <c r="AG33" i="29"/>
  <c r="AC33" i="29"/>
  <c r="AA33" i="29"/>
  <c r="Q33" i="29"/>
  <c r="O33" i="29"/>
  <c r="K33" i="29"/>
  <c r="I33" i="29"/>
  <c r="AI32" i="29"/>
  <c r="AG32" i="29"/>
  <c r="AC32" i="29"/>
  <c r="AA32" i="29"/>
  <c r="Q32" i="29"/>
  <c r="O32" i="29"/>
  <c r="K32" i="29"/>
  <c r="I32" i="29"/>
  <c r="AI31" i="29"/>
  <c r="AG31" i="29"/>
  <c r="AC31" i="29"/>
  <c r="AA31" i="29"/>
  <c r="Q31" i="29"/>
  <c r="O31" i="29"/>
  <c r="K31" i="29"/>
  <c r="I31" i="29"/>
  <c r="AI30" i="29"/>
  <c r="AG30" i="29"/>
  <c r="AC30" i="29"/>
  <c r="AA30" i="29"/>
  <c r="Q30" i="29"/>
  <c r="O30" i="29"/>
  <c r="K30" i="29"/>
  <c r="I30" i="29"/>
  <c r="AI29" i="29"/>
  <c r="AG29" i="29"/>
  <c r="AC29" i="29"/>
  <c r="AA29" i="29"/>
  <c r="Q29" i="29"/>
  <c r="O29" i="29"/>
  <c r="K29" i="29"/>
  <c r="I29" i="29"/>
  <c r="AI28" i="29"/>
  <c r="AG28" i="29"/>
  <c r="AC28" i="29"/>
  <c r="AA28" i="29"/>
  <c r="Q28" i="29"/>
  <c r="O28" i="29"/>
  <c r="K28" i="29"/>
  <c r="I28" i="29"/>
  <c r="AI27" i="29"/>
  <c r="AG27" i="29"/>
  <c r="AC27" i="29"/>
  <c r="AA27" i="29"/>
  <c r="Q27" i="29"/>
  <c r="O27" i="29"/>
  <c r="K27" i="29"/>
  <c r="I27" i="29"/>
  <c r="AI26" i="29"/>
  <c r="AG26" i="29"/>
  <c r="AC26" i="29"/>
  <c r="AA26" i="29"/>
  <c r="Q26" i="29"/>
  <c r="O26" i="29"/>
  <c r="K26" i="29"/>
  <c r="I26" i="29"/>
  <c r="AI25" i="29"/>
  <c r="AG25" i="29"/>
  <c r="AC25" i="29"/>
  <c r="AA25" i="29"/>
  <c r="Q25" i="29"/>
  <c r="O25" i="29"/>
  <c r="K25" i="29"/>
  <c r="I25" i="29"/>
  <c r="AI24" i="29"/>
  <c r="AG24" i="29"/>
  <c r="AC24" i="29"/>
  <c r="AA24" i="29"/>
  <c r="Q24" i="29"/>
  <c r="O24" i="29"/>
  <c r="K24" i="29"/>
  <c r="I24" i="29"/>
  <c r="AI23" i="29"/>
  <c r="AG23" i="29"/>
  <c r="AC23" i="29"/>
  <c r="AA23" i="29"/>
  <c r="Q23" i="29"/>
  <c r="O23" i="29"/>
  <c r="K23" i="29"/>
  <c r="I23" i="29"/>
  <c r="AI22" i="29"/>
  <c r="AG22" i="29"/>
  <c r="AC22" i="29"/>
  <c r="AA22" i="29"/>
  <c r="W22" i="29"/>
  <c r="U22" i="29"/>
  <c r="Q22" i="29"/>
  <c r="O22" i="29"/>
  <c r="K22" i="29"/>
  <c r="I22" i="29"/>
  <c r="AI21" i="29"/>
  <c r="AG21" i="29"/>
  <c r="AC21" i="29"/>
  <c r="AA21" i="29"/>
  <c r="W21" i="29"/>
  <c r="U21" i="29"/>
  <c r="Q21" i="29"/>
  <c r="O21" i="29"/>
  <c r="K21" i="29"/>
  <c r="I21" i="29"/>
  <c r="E21" i="29"/>
  <c r="C21" i="29"/>
  <c r="AI20" i="29"/>
  <c r="AG20" i="29"/>
  <c r="AC20" i="29"/>
  <c r="AA20" i="29"/>
  <c r="W20" i="29"/>
  <c r="U20" i="29"/>
  <c r="Q20" i="29"/>
  <c r="O20" i="29"/>
  <c r="K20" i="29"/>
  <c r="I20" i="29"/>
  <c r="E20" i="29"/>
  <c r="C20" i="29"/>
  <c r="AI19" i="29"/>
  <c r="AG19" i="29"/>
  <c r="AC19" i="29"/>
  <c r="AA19" i="29"/>
  <c r="W19" i="29"/>
  <c r="U19" i="29"/>
  <c r="Q19" i="29"/>
  <c r="O19" i="29"/>
  <c r="K19" i="29"/>
  <c r="I19" i="29"/>
  <c r="E19" i="29"/>
  <c r="C19" i="29"/>
  <c r="AI18" i="29"/>
  <c r="AG18" i="29"/>
  <c r="AC18" i="29"/>
  <c r="AA18" i="29"/>
  <c r="W18" i="29"/>
  <c r="U18" i="29"/>
  <c r="Q18" i="29"/>
  <c r="O18" i="29"/>
  <c r="K18" i="29"/>
  <c r="I18" i="29"/>
  <c r="E18" i="29"/>
  <c r="C18" i="29"/>
  <c r="AI17" i="29"/>
  <c r="AG17" i="29"/>
  <c r="AC17" i="29"/>
  <c r="AA17" i="29"/>
  <c r="W17" i="29"/>
  <c r="U17" i="29"/>
  <c r="Q17" i="29"/>
  <c r="O17" i="29"/>
  <c r="K17" i="29"/>
  <c r="I17" i="29"/>
  <c r="E17" i="29"/>
  <c r="C17" i="29"/>
  <c r="AI16" i="29"/>
  <c r="AG16" i="29"/>
  <c r="AC16" i="29"/>
  <c r="AA16" i="29"/>
  <c r="W16" i="29"/>
  <c r="U16" i="29"/>
  <c r="Q16" i="29"/>
  <c r="O16" i="29"/>
  <c r="K16" i="29"/>
  <c r="I16" i="29"/>
  <c r="E16" i="29"/>
  <c r="C16" i="29"/>
  <c r="AI15" i="29"/>
  <c r="AG15" i="29"/>
  <c r="AC15" i="29"/>
  <c r="AA15" i="29"/>
  <c r="W15" i="29"/>
  <c r="U15" i="29"/>
  <c r="Q15" i="29"/>
  <c r="O15" i="29"/>
  <c r="K15" i="29"/>
  <c r="I15" i="29"/>
  <c r="E15" i="29"/>
  <c r="C15" i="29"/>
  <c r="AI14" i="29"/>
  <c r="AG14" i="29"/>
  <c r="AC14" i="29"/>
  <c r="AA14" i="29"/>
  <c r="W14" i="29"/>
  <c r="U14" i="29"/>
  <c r="Q14" i="29"/>
  <c r="O14" i="29"/>
  <c r="K14" i="29"/>
  <c r="I14" i="29"/>
  <c r="E14" i="29"/>
  <c r="C14" i="29"/>
  <c r="K100" i="29" l="1"/>
  <c r="AI100" i="29"/>
  <c r="I10" i="32" s="1"/>
  <c r="M10" i="33" s="1"/>
  <c r="L10" i="33" s="1"/>
  <c r="W210" i="29"/>
  <c r="I14" i="32" s="1"/>
  <c r="M14" i="33" s="1"/>
  <c r="L14" i="33" s="1"/>
  <c r="Q327" i="29"/>
  <c r="W100" i="29"/>
  <c r="Q210" i="29"/>
  <c r="AR14" i="29"/>
  <c r="I8" i="32"/>
  <c r="M8" i="33" s="1"/>
  <c r="AR16" i="29"/>
  <c r="Q100" i="29"/>
  <c r="AC100" i="29"/>
  <c r="AR15" i="29" s="1"/>
  <c r="K327" i="29"/>
  <c r="I24" i="32" s="1"/>
  <c r="M24" i="33" s="1"/>
  <c r="L24" i="33" s="1"/>
  <c r="K210" i="29"/>
  <c r="AR25" i="29" s="1"/>
  <c r="AC210" i="29"/>
  <c r="I9" i="32"/>
  <c r="M9" i="33" s="1"/>
  <c r="L9" i="33" s="1"/>
  <c r="I21" i="32"/>
  <c r="M21" i="33" s="1"/>
  <c r="L21" i="33" s="1"/>
  <c r="AR20" i="29"/>
  <c r="AR19" i="29"/>
  <c r="I20" i="32"/>
  <c r="M20" i="33" s="1"/>
  <c r="L20" i="33" s="1"/>
  <c r="I18" i="32"/>
  <c r="M18" i="33" s="1"/>
  <c r="L18" i="33" s="1"/>
  <c r="AR22" i="29"/>
  <c r="I12" i="32"/>
  <c r="M12" i="33" s="1"/>
  <c r="L12" i="33" s="1"/>
  <c r="I23" i="32"/>
  <c r="M23" i="33" s="1"/>
  <c r="L23" i="33" s="1"/>
  <c r="I17" i="32"/>
  <c r="M17" i="33" s="1"/>
  <c r="L17" i="33" s="1"/>
  <c r="AR24" i="29"/>
  <c r="E100" i="29"/>
  <c r="AI327" i="29"/>
  <c r="AI210" i="29"/>
  <c r="I13" i="32" l="1"/>
  <c r="M13" i="33" s="1"/>
  <c r="L13" i="33" s="1"/>
  <c r="AR23" i="29"/>
  <c r="I22" i="32"/>
  <c r="M22" i="33" s="1"/>
  <c r="L22" i="33" s="1"/>
  <c r="AR21" i="29"/>
  <c r="I15" i="32"/>
  <c r="M15" i="33" s="1"/>
  <c r="L15" i="33" s="1"/>
  <c r="AR17" i="29"/>
  <c r="AR18" i="29"/>
  <c r="I16" i="32"/>
  <c r="M16" i="33" s="1"/>
  <c r="L16" i="33" s="1"/>
  <c r="AR26" i="29"/>
  <c r="I19" i="32"/>
  <c r="M19" i="33" s="1"/>
  <c r="L19" i="33" s="1"/>
  <c r="AR27" i="29"/>
  <c r="I11" i="32"/>
  <c r="M11" i="33" s="1"/>
  <c r="L11" i="33" s="1"/>
  <c r="G45" i="27"/>
  <c r="K45" i="27" s="1"/>
  <c r="G46" i="27"/>
  <c r="K46" i="27" s="1"/>
  <c r="G47" i="27"/>
  <c r="K47" i="27" s="1"/>
  <c r="G48" i="27"/>
  <c r="K48" i="27" s="1"/>
  <c r="G49" i="27"/>
  <c r="K49" i="27" s="1"/>
  <c r="G44" i="27"/>
  <c r="K44" i="27" s="1"/>
  <c r="F45" i="27"/>
  <c r="F46" i="27"/>
  <c r="F47" i="27"/>
  <c r="F48" i="27"/>
  <c r="F49" i="27"/>
  <c r="F44" i="27"/>
  <c r="H17" i="28" l="1"/>
  <c r="H16" i="28"/>
  <c r="H15" i="28"/>
  <c r="L13" i="28"/>
  <c r="D16" i="31" l="1"/>
  <c r="E16" i="31"/>
  <c r="F16" i="31"/>
  <c r="G16" i="31"/>
  <c r="C16" i="31"/>
  <c r="D14" i="31"/>
  <c r="E14" i="31"/>
  <c r="F14" i="31"/>
  <c r="G14" i="31"/>
  <c r="H14" i="31"/>
  <c r="C14" i="31"/>
  <c r="H24" i="31" l="1"/>
  <c r="G24" i="31"/>
  <c r="F24" i="31"/>
  <c r="E24" i="31"/>
  <c r="E25" i="31" s="1"/>
  <c r="D24" i="31"/>
  <c r="C24" i="31"/>
  <c r="H23" i="31"/>
  <c r="H25" i="31" s="1"/>
  <c r="G23" i="31"/>
  <c r="F23" i="31"/>
  <c r="E23" i="31"/>
  <c r="D23" i="31"/>
  <c r="D25" i="31" s="1"/>
  <c r="C23" i="31"/>
  <c r="H15" i="31"/>
  <c r="G13" i="31"/>
  <c r="G15" i="31" s="1"/>
  <c r="F13" i="31"/>
  <c r="F15" i="31" s="1"/>
  <c r="E13" i="31"/>
  <c r="E15" i="31" s="1"/>
  <c r="D13" i="31"/>
  <c r="D15" i="31" s="1"/>
  <c r="C13" i="31"/>
  <c r="C15" i="31" s="1"/>
  <c r="H16" i="31" l="1"/>
  <c r="F25" i="31"/>
  <c r="C25" i="31"/>
  <c r="G25" i="31"/>
  <c r="L49" i="27" l="1"/>
  <c r="H25" i="32" s="1"/>
  <c r="K25" i="33" s="1"/>
  <c r="J25" i="33" s="1"/>
  <c r="I49" i="27"/>
  <c r="I48" i="27"/>
  <c r="L48" i="27"/>
  <c r="H24" i="32" s="1"/>
  <c r="L47" i="27"/>
  <c r="H23" i="32" s="1"/>
  <c r="I47" i="27"/>
  <c r="I46" i="27"/>
  <c r="L46" i="27"/>
  <c r="H22" i="32" s="1"/>
  <c r="L45" i="27"/>
  <c r="H21" i="32" s="1"/>
  <c r="I45" i="27"/>
  <c r="I44" i="27"/>
  <c r="L44" i="27"/>
  <c r="H20" i="32" s="1"/>
  <c r="F28" i="27"/>
  <c r="F29" i="27"/>
  <c r="F30" i="27"/>
  <c r="F31" i="27"/>
  <c r="F32" i="27"/>
  <c r="F27" i="27"/>
  <c r="F11" i="27"/>
  <c r="F12" i="27"/>
  <c r="F13" i="27"/>
  <c r="F14" i="27"/>
  <c r="F15" i="27"/>
  <c r="F10" i="27"/>
  <c r="G28" i="27"/>
  <c r="K28" i="27" s="1"/>
  <c r="L28" i="27" s="1"/>
  <c r="H9" i="32" s="1"/>
  <c r="G29" i="27"/>
  <c r="K29" i="27" s="1"/>
  <c r="L29" i="27" s="1"/>
  <c r="H10" i="32" s="1"/>
  <c r="G30" i="27"/>
  <c r="G31" i="27"/>
  <c r="K31" i="27" s="1"/>
  <c r="G32" i="27"/>
  <c r="K32" i="27" s="1"/>
  <c r="L32" i="27" s="1"/>
  <c r="H13" i="32" s="1"/>
  <c r="G27" i="27"/>
  <c r="K27" i="27" s="1"/>
  <c r="G11" i="27"/>
  <c r="G12" i="27"/>
  <c r="G13" i="27"/>
  <c r="G14" i="27"/>
  <c r="G15" i="27"/>
  <c r="G10" i="27"/>
  <c r="C11" i="27"/>
  <c r="C12" i="27"/>
  <c r="C13" i="27"/>
  <c r="C14" i="27"/>
  <c r="C15" i="27"/>
  <c r="C10" i="27"/>
  <c r="C28" i="27"/>
  <c r="C29" i="27"/>
  <c r="C30" i="27"/>
  <c r="C31" i="27"/>
  <c r="C32" i="27"/>
  <c r="C27" i="27"/>
  <c r="I32" i="27"/>
  <c r="I31" i="27"/>
  <c r="I30" i="27"/>
  <c r="I29" i="27"/>
  <c r="I28" i="27"/>
  <c r="I27" i="27"/>
  <c r="K20" i="33" l="1"/>
  <c r="J20" i="33" s="1"/>
  <c r="K20" i="32"/>
  <c r="K22" i="33"/>
  <c r="J22" i="33" s="1"/>
  <c r="K22" i="32"/>
  <c r="K24" i="33"/>
  <c r="J24" i="33" s="1"/>
  <c r="K24" i="32"/>
  <c r="K10" i="33"/>
  <c r="J10" i="33" s="1"/>
  <c r="K10" i="32"/>
  <c r="K13" i="33"/>
  <c r="J13" i="33" s="1"/>
  <c r="K13" i="32"/>
  <c r="K9" i="33"/>
  <c r="J9" i="33" s="1"/>
  <c r="K9" i="32"/>
  <c r="K21" i="33"/>
  <c r="J21" i="33" s="1"/>
  <c r="K21" i="32"/>
  <c r="K23" i="33"/>
  <c r="J23" i="33" s="1"/>
  <c r="K23" i="32"/>
  <c r="K30" i="27"/>
  <c r="L30" i="27" s="1"/>
  <c r="H11" i="32" s="1"/>
  <c r="L31" i="27"/>
  <c r="H12" i="32" s="1"/>
  <c r="L27" i="27"/>
  <c r="H8" i="32" s="1"/>
  <c r="H67" i="25"/>
  <c r="I67" i="25" s="1"/>
  <c r="H68" i="25"/>
  <c r="I68" i="25" s="1"/>
  <c r="N67" i="25"/>
  <c r="O67" i="25" s="1"/>
  <c r="N68" i="25"/>
  <c r="O68" i="25" s="1"/>
  <c r="F74" i="22"/>
  <c r="F75" i="22"/>
  <c r="E74" i="22"/>
  <c r="E75" i="22"/>
  <c r="N75" i="22"/>
  <c r="O75" i="22" s="1"/>
  <c r="N74" i="22"/>
  <c r="O74" i="22" s="1"/>
  <c r="K75" i="22"/>
  <c r="L75" i="22" s="1"/>
  <c r="K74" i="22"/>
  <c r="L74" i="22" s="1"/>
  <c r="H74" i="22"/>
  <c r="I74" i="22" s="1"/>
  <c r="G123" i="22"/>
  <c r="E114" i="22"/>
  <c r="F114" i="22" s="1"/>
  <c r="E113" i="22"/>
  <c r="F113" i="22" s="1"/>
  <c r="E112" i="22"/>
  <c r="F112" i="22" s="1"/>
  <c r="E111" i="22"/>
  <c r="F111" i="22" s="1"/>
  <c r="E110" i="22"/>
  <c r="F110" i="22" s="1"/>
  <c r="E109" i="22"/>
  <c r="F109" i="22" s="1"/>
  <c r="N108" i="22"/>
  <c r="K108" i="22"/>
  <c r="H108" i="22"/>
  <c r="E108" i="22"/>
  <c r="F108" i="22" s="1"/>
  <c r="E104" i="22"/>
  <c r="E103" i="22"/>
  <c r="G82" i="22"/>
  <c r="N73" i="22"/>
  <c r="O73" i="22" s="1"/>
  <c r="K73" i="22"/>
  <c r="H73" i="22"/>
  <c r="I73" i="22" s="1"/>
  <c r="F73" i="22"/>
  <c r="E73" i="22"/>
  <c r="N72" i="22"/>
  <c r="O72" i="22" s="1"/>
  <c r="K72" i="22"/>
  <c r="H72" i="22"/>
  <c r="I72" i="22" s="1"/>
  <c r="F72" i="22"/>
  <c r="E72" i="22"/>
  <c r="N71" i="22"/>
  <c r="O71" i="22" s="1"/>
  <c r="K71" i="22"/>
  <c r="H71" i="22"/>
  <c r="I71" i="22" s="1"/>
  <c r="F71" i="22"/>
  <c r="E71" i="22"/>
  <c r="N70" i="22"/>
  <c r="O70" i="22" s="1"/>
  <c r="K70" i="22"/>
  <c r="H70" i="22"/>
  <c r="I70" i="22" s="1"/>
  <c r="F70" i="22"/>
  <c r="E70" i="22"/>
  <c r="N69" i="22"/>
  <c r="O69" i="22" s="1"/>
  <c r="K69" i="22"/>
  <c r="H69" i="22"/>
  <c r="I69" i="22" s="1"/>
  <c r="F69" i="22"/>
  <c r="E69" i="22"/>
  <c r="N68" i="22"/>
  <c r="O68" i="22" s="1"/>
  <c r="K68" i="22"/>
  <c r="H68" i="22"/>
  <c r="I68" i="22" s="1"/>
  <c r="F68" i="22"/>
  <c r="E68" i="22"/>
  <c r="N67" i="22"/>
  <c r="O67" i="22" s="1"/>
  <c r="K67" i="22"/>
  <c r="H67" i="22"/>
  <c r="I67" i="22" s="1"/>
  <c r="F67" i="22"/>
  <c r="E67" i="22"/>
  <c r="E62" i="22"/>
  <c r="E63" i="22" s="1"/>
  <c r="E20" i="22"/>
  <c r="E21" i="22" s="1"/>
  <c r="E25" i="22"/>
  <c r="F25" i="22"/>
  <c r="H25" i="22"/>
  <c r="K25" i="22"/>
  <c r="N25" i="22"/>
  <c r="E26" i="22"/>
  <c r="F26" i="22"/>
  <c r="H26" i="22"/>
  <c r="I26" i="22" s="1"/>
  <c r="K26" i="22"/>
  <c r="N26" i="22"/>
  <c r="O26" i="22" s="1"/>
  <c r="E27" i="22"/>
  <c r="F27" i="22"/>
  <c r="H27" i="22"/>
  <c r="I27" i="22" s="1"/>
  <c r="K27" i="22"/>
  <c r="L27" i="22" s="1"/>
  <c r="N27" i="22"/>
  <c r="O27" i="22" s="1"/>
  <c r="E28" i="22"/>
  <c r="F28" i="22"/>
  <c r="H28" i="22"/>
  <c r="I28" i="22" s="1"/>
  <c r="K28" i="22"/>
  <c r="N28" i="22"/>
  <c r="O28" i="22" s="1"/>
  <c r="E29" i="22"/>
  <c r="F29" i="22"/>
  <c r="H29" i="22"/>
  <c r="I29" i="22" s="1"/>
  <c r="K29" i="22"/>
  <c r="N29" i="22"/>
  <c r="O29" i="22" s="1"/>
  <c r="E30" i="22"/>
  <c r="F30" i="22"/>
  <c r="H30" i="22"/>
  <c r="I30" i="22" s="1"/>
  <c r="K30" i="22"/>
  <c r="L30" i="22" s="1"/>
  <c r="N30" i="22"/>
  <c r="O30" i="22" s="1"/>
  <c r="E31" i="22"/>
  <c r="F31" i="22"/>
  <c r="H31" i="22"/>
  <c r="I31" i="22" s="1"/>
  <c r="K31" i="22"/>
  <c r="N31" i="22"/>
  <c r="O31" i="22" s="1"/>
  <c r="G40" i="22"/>
  <c r="K8" i="33" l="1"/>
  <c r="J8" i="33" s="1"/>
  <c r="K12" i="33"/>
  <c r="J12" i="33" s="1"/>
  <c r="K12" i="32"/>
  <c r="K11" i="33"/>
  <c r="J11" i="33" s="1"/>
  <c r="K11" i="32"/>
  <c r="L67" i="22"/>
  <c r="L25" i="22"/>
  <c r="L26" i="22"/>
  <c r="L31" i="22"/>
  <c r="L28" i="22"/>
  <c r="L29" i="22"/>
  <c r="I77" i="22"/>
  <c r="D82" i="22" s="1"/>
  <c r="L73" i="22"/>
  <c r="L72" i="22"/>
  <c r="L71" i="22"/>
  <c r="L70" i="22"/>
  <c r="L69" i="22"/>
  <c r="L68" i="22"/>
  <c r="L108" i="22"/>
  <c r="L109" i="22"/>
  <c r="L111" i="22"/>
  <c r="L112" i="22"/>
  <c r="L113" i="22"/>
  <c r="L114" i="22"/>
  <c r="L110" i="22"/>
  <c r="I108" i="22"/>
  <c r="O108" i="22"/>
  <c r="I109" i="22"/>
  <c r="I110" i="22"/>
  <c r="I111" i="22"/>
  <c r="I112" i="22"/>
  <c r="I113" i="22"/>
  <c r="I114" i="22"/>
  <c r="O77" i="22"/>
  <c r="D84" i="22" s="1"/>
  <c r="L35" i="22"/>
  <c r="O25" i="22"/>
  <c r="O35" i="22" s="1"/>
  <c r="I25" i="22"/>
  <c r="I35" i="22" s="1"/>
  <c r="D40" i="22" s="1"/>
  <c r="L77" i="22" l="1"/>
  <c r="D83" i="22" s="1"/>
  <c r="I118" i="22"/>
  <c r="D123" i="22" s="1"/>
  <c r="O118" i="22"/>
  <c r="D125" i="22" s="1"/>
  <c r="L118" i="22"/>
  <c r="D124" i="22" s="1"/>
  <c r="D17" i="28" l="1"/>
  <c r="D18" i="28" s="1"/>
  <c r="D15" i="28"/>
  <c r="D10" i="28"/>
  <c r="D11" i="28" s="1"/>
  <c r="D9" i="28"/>
  <c r="I11" i="27"/>
  <c r="I12" i="27"/>
  <c r="I13" i="27"/>
  <c r="I14" i="27"/>
  <c r="I15" i="27"/>
  <c r="I10" i="27"/>
  <c r="K12" i="27"/>
  <c r="L12" i="27" s="1"/>
  <c r="H16" i="32" s="1"/>
  <c r="K13" i="27"/>
  <c r="L13" i="27" s="1"/>
  <c r="H17" i="32" s="1"/>
  <c r="K14" i="27"/>
  <c r="L14" i="27" s="1"/>
  <c r="H18" i="32" s="1"/>
  <c r="K15" i="27"/>
  <c r="L15" i="27" s="1"/>
  <c r="H19" i="32" s="1"/>
  <c r="K11" i="27"/>
  <c r="L11" i="27" s="1"/>
  <c r="H15" i="32" s="1"/>
  <c r="K10" i="27"/>
  <c r="L10" i="27" s="1"/>
  <c r="H14" i="32" s="1"/>
  <c r="E9" i="26"/>
  <c r="E10" i="26"/>
  <c r="E11" i="26"/>
  <c r="E12" i="26"/>
  <c r="E13" i="26"/>
  <c r="E14" i="26"/>
  <c r="E15" i="26"/>
  <c r="E16" i="26"/>
  <c r="E17" i="26"/>
  <c r="E18" i="26"/>
  <c r="E19" i="26"/>
  <c r="E20" i="26"/>
  <c r="E8" i="26"/>
  <c r="K17" i="33" l="1"/>
  <c r="J17" i="33" s="1"/>
  <c r="K17" i="32"/>
  <c r="K16" i="33"/>
  <c r="J16" i="33" s="1"/>
  <c r="K16" i="32"/>
  <c r="K15" i="33"/>
  <c r="J15" i="33" s="1"/>
  <c r="K15" i="32"/>
  <c r="K19" i="33"/>
  <c r="J19" i="33" s="1"/>
  <c r="K19" i="32"/>
  <c r="K14" i="33"/>
  <c r="J14" i="33" s="1"/>
  <c r="K14" i="32"/>
  <c r="K18" i="33"/>
  <c r="J18" i="33" s="1"/>
  <c r="K18" i="32"/>
  <c r="D19" i="28"/>
  <c r="D12" i="28"/>
  <c r="I23" i="26"/>
  <c r="I24" i="26"/>
  <c r="G24" i="26"/>
  <c r="G23" i="26"/>
  <c r="D45" i="26"/>
  <c r="D44" i="26"/>
  <c r="I40" i="26"/>
  <c r="G40" i="26"/>
  <c r="E40" i="26"/>
  <c r="I39" i="26"/>
  <c r="G39" i="26"/>
  <c r="E39" i="26"/>
  <c r="I38" i="26"/>
  <c r="G38" i="26"/>
  <c r="E38" i="26"/>
  <c r="I37" i="26"/>
  <c r="G37" i="26"/>
  <c r="E37" i="26"/>
  <c r="I36" i="26"/>
  <c r="G36" i="26"/>
  <c r="E36" i="26"/>
  <c r="I35" i="26"/>
  <c r="G35" i="26"/>
  <c r="E35" i="26"/>
  <c r="I34" i="26"/>
  <c r="G34" i="26"/>
  <c r="E34" i="26"/>
  <c r="I33" i="26"/>
  <c r="G33" i="26"/>
  <c r="E33" i="26"/>
  <c r="I32" i="26"/>
  <c r="G32" i="26"/>
  <c r="E32" i="26"/>
  <c r="I31" i="26"/>
  <c r="G31" i="26"/>
  <c r="E31" i="26"/>
  <c r="I30" i="26"/>
  <c r="G30" i="26"/>
  <c r="E30" i="26"/>
  <c r="I29" i="26"/>
  <c r="G29" i="26"/>
  <c r="E29" i="26"/>
  <c r="I28" i="26"/>
  <c r="G28" i="26"/>
  <c r="E28" i="26"/>
  <c r="E24" i="26"/>
  <c r="E23" i="26"/>
  <c r="G9" i="26"/>
  <c r="G10" i="26"/>
  <c r="G11" i="26"/>
  <c r="G12" i="26"/>
  <c r="G13" i="26"/>
  <c r="G14" i="26"/>
  <c r="G15" i="26"/>
  <c r="G16" i="26"/>
  <c r="G17" i="26"/>
  <c r="G18" i="26"/>
  <c r="G19" i="26"/>
  <c r="G20" i="26"/>
  <c r="G8" i="26"/>
  <c r="L14" i="26"/>
  <c r="M124" i="24" l="1"/>
  <c r="N124" i="24" s="1"/>
  <c r="M123" i="24"/>
  <c r="N123" i="24" s="1"/>
  <c r="M122" i="24"/>
  <c r="N122" i="24" s="1"/>
  <c r="M121" i="24"/>
  <c r="N121" i="24" s="1"/>
  <c r="M120" i="24"/>
  <c r="N120" i="24" s="1"/>
  <c r="M119" i="24"/>
  <c r="N119" i="24" s="1"/>
  <c r="M118" i="24"/>
  <c r="N118" i="24" s="1"/>
  <c r="M117" i="24"/>
  <c r="N117" i="24" s="1"/>
  <c r="M116" i="24"/>
  <c r="N116" i="24" s="1"/>
  <c r="M115" i="24"/>
  <c r="N115" i="24" s="1"/>
  <c r="J112" i="24"/>
  <c r="K112" i="24" s="1"/>
  <c r="J113" i="24"/>
  <c r="K113" i="24" s="1"/>
  <c r="J114" i="24"/>
  <c r="K114" i="24" s="1"/>
  <c r="J115" i="24"/>
  <c r="K115" i="24" s="1"/>
  <c r="J116" i="24"/>
  <c r="K116" i="24" s="1"/>
  <c r="J117" i="24"/>
  <c r="K117" i="24" s="1"/>
  <c r="J118" i="24"/>
  <c r="K118" i="24" s="1"/>
  <c r="J119" i="24"/>
  <c r="K119" i="24" s="1"/>
  <c r="J120" i="24"/>
  <c r="K120" i="24" s="1"/>
  <c r="J121" i="24"/>
  <c r="K121" i="24" s="1"/>
  <c r="J122" i="24"/>
  <c r="K122" i="24" s="1"/>
  <c r="J123" i="24"/>
  <c r="K123" i="24" s="1"/>
  <c r="J124" i="24"/>
  <c r="K124" i="24" s="1"/>
  <c r="J125" i="24"/>
  <c r="K125" i="24" s="1"/>
  <c r="G117" i="24"/>
  <c r="H117" i="24" s="1"/>
  <c r="G116" i="24"/>
  <c r="H116" i="24" s="1"/>
  <c r="G115" i="24"/>
  <c r="H115" i="24" s="1"/>
  <c r="E115" i="24"/>
  <c r="E116" i="24"/>
  <c r="E117" i="24"/>
  <c r="E118" i="24"/>
  <c r="E119" i="24"/>
  <c r="E120" i="24"/>
  <c r="E121" i="24"/>
  <c r="E122" i="24"/>
  <c r="E123" i="24"/>
  <c r="E124" i="24"/>
  <c r="E125" i="24"/>
  <c r="D115" i="24"/>
  <c r="D116" i="24"/>
  <c r="D117" i="24"/>
  <c r="D118" i="24"/>
  <c r="D119" i="24"/>
  <c r="D120" i="24"/>
  <c r="D121" i="24"/>
  <c r="D122" i="24"/>
  <c r="D123" i="24"/>
  <c r="D124" i="24"/>
  <c r="D125" i="24"/>
  <c r="G130" i="24"/>
  <c r="G77" i="24"/>
  <c r="M125" i="24"/>
  <c r="M114" i="24"/>
  <c r="N114" i="24" s="1"/>
  <c r="G114" i="24"/>
  <c r="H114" i="24" s="1"/>
  <c r="D114" i="24"/>
  <c r="E114" i="24" s="1"/>
  <c r="M113" i="24"/>
  <c r="G113" i="24"/>
  <c r="H113" i="24" s="1"/>
  <c r="D113" i="24"/>
  <c r="E113" i="24" s="1"/>
  <c r="M112" i="24"/>
  <c r="G112" i="24"/>
  <c r="D112" i="24"/>
  <c r="E112" i="24" s="1"/>
  <c r="M111" i="24"/>
  <c r="J111" i="24"/>
  <c r="G111" i="24"/>
  <c r="D111" i="24"/>
  <c r="E111" i="24" s="1"/>
  <c r="M110" i="24"/>
  <c r="J110" i="24"/>
  <c r="G110" i="24"/>
  <c r="D110" i="24"/>
  <c r="E110" i="24" s="1"/>
  <c r="M109" i="24"/>
  <c r="J109" i="24"/>
  <c r="G109" i="24"/>
  <c r="D109" i="24"/>
  <c r="E109" i="24" s="1"/>
  <c r="M108" i="24"/>
  <c r="J108" i="24"/>
  <c r="G108" i="24"/>
  <c r="D108" i="24"/>
  <c r="E108" i="24" s="1"/>
  <c r="M107" i="24"/>
  <c r="J107" i="24"/>
  <c r="G107" i="24"/>
  <c r="D107" i="24"/>
  <c r="E107" i="24" s="1"/>
  <c r="M106" i="24"/>
  <c r="J106" i="24"/>
  <c r="G106" i="24"/>
  <c r="D106" i="24"/>
  <c r="E106" i="24" s="1"/>
  <c r="M105" i="24"/>
  <c r="J105" i="24"/>
  <c r="G105" i="24"/>
  <c r="D105" i="24"/>
  <c r="E105" i="24" s="1"/>
  <c r="M104" i="24"/>
  <c r="J104" i="24"/>
  <c r="G104" i="24"/>
  <c r="D104" i="24"/>
  <c r="E104" i="24" s="1"/>
  <c r="M103" i="24"/>
  <c r="J103" i="24"/>
  <c r="G103" i="24"/>
  <c r="D103" i="24"/>
  <c r="E103" i="24" s="1"/>
  <c r="M102" i="24"/>
  <c r="J102" i="24"/>
  <c r="G102" i="24"/>
  <c r="D102" i="24"/>
  <c r="E102" i="24" s="1"/>
  <c r="D97" i="24"/>
  <c r="D98" i="24" s="1"/>
  <c r="M72" i="24"/>
  <c r="D72" i="24"/>
  <c r="E72" i="24" s="1"/>
  <c r="M71" i="24"/>
  <c r="G71" i="24"/>
  <c r="D71" i="24"/>
  <c r="E71" i="24" s="1"/>
  <c r="M70" i="24"/>
  <c r="G70" i="24"/>
  <c r="D70" i="24"/>
  <c r="E70" i="24" s="1"/>
  <c r="M69" i="24"/>
  <c r="G69" i="24"/>
  <c r="H69" i="24" s="1"/>
  <c r="E69" i="24"/>
  <c r="D69" i="24"/>
  <c r="M68" i="24"/>
  <c r="J68" i="24"/>
  <c r="G68" i="24"/>
  <c r="D68" i="24"/>
  <c r="E68" i="24" s="1"/>
  <c r="K68" i="24" s="1"/>
  <c r="M67" i="24"/>
  <c r="J67" i="24"/>
  <c r="G67" i="24"/>
  <c r="E67" i="24"/>
  <c r="K67" i="24" s="1"/>
  <c r="D67" i="24"/>
  <c r="M66" i="24"/>
  <c r="J66" i="24"/>
  <c r="G66" i="24"/>
  <c r="H66" i="24" s="1"/>
  <c r="E66" i="24"/>
  <c r="K66" i="24" s="1"/>
  <c r="D66" i="24"/>
  <c r="M65" i="24"/>
  <c r="J65" i="24"/>
  <c r="G65" i="24"/>
  <c r="D65" i="24"/>
  <c r="E65" i="24" s="1"/>
  <c r="K65" i="24" s="1"/>
  <c r="M64" i="24"/>
  <c r="J64" i="24"/>
  <c r="G64" i="24"/>
  <c r="D64" i="24"/>
  <c r="E64" i="24" s="1"/>
  <c r="K64" i="24" s="1"/>
  <c r="M63" i="24"/>
  <c r="J63" i="24"/>
  <c r="G63" i="24"/>
  <c r="E63" i="24"/>
  <c r="K63" i="24" s="1"/>
  <c r="D63" i="24"/>
  <c r="M62" i="24"/>
  <c r="J62" i="24"/>
  <c r="G62" i="24"/>
  <c r="H62" i="24" s="1"/>
  <c r="E62" i="24"/>
  <c r="K62" i="24" s="1"/>
  <c r="D62" i="24"/>
  <c r="M61" i="24"/>
  <c r="J61" i="24"/>
  <c r="G61" i="24"/>
  <c r="H61" i="24" s="1"/>
  <c r="E61" i="24"/>
  <c r="D61" i="24"/>
  <c r="M60" i="24"/>
  <c r="J60" i="24"/>
  <c r="G60" i="24"/>
  <c r="D60" i="24"/>
  <c r="E60" i="24" s="1"/>
  <c r="K60" i="24" s="1"/>
  <c r="M59" i="24"/>
  <c r="J59" i="24"/>
  <c r="G59" i="24"/>
  <c r="E59" i="24"/>
  <c r="K59" i="24" s="1"/>
  <c r="D59" i="24"/>
  <c r="D54" i="24"/>
  <c r="D55" i="24" s="1"/>
  <c r="N60" i="24" l="1"/>
  <c r="N64" i="24"/>
  <c r="H59" i="24"/>
  <c r="N61" i="24"/>
  <c r="H63" i="24"/>
  <c r="N65" i="24"/>
  <c r="H67" i="24"/>
  <c r="H70" i="24"/>
  <c r="N68" i="24"/>
  <c r="H60" i="24"/>
  <c r="K61" i="24"/>
  <c r="N62" i="24"/>
  <c r="H64" i="24"/>
  <c r="N66" i="24"/>
  <c r="H68" i="24"/>
  <c r="H71" i="24"/>
  <c r="N102" i="24"/>
  <c r="N59" i="24"/>
  <c r="N63" i="24"/>
  <c r="H65" i="24"/>
  <c r="N67" i="24"/>
  <c r="H102" i="24"/>
  <c r="H103" i="24"/>
  <c r="H104" i="24"/>
  <c r="H105" i="24"/>
  <c r="H106" i="24"/>
  <c r="H107" i="24"/>
  <c r="H108" i="24"/>
  <c r="H109" i="24"/>
  <c r="H110" i="24"/>
  <c r="H111" i="24"/>
  <c r="H112" i="24"/>
  <c r="N113" i="24"/>
  <c r="K102" i="24"/>
  <c r="K103" i="24"/>
  <c r="K104" i="24"/>
  <c r="K105" i="24"/>
  <c r="K106" i="24"/>
  <c r="K107" i="24"/>
  <c r="K108" i="24"/>
  <c r="K109" i="24"/>
  <c r="K110" i="24"/>
  <c r="K111" i="24"/>
  <c r="N112" i="24"/>
  <c r="N125" i="24"/>
  <c r="N103" i="24"/>
  <c r="N104" i="24"/>
  <c r="N105" i="24"/>
  <c r="N106" i="24"/>
  <c r="N107" i="24"/>
  <c r="N108" i="24"/>
  <c r="N109" i="24"/>
  <c r="N110" i="24"/>
  <c r="N111" i="24"/>
  <c r="N72" i="24"/>
  <c r="N71" i="24"/>
  <c r="N69" i="24"/>
  <c r="N70" i="24"/>
  <c r="K73" i="24"/>
  <c r="D79" i="24" s="1"/>
  <c r="G36" i="24"/>
  <c r="M20" i="24"/>
  <c r="M21" i="24"/>
  <c r="M22" i="24"/>
  <c r="M23" i="24"/>
  <c r="M24" i="24"/>
  <c r="M25" i="24"/>
  <c r="M26" i="24"/>
  <c r="M27" i="24"/>
  <c r="M28" i="24"/>
  <c r="M29" i="24"/>
  <c r="M30" i="24"/>
  <c r="M31" i="24"/>
  <c r="M19" i="24"/>
  <c r="J20" i="24"/>
  <c r="J21" i="24"/>
  <c r="J22" i="24"/>
  <c r="J23" i="24"/>
  <c r="J24" i="24"/>
  <c r="J25" i="24"/>
  <c r="J26" i="24"/>
  <c r="J27" i="24"/>
  <c r="J28" i="24"/>
  <c r="J19" i="24"/>
  <c r="G20" i="24"/>
  <c r="G21" i="24"/>
  <c r="G22" i="24"/>
  <c r="G23" i="24"/>
  <c r="G24" i="24"/>
  <c r="G25" i="24"/>
  <c r="G26" i="24"/>
  <c r="G19" i="24"/>
  <c r="D14" i="24"/>
  <c r="D15" i="24" s="1"/>
  <c r="D20" i="24"/>
  <c r="E20" i="24" s="1"/>
  <c r="D21" i="24"/>
  <c r="E21" i="24" s="1"/>
  <c r="D22" i="24"/>
  <c r="E22" i="24" s="1"/>
  <c r="D23" i="24"/>
  <c r="E23" i="24" s="1"/>
  <c r="D24" i="24"/>
  <c r="E24" i="24" s="1"/>
  <c r="D25" i="24"/>
  <c r="E25" i="24" s="1"/>
  <c r="D26" i="24"/>
  <c r="E26" i="24" s="1"/>
  <c r="D27" i="24"/>
  <c r="E27" i="24" s="1"/>
  <c r="D28" i="24"/>
  <c r="E28" i="24" s="1"/>
  <c r="D29" i="24"/>
  <c r="E29" i="24" s="1"/>
  <c r="D30" i="24"/>
  <c r="E30" i="24" s="1"/>
  <c r="D31" i="24"/>
  <c r="E31" i="24" s="1"/>
  <c r="D19" i="24"/>
  <c r="E19" i="24" s="1"/>
  <c r="N126" i="24" l="1"/>
  <c r="D133" i="24" s="1"/>
  <c r="K25" i="24"/>
  <c r="K21" i="24"/>
  <c r="K22" i="24"/>
  <c r="H19" i="24"/>
  <c r="N30" i="24"/>
  <c r="N26" i="24"/>
  <c r="N22" i="24"/>
  <c r="H73" i="24"/>
  <c r="D78" i="24" s="1"/>
  <c r="H26" i="24"/>
  <c r="H22" i="24"/>
  <c r="K26" i="24"/>
  <c r="K19" i="24"/>
  <c r="N31" i="24"/>
  <c r="K126" i="24"/>
  <c r="D132" i="24" s="1"/>
  <c r="H126" i="24"/>
  <c r="D131" i="24" s="1"/>
  <c r="N73" i="24"/>
  <c r="D80" i="24" s="1"/>
  <c r="H23" i="24"/>
  <c r="K28" i="24"/>
  <c r="K24" i="24"/>
  <c r="K20" i="24"/>
  <c r="N23" i="24"/>
  <c r="K23" i="24"/>
  <c r="H25" i="24"/>
  <c r="H21" i="24"/>
  <c r="N19" i="24"/>
  <c r="N29" i="24"/>
  <c r="N25" i="24"/>
  <c r="N21" i="24"/>
  <c r="K27" i="24"/>
  <c r="N27" i="24"/>
  <c r="H24" i="24"/>
  <c r="H20" i="24"/>
  <c r="N28" i="24"/>
  <c r="N24" i="24"/>
  <c r="N20" i="24"/>
  <c r="F68" i="25"/>
  <c r="F67" i="25"/>
  <c r="E67" i="25"/>
  <c r="E68" i="25"/>
  <c r="K68" i="25"/>
  <c r="L68" i="25" s="1"/>
  <c r="K67" i="25"/>
  <c r="L67" i="25" s="1"/>
  <c r="G82" i="25"/>
  <c r="N66" i="25"/>
  <c r="K66" i="25"/>
  <c r="H66" i="25"/>
  <c r="E66" i="25"/>
  <c r="F66" i="25" s="1"/>
  <c r="N65" i="25"/>
  <c r="K65" i="25"/>
  <c r="H65" i="25"/>
  <c r="E65" i="25"/>
  <c r="F65" i="25" s="1"/>
  <c r="N64" i="25"/>
  <c r="K64" i="25"/>
  <c r="H64" i="25"/>
  <c r="E64" i="25"/>
  <c r="F64" i="25" s="1"/>
  <c r="N63" i="25"/>
  <c r="K63" i="25"/>
  <c r="H63" i="25"/>
  <c r="E63" i="25"/>
  <c r="F63" i="25" s="1"/>
  <c r="N62" i="25"/>
  <c r="K62" i="25"/>
  <c r="H62" i="25"/>
  <c r="E62" i="25"/>
  <c r="F62" i="25" s="1"/>
  <c r="N61" i="25"/>
  <c r="K61" i="25"/>
  <c r="H61" i="25"/>
  <c r="E61" i="25"/>
  <c r="F61" i="25" s="1"/>
  <c r="N60" i="25"/>
  <c r="K60" i="25"/>
  <c r="H60" i="25"/>
  <c r="E60" i="25"/>
  <c r="F60" i="25" s="1"/>
  <c r="E55" i="25"/>
  <c r="E56" i="25" s="1"/>
  <c r="N28" i="25"/>
  <c r="K28" i="25"/>
  <c r="H28" i="25"/>
  <c r="E28" i="25"/>
  <c r="F28" i="25" s="1"/>
  <c r="N27" i="25"/>
  <c r="K27" i="25"/>
  <c r="H27" i="25"/>
  <c r="E27" i="25"/>
  <c r="F27" i="25" s="1"/>
  <c r="N26" i="25"/>
  <c r="K26" i="25"/>
  <c r="H26" i="25"/>
  <c r="E26" i="25"/>
  <c r="F26" i="25" s="1"/>
  <c r="N25" i="25"/>
  <c r="K25" i="25"/>
  <c r="H25" i="25"/>
  <c r="F25" i="25"/>
  <c r="E25" i="25"/>
  <c r="N24" i="25"/>
  <c r="K24" i="25"/>
  <c r="H24" i="25"/>
  <c r="E24" i="25"/>
  <c r="F24" i="25" s="1"/>
  <c r="N23" i="25"/>
  <c r="K23" i="25"/>
  <c r="H23" i="25"/>
  <c r="E23" i="25"/>
  <c r="F23" i="25" s="1"/>
  <c r="N22" i="25"/>
  <c r="K22" i="25"/>
  <c r="H22" i="25"/>
  <c r="E22" i="25"/>
  <c r="F22" i="25" s="1"/>
  <c r="E16" i="25"/>
  <c r="E17" i="25" s="1"/>
  <c r="I27" i="25" l="1"/>
  <c r="I28" i="25"/>
  <c r="K32" i="24"/>
  <c r="D38" i="24" s="1"/>
  <c r="H32" i="24"/>
  <c r="D37" i="24" s="1"/>
  <c r="N32" i="24"/>
  <c r="D39" i="24" s="1"/>
  <c r="O22" i="25"/>
  <c r="O23" i="25"/>
  <c r="O24" i="25"/>
  <c r="L60" i="25"/>
  <c r="L61" i="25"/>
  <c r="L62" i="25"/>
  <c r="L63" i="25"/>
  <c r="L64" i="25"/>
  <c r="L65" i="25"/>
  <c r="L66" i="25"/>
  <c r="I25" i="25"/>
  <c r="O60" i="25"/>
  <c r="O61" i="25"/>
  <c r="O62" i="25"/>
  <c r="D85" i="25" s="1"/>
  <c r="O63" i="25"/>
  <c r="O64" i="25"/>
  <c r="O65" i="25"/>
  <c r="O66" i="25"/>
  <c r="I26" i="25"/>
  <c r="I60" i="25"/>
  <c r="I61" i="25"/>
  <c r="I62" i="25"/>
  <c r="I63" i="25"/>
  <c r="I64" i="25"/>
  <c r="I65" i="25"/>
  <c r="I66" i="25"/>
  <c r="L22" i="25"/>
  <c r="L23" i="25"/>
  <c r="L28" i="25"/>
  <c r="L25" i="25"/>
  <c r="I22" i="25"/>
  <c r="I23" i="25"/>
  <c r="I24" i="25"/>
  <c r="O25" i="25"/>
  <c r="O26" i="25"/>
  <c r="O27" i="25"/>
  <c r="O28" i="25"/>
  <c r="L24" i="25"/>
  <c r="L26" i="25"/>
  <c r="L27" i="25"/>
  <c r="D84" i="25" l="1"/>
  <c r="D83" i="25"/>
  <c r="O32" i="25"/>
  <c r="D39" i="25" s="1"/>
  <c r="I32" i="25"/>
  <c r="D37" i="25" s="1"/>
  <c r="L32" i="25"/>
  <c r="D38" i="25" s="1"/>
  <c r="D41" i="22" l="1"/>
  <c r="D42" i="22" l="1"/>
  <c r="G22" i="19" l="1"/>
  <c r="G12" i="17"/>
  <c r="G5" i="17"/>
  <c r="G8" i="17"/>
  <c r="G11" i="17"/>
  <c r="G12" i="19"/>
  <c r="G11" i="19"/>
  <c r="G8" i="19"/>
  <c r="F17" i="19"/>
  <c r="F16" i="19"/>
  <c r="B13" i="19"/>
  <c r="C12" i="19" s="1"/>
  <c r="F12" i="19"/>
  <c r="F11" i="19"/>
  <c r="F8" i="19"/>
  <c r="F5" i="19"/>
  <c r="C7" i="19" l="1"/>
  <c r="F13" i="19"/>
  <c r="C11" i="19"/>
  <c r="C4" i="19"/>
  <c r="D4" i="19" s="1"/>
  <c r="E4" i="19" s="1"/>
  <c r="C6" i="19"/>
  <c r="C9" i="19"/>
  <c r="C5" i="19"/>
  <c r="D5" i="19" s="1"/>
  <c r="C8" i="19"/>
  <c r="C10" i="19"/>
  <c r="F12" i="17"/>
  <c r="F17" i="17"/>
  <c r="F16" i="17"/>
  <c r="B13" i="17"/>
  <c r="C9" i="17" s="1"/>
  <c r="F11" i="17"/>
  <c r="F8" i="17"/>
  <c r="F5" i="17"/>
  <c r="D6" i="19" l="1"/>
  <c r="D7" i="19" s="1"/>
  <c r="E5" i="19"/>
  <c r="F13" i="17"/>
  <c r="C7" i="17"/>
  <c r="C5" i="17"/>
  <c r="C6" i="17"/>
  <c r="C11" i="17"/>
  <c r="C12" i="17"/>
  <c r="C4" i="17"/>
  <c r="D4" i="17" s="1"/>
  <c r="C10" i="17"/>
  <c r="C8" i="17"/>
  <c r="E6" i="19" l="1"/>
  <c r="E7" i="19"/>
  <c r="D8" i="19"/>
  <c r="D5" i="17"/>
  <c r="E4" i="17"/>
  <c r="D9" i="19" l="1"/>
  <c r="E8" i="19"/>
  <c r="E5" i="17"/>
  <c r="D6" i="17"/>
  <c r="E9" i="19" l="1"/>
  <c r="D10" i="19"/>
  <c r="E6" i="17"/>
  <c r="D7" i="17"/>
  <c r="E10" i="19" l="1"/>
  <c r="D11" i="19"/>
  <c r="E7" i="17"/>
  <c r="D8" i="17"/>
  <c r="D12" i="19" l="1"/>
  <c r="E12" i="19" s="1"/>
  <c r="E11" i="19"/>
  <c r="D9" i="17"/>
  <c r="E8" i="17"/>
  <c r="D10" i="17" l="1"/>
  <c r="E9" i="17"/>
  <c r="D11" i="17" l="1"/>
  <c r="E10" i="17"/>
  <c r="E11" i="17" l="1"/>
  <c r="D12" i="17"/>
  <c r="E12" i="17" s="1"/>
  <c r="D12" i="15" l="1"/>
  <c r="G14" i="12" l="1"/>
  <c r="G15" i="12"/>
  <c r="G16" i="12"/>
  <c r="G17" i="12"/>
  <c r="G18" i="12"/>
  <c r="G19" i="12"/>
  <c r="G20" i="12"/>
  <c r="G21" i="12"/>
  <c r="G22" i="12"/>
  <c r="G23" i="12"/>
  <c r="G24" i="12"/>
  <c r="G25" i="12"/>
  <c r="G26" i="12"/>
  <c r="G27" i="12"/>
  <c r="G28" i="12"/>
  <c r="G29" i="12"/>
  <c r="G30" i="12"/>
  <c r="G31" i="12"/>
  <c r="F14" i="12"/>
  <c r="F15" i="12"/>
  <c r="F16" i="12"/>
  <c r="F17" i="12"/>
  <c r="F18" i="12"/>
  <c r="F19" i="12"/>
  <c r="F20" i="12"/>
  <c r="F21" i="12"/>
  <c r="F22" i="12"/>
  <c r="F23" i="12"/>
  <c r="F24" i="12"/>
  <c r="F25" i="12"/>
  <c r="F26" i="12"/>
  <c r="F27" i="12"/>
  <c r="F28" i="12"/>
  <c r="F29" i="12"/>
  <c r="F30" i="12"/>
  <c r="F31" i="12"/>
  <c r="E14" i="12"/>
  <c r="E15" i="12"/>
  <c r="E16" i="12"/>
  <c r="E17" i="12"/>
  <c r="E18" i="12"/>
  <c r="E19" i="12"/>
  <c r="E20" i="12"/>
  <c r="E21" i="12"/>
  <c r="E22" i="12"/>
  <c r="E23" i="12"/>
  <c r="E24" i="12"/>
  <c r="E25" i="12"/>
  <c r="E26" i="12"/>
  <c r="E27" i="12"/>
  <c r="E28" i="12"/>
  <c r="E29" i="12"/>
  <c r="E30" i="12"/>
  <c r="E31" i="12"/>
  <c r="F13" i="12"/>
  <c r="G13" i="12"/>
  <c r="E13" i="12"/>
  <c r="E32" i="12" s="1"/>
  <c r="F3" i="12"/>
  <c r="F5" i="12" s="1"/>
  <c r="G32" i="12" l="1"/>
  <c r="F32" i="12"/>
  <c r="B6" i="11"/>
  <c r="C13" i="11"/>
  <c r="D13" i="11" s="1"/>
  <c r="C14" i="11"/>
  <c r="D14" i="11" s="1"/>
  <c r="C15" i="11"/>
  <c r="D15" i="11" s="1"/>
  <c r="C16" i="11"/>
  <c r="D16" i="11" s="1"/>
  <c r="C17" i="11"/>
  <c r="D17" i="11" s="1"/>
  <c r="C18" i="11"/>
  <c r="D18" i="11" s="1"/>
  <c r="C19" i="11"/>
  <c r="D19" i="11" s="1"/>
  <c r="C20" i="11"/>
  <c r="D20" i="11" s="1"/>
  <c r="C21" i="11"/>
  <c r="D21" i="11" s="1"/>
  <c r="C22" i="11"/>
  <c r="D22" i="11" s="1"/>
  <c r="C23" i="11"/>
  <c r="D23" i="11" s="1"/>
  <c r="C24" i="11"/>
  <c r="D24" i="11" s="1"/>
  <c r="C25" i="11"/>
  <c r="D25" i="11" s="1"/>
  <c r="C26" i="11"/>
  <c r="D26" i="11" s="1"/>
  <c r="C27" i="11"/>
  <c r="D27" i="11" s="1"/>
  <c r="C28" i="11"/>
  <c r="D28" i="11" s="1"/>
  <c r="C29" i="11"/>
  <c r="D29" i="11" s="1"/>
  <c r="C30" i="11"/>
  <c r="D30" i="11" s="1"/>
  <c r="C12" i="11"/>
  <c r="D12" i="11" s="1"/>
  <c r="E16" i="11" l="1"/>
  <c r="F16" i="11" s="1"/>
  <c r="E28" i="11"/>
  <c r="F28" i="11" s="1"/>
  <c r="E20" i="11"/>
  <c r="F20" i="11" s="1"/>
  <c r="E27" i="11"/>
  <c r="F27" i="11" s="1"/>
  <c r="E19" i="11"/>
  <c r="F19" i="11" s="1"/>
  <c r="E24" i="11"/>
  <c r="F24" i="11" s="1"/>
  <c r="E13" i="11"/>
  <c r="F13" i="11" s="1"/>
  <c r="E12" i="11"/>
  <c r="F12" i="11" s="1"/>
  <c r="E23" i="11"/>
  <c r="F23" i="11" s="1"/>
  <c r="E15" i="11"/>
  <c r="F15" i="11" s="1"/>
  <c r="E30" i="11"/>
  <c r="F30" i="11" s="1"/>
  <c r="E26" i="11"/>
  <c r="F26" i="11" s="1"/>
  <c r="E22" i="11"/>
  <c r="F22" i="11" s="1"/>
  <c r="E18" i="11"/>
  <c r="F18" i="11" s="1"/>
  <c r="E14" i="11"/>
  <c r="F14" i="11" s="1"/>
  <c r="E29" i="11"/>
  <c r="F29" i="11" s="1"/>
  <c r="E25" i="11"/>
  <c r="F25" i="11" s="1"/>
  <c r="E21" i="11"/>
  <c r="F21" i="11" s="1"/>
  <c r="E17" i="11"/>
  <c r="F17" i="11" s="1"/>
  <c r="C16" i="10"/>
  <c r="D16" i="10"/>
  <c r="E16" i="10"/>
  <c r="B16" i="10"/>
  <c r="C15" i="10"/>
  <c r="D15" i="10"/>
  <c r="D18" i="10" s="1"/>
  <c r="E15" i="10"/>
  <c r="E18" i="10" s="1"/>
  <c r="B15" i="10"/>
  <c r="C6" i="10"/>
  <c r="C8" i="10" s="1"/>
  <c r="D6" i="10"/>
  <c r="D8" i="10" s="1"/>
  <c r="E6" i="10"/>
  <c r="E8" i="10" s="1"/>
  <c r="B6" i="10"/>
  <c r="B8" i="10" s="1"/>
  <c r="E4" i="11" l="1"/>
  <c r="C18" i="10"/>
  <c r="B17" i="10"/>
  <c r="C17" i="10"/>
  <c r="C9" i="10" s="1"/>
  <c r="D17" i="10"/>
  <c r="D9" i="10" s="1"/>
  <c r="E17" i="10"/>
  <c r="E9" i="10" s="1"/>
  <c r="B9" i="10"/>
  <c r="B18" i="10"/>
  <c r="D22" i="9" l="1"/>
  <c r="F21" i="9"/>
  <c r="C21" i="9"/>
  <c r="G10" i="9" s="1"/>
  <c r="F20" i="9"/>
  <c r="C20" i="9"/>
  <c r="D20" i="9" s="1"/>
  <c r="F19" i="9"/>
  <c r="C19" i="9"/>
  <c r="D19" i="9" s="1"/>
  <c r="F18" i="9"/>
  <c r="C18" i="9"/>
  <c r="D18" i="9" s="1"/>
  <c r="F17" i="9"/>
  <c r="C17" i="9"/>
  <c r="D17" i="9" s="1"/>
  <c r="F16" i="9"/>
  <c r="C16" i="9"/>
  <c r="D16" i="9" s="1"/>
  <c r="G15" i="9"/>
  <c r="F15" i="9"/>
  <c r="H15" i="9" s="1"/>
  <c r="D15" i="9"/>
  <c r="C15" i="9"/>
  <c r="G11" i="9"/>
  <c r="E10" i="9"/>
  <c r="G9" i="9"/>
  <c r="G8" i="9"/>
  <c r="G5" i="9"/>
  <c r="G4" i="9"/>
  <c r="K15" i="9" l="1"/>
  <c r="G7" i="9"/>
  <c r="J15" i="9"/>
  <c r="G16" i="9"/>
  <c r="I15" i="9"/>
  <c r="H4" i="9" s="1"/>
  <c r="G6" i="9"/>
  <c r="D21" i="9"/>
  <c r="H16" i="9" l="1"/>
  <c r="G17" i="9" l="1"/>
  <c r="I16" i="9"/>
  <c r="J16" i="9"/>
  <c r="L16" i="9" s="1"/>
  <c r="J28" i="7"/>
  <c r="I17" i="7"/>
  <c r="I15" i="7"/>
  <c r="D15" i="7"/>
  <c r="D25" i="7" s="1"/>
  <c r="J27" i="7" l="1"/>
  <c r="J32" i="7"/>
  <c r="J30" i="7"/>
  <c r="J26" i="7"/>
  <c r="H37" i="7" s="1"/>
  <c r="J25" i="7"/>
  <c r="J29" i="7"/>
  <c r="J31" i="7"/>
  <c r="H17" i="9"/>
  <c r="J17" i="9" s="1"/>
  <c r="L17" i="9" s="1"/>
  <c r="H5" i="9"/>
  <c r="K16" i="9"/>
  <c r="D26" i="7"/>
  <c r="D23" i="7"/>
  <c r="D27" i="7"/>
  <c r="D24" i="7"/>
  <c r="B6" i="6"/>
  <c r="B10" i="5"/>
  <c r="B7" i="5"/>
  <c r="B8" i="5" s="1"/>
  <c r="B12" i="5" s="1"/>
  <c r="B8" i="4"/>
  <c r="B32" i="7" l="1"/>
  <c r="G18" i="9"/>
  <c r="I17" i="9"/>
  <c r="H18" i="9" l="1"/>
  <c r="K17" i="9"/>
  <c r="H6" i="9"/>
  <c r="I18" i="9" l="1"/>
  <c r="G19" i="9"/>
  <c r="J18" i="9"/>
  <c r="L18" i="9" s="1"/>
  <c r="H19" i="9" l="1"/>
  <c r="J19" i="9" s="1"/>
  <c r="L19" i="9" s="1"/>
  <c r="H7" i="9"/>
  <c r="K18" i="9"/>
  <c r="I19" i="9" l="1"/>
  <c r="G20" i="9"/>
  <c r="H20" i="9" l="1"/>
  <c r="J20" i="9"/>
  <c r="L20" i="9" s="1"/>
  <c r="H8" i="9"/>
  <c r="K19" i="9"/>
  <c r="G21" i="9" l="1"/>
  <c r="I20" i="9"/>
  <c r="H21" i="9" l="1"/>
  <c r="J21" i="9" s="1"/>
  <c r="L21" i="9" s="1"/>
  <c r="K20" i="9"/>
  <c r="H9" i="9"/>
  <c r="I21" i="9" l="1"/>
  <c r="G22" i="9"/>
  <c r="K21" i="9" l="1"/>
  <c r="H10" i="9"/>
  <c r="H22" i="9"/>
  <c r="I22" i="9" s="1"/>
  <c r="J22" i="9" l="1"/>
  <c r="L22" i="9" s="1"/>
  <c r="H11" i="9"/>
  <c r="K22" i="9" l="1"/>
  <c r="AR28" i="29"/>
  <c r="I25" i="32"/>
  <c r="K25" i="32" s="1"/>
  <c r="M25" i="33" l="1"/>
  <c r="L25" i="33" s="1"/>
</calcChain>
</file>

<file path=xl/sharedStrings.xml><?xml version="1.0" encoding="utf-8"?>
<sst xmlns="http://schemas.openxmlformats.org/spreadsheetml/2006/main" count="1215" uniqueCount="359">
  <si>
    <t>Observation Table</t>
  </si>
  <si>
    <t>% Retain</t>
  </si>
  <si>
    <t>Cum %Retain</t>
  </si>
  <si>
    <t>Cum %Passing (N)</t>
  </si>
  <si>
    <t>Reciver</t>
  </si>
  <si>
    <t>Retained on each Sive (gm)</t>
  </si>
  <si>
    <t>Sive Dia. (mm)</t>
  </si>
  <si>
    <t>Mass of Empty container (M1, gm)</t>
  </si>
  <si>
    <t>Mass of Empty container + Wet Soil (M2, gm)</t>
  </si>
  <si>
    <t>Mass of Empty container + Dry Soil (M3, gm)</t>
  </si>
  <si>
    <t>Mass of Water, M4 = M2 - M3</t>
  </si>
  <si>
    <t>Mass of Dry Soil, M5 = M3 - M1</t>
  </si>
  <si>
    <t>Water Content, W = (M4/M5)*100</t>
  </si>
  <si>
    <t>Weight of empty Bottle, m1 (gm)</t>
  </si>
  <si>
    <t>Weight of empty Bottle + Dry Soil, m2 (gm)</t>
  </si>
  <si>
    <t>Weight of empty Bottle + Dry Soil + Water, m3 (gm)</t>
  </si>
  <si>
    <t>Weight of empty Bottle + Water, m4 (gm)</t>
  </si>
  <si>
    <t>Specific Gravity</t>
  </si>
  <si>
    <t>Weight of empty Shrinkage Dish, W1 (gm)</t>
  </si>
  <si>
    <t>Weight of empty Shrinkage Dish + Weight of Wet Soil, W2 (gm)</t>
  </si>
  <si>
    <t>Weight of empty Shrinkage Dish + Weight of Dry Soil, W3 (gm)</t>
  </si>
  <si>
    <t>Volume of dish, V1 (cc)</t>
  </si>
  <si>
    <t>Volume of Dry soil, V2 (cc)</t>
  </si>
  <si>
    <t>Weight of displaced Mercury, W5 (gm)</t>
  </si>
  <si>
    <t>Shrinkage Limit</t>
  </si>
  <si>
    <t>Weight of empty Shrinkage Dish + Mercury</t>
  </si>
  <si>
    <t>Weight of mercury in Shrinkage dish,W4 (gm)</t>
  </si>
  <si>
    <t>Volume of Soil in Water</t>
  </si>
  <si>
    <t>Volume of Soil in Carosin</t>
  </si>
  <si>
    <t>% Free Swell</t>
  </si>
  <si>
    <t>Constant Head Permeability Test</t>
  </si>
  <si>
    <t>Sample No.</t>
  </si>
  <si>
    <t>coarse sand 1</t>
  </si>
  <si>
    <t>Dry Density</t>
  </si>
  <si>
    <t xml:space="preserve"> Hydraulic head (h)</t>
  </si>
  <si>
    <t>cm</t>
  </si>
  <si>
    <t xml:space="preserve"> Length of the sample (L)</t>
  </si>
  <si>
    <t>Hydraulic gradient</t>
  </si>
  <si>
    <t>Diameter of sample</t>
  </si>
  <si>
    <t xml:space="preserve"> c/s area of smple (A)</t>
  </si>
  <si>
    <t>cm2</t>
  </si>
  <si>
    <t xml:space="preserve"> Test temperature </t>
  </si>
  <si>
    <r>
      <rPr>
        <b/>
        <vertAlign val="superscript"/>
        <sz val="12"/>
        <color theme="1"/>
        <rFont val="Calibri"/>
        <family val="2"/>
        <scheme val="minor"/>
      </rPr>
      <t>.</t>
    </r>
    <r>
      <rPr>
        <sz val="11"/>
        <color theme="1"/>
        <rFont val="Calibri"/>
        <family val="2"/>
        <scheme val="minor"/>
      </rPr>
      <t>C</t>
    </r>
  </si>
  <si>
    <t xml:space="preserve"> Time interval (t)</t>
  </si>
  <si>
    <t>Quantity of flow (Q)</t>
  </si>
  <si>
    <t>Coefficient of permeaility (K)</t>
  </si>
  <si>
    <t>(sec)</t>
  </si>
  <si>
    <t>(ml)</t>
  </si>
  <si>
    <t>(cm/sec)</t>
  </si>
  <si>
    <t>Avg K</t>
  </si>
  <si>
    <t>Falling Head Permeability Test</t>
  </si>
  <si>
    <t>SAMPLE NO :-</t>
  </si>
  <si>
    <t>Fine sand</t>
  </si>
  <si>
    <t>SPECIFIC GRAVITY :-</t>
  </si>
  <si>
    <t xml:space="preserve"> Length of the sample (L)  :-</t>
  </si>
  <si>
    <t>Diameter of sample   :-</t>
  </si>
  <si>
    <t xml:space="preserve"> c/s area of smple (A)  :-</t>
  </si>
  <si>
    <t>Diameter of pipe  :-</t>
  </si>
  <si>
    <t>c/s area of pipe (a)  :-</t>
  </si>
  <si>
    <t xml:space="preserve"> Test temperature   :-</t>
  </si>
  <si>
    <t>Initial Head (h1)</t>
  </si>
  <si>
    <t>Final Head (h2)</t>
  </si>
  <si>
    <t>(cm)</t>
  </si>
  <si>
    <t>Typical value of K</t>
  </si>
  <si>
    <t>Coefficient of permeaility (K) (cm/sec)</t>
  </si>
  <si>
    <t>Clean Graval</t>
  </si>
  <si>
    <t>1.0 &amp; greater</t>
  </si>
  <si>
    <t>Clean sand (Coarse)</t>
  </si>
  <si>
    <r>
      <t>1.0 - 1*10</t>
    </r>
    <r>
      <rPr>
        <vertAlign val="superscript"/>
        <sz val="11"/>
        <color theme="1"/>
        <rFont val="Calibri"/>
        <family val="2"/>
        <scheme val="minor"/>
      </rPr>
      <t>-2</t>
    </r>
  </si>
  <si>
    <t>Sand (mixed)</t>
  </si>
  <si>
    <r>
      <t>1*10-2 - 5-10</t>
    </r>
    <r>
      <rPr>
        <vertAlign val="superscript"/>
        <sz val="11"/>
        <color theme="1"/>
        <rFont val="Calibri"/>
        <family val="2"/>
        <scheme val="minor"/>
      </rPr>
      <t>-2</t>
    </r>
  </si>
  <si>
    <t>Fine Sand</t>
  </si>
  <si>
    <r>
      <t>5*10</t>
    </r>
    <r>
      <rPr>
        <vertAlign val="superscript"/>
        <sz val="11"/>
        <color theme="1"/>
        <rFont val="Calibri"/>
        <family val="2"/>
        <scheme val="minor"/>
      </rPr>
      <t>-2</t>
    </r>
    <r>
      <rPr>
        <sz val="11"/>
        <color theme="1"/>
        <rFont val="Calibri"/>
        <family val="2"/>
        <scheme val="minor"/>
      </rPr>
      <t xml:space="preserve"> - 1*10</t>
    </r>
    <r>
      <rPr>
        <vertAlign val="superscript"/>
        <sz val="11"/>
        <color theme="1"/>
        <rFont val="Calibri"/>
        <family val="2"/>
        <scheme val="minor"/>
      </rPr>
      <t>-3</t>
    </r>
  </si>
  <si>
    <t>Silty Sand</t>
  </si>
  <si>
    <r>
      <t>2*10</t>
    </r>
    <r>
      <rPr>
        <vertAlign val="superscript"/>
        <sz val="11"/>
        <color theme="1"/>
        <rFont val="Calibri"/>
        <family val="2"/>
        <scheme val="minor"/>
      </rPr>
      <t>-3</t>
    </r>
    <r>
      <rPr>
        <sz val="11"/>
        <color theme="1"/>
        <rFont val="Calibri"/>
        <family val="2"/>
        <scheme val="minor"/>
      </rPr>
      <t xml:space="preserve"> - 1*10</t>
    </r>
    <r>
      <rPr>
        <vertAlign val="superscript"/>
        <sz val="11"/>
        <color theme="1"/>
        <rFont val="Calibri"/>
        <family val="2"/>
        <scheme val="minor"/>
      </rPr>
      <t>-4</t>
    </r>
  </si>
  <si>
    <t>Silt</t>
  </si>
  <si>
    <r>
      <t>5*10</t>
    </r>
    <r>
      <rPr>
        <vertAlign val="superscript"/>
        <sz val="11"/>
        <color theme="1"/>
        <rFont val="Calibri"/>
        <family val="2"/>
        <scheme val="minor"/>
      </rPr>
      <t>-4</t>
    </r>
    <r>
      <rPr>
        <sz val="11"/>
        <color theme="1"/>
        <rFont val="Calibri"/>
        <family val="2"/>
        <scheme val="minor"/>
      </rPr>
      <t xml:space="preserve"> - 1*10</t>
    </r>
    <r>
      <rPr>
        <vertAlign val="superscript"/>
        <sz val="11"/>
        <color theme="1"/>
        <rFont val="Calibri"/>
        <family val="2"/>
        <scheme val="minor"/>
      </rPr>
      <t xml:space="preserve">-5 </t>
    </r>
  </si>
  <si>
    <t>Clay</t>
  </si>
  <si>
    <r>
      <t>1*10</t>
    </r>
    <r>
      <rPr>
        <vertAlign val="superscript"/>
        <sz val="11"/>
        <color theme="1"/>
        <rFont val="Calibri"/>
        <family val="2"/>
        <scheme val="minor"/>
      </rPr>
      <t>-6</t>
    </r>
    <r>
      <rPr>
        <sz val="11"/>
        <color theme="1"/>
        <rFont val="Calibri"/>
        <family val="2"/>
        <scheme val="minor"/>
      </rPr>
      <t xml:space="preserve"> &amp; greater</t>
    </r>
  </si>
  <si>
    <t xml:space="preserve">Bore Hole No.= </t>
  </si>
  <si>
    <t>BH-1</t>
  </si>
  <si>
    <t>pi (kg/cm2)</t>
  </si>
  <si>
    <t>Void Ratio</t>
  </si>
  <si>
    <t xml:space="preserve">Depth (m) = </t>
  </si>
  <si>
    <t xml:space="preserve">Specific Gravity = </t>
  </si>
  <si>
    <t xml:space="preserve">Diameter of Ring (mm) = </t>
  </si>
  <si>
    <t xml:space="preserve">Ht. of sample (mm) = </t>
  </si>
  <si>
    <t xml:space="preserve">Final Wet Wt. of Soil (gm) = </t>
  </si>
  <si>
    <t xml:space="preserve">Final Dry Wt. of Soil (gm) = </t>
  </si>
  <si>
    <t xml:space="preserve">Water Content (%) = </t>
  </si>
  <si>
    <t xml:space="preserve">Ht. of Solids (mm) =  </t>
  </si>
  <si>
    <t xml:space="preserve">Least Count of Dial Gauge = </t>
  </si>
  <si>
    <t>pf (kg/cm2)</t>
  </si>
  <si>
    <r>
      <t>d</t>
    </r>
    <r>
      <rPr>
        <sz val="10"/>
        <rFont val="Arial"/>
        <family val="2"/>
      </rPr>
      <t>p</t>
    </r>
    <r>
      <rPr>
        <sz val="10"/>
        <rFont val="Symbol"/>
        <family val="1"/>
        <charset val="2"/>
      </rPr>
      <t xml:space="preserve"> </t>
    </r>
  </si>
  <si>
    <t>Initial Dial Reading</t>
  </si>
  <si>
    <t>Final dial Reading</t>
  </si>
  <si>
    <t>Initial Ht. (mm)</t>
  </si>
  <si>
    <t>Final Ht. (mm)</t>
  </si>
  <si>
    <t>Final Void ratio</t>
  </si>
  <si>
    <t>Change in Void Ratio</t>
  </si>
  <si>
    <t>Initial Void ratio</t>
  </si>
  <si>
    <t>Cc</t>
  </si>
  <si>
    <t xml:space="preserve">Name of Project : </t>
  </si>
  <si>
    <t xml:space="preserve">Surat Lignite Power Plant, Village Mosali, </t>
  </si>
  <si>
    <t>BH-22</t>
  </si>
  <si>
    <t>New Expansion</t>
  </si>
  <si>
    <t>Compression Index</t>
  </si>
  <si>
    <t>Density</t>
  </si>
  <si>
    <t>Mass of mould + Compacted Soil (g)</t>
  </si>
  <si>
    <t>Mass of mould  (g)</t>
  </si>
  <si>
    <t>Mass of compacted soil (g)</t>
  </si>
  <si>
    <t>Bulk density g/cc</t>
  </si>
  <si>
    <t>Dry density g/cc</t>
  </si>
  <si>
    <t>Water Content</t>
  </si>
  <si>
    <t>Volume of mould (cc)</t>
  </si>
  <si>
    <r>
      <t>Initial diameter of speciment (D</t>
    </r>
    <r>
      <rPr>
        <vertAlign val="sub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>)</t>
    </r>
  </si>
  <si>
    <r>
      <t>Initial length of speciment (L</t>
    </r>
    <r>
      <rPr>
        <vertAlign val="sub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>)</t>
    </r>
  </si>
  <si>
    <r>
      <t>Initial Area (A</t>
    </r>
    <r>
      <rPr>
        <vertAlign val="sub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>)</t>
    </r>
  </si>
  <si>
    <t>Initial Density</t>
  </si>
  <si>
    <t>Initial Water Content</t>
  </si>
  <si>
    <t>Deformation in mm</t>
  </si>
  <si>
    <r>
      <t xml:space="preserve">Strain, </t>
    </r>
    <r>
      <rPr>
        <sz val="11"/>
        <color theme="1"/>
        <rFont val="Calibri"/>
        <family val="2"/>
      </rPr>
      <t>ɛ (%)</t>
    </r>
  </si>
  <si>
    <t>Stress</t>
  </si>
  <si>
    <t xml:space="preserve"> Area </t>
  </si>
  <si>
    <t xml:space="preserve">Dial guge reading </t>
  </si>
  <si>
    <t>Proving ring</t>
  </si>
  <si>
    <t>gm/cc</t>
  </si>
  <si>
    <t>%</t>
  </si>
  <si>
    <t>Proving Ring Constant</t>
  </si>
  <si>
    <t>kg/div</t>
  </si>
  <si>
    <r>
      <t>kg/cm</t>
    </r>
    <r>
      <rPr>
        <vertAlign val="superscript"/>
        <sz val="11"/>
        <color theme="1"/>
        <rFont val="Calibri"/>
        <family val="2"/>
        <scheme val="minor"/>
      </rPr>
      <t>2</t>
    </r>
  </si>
  <si>
    <r>
      <t>C</t>
    </r>
    <r>
      <rPr>
        <vertAlign val="subscript"/>
        <sz val="11"/>
        <color theme="1"/>
        <rFont val="Calibri"/>
        <family val="2"/>
        <scheme val="minor"/>
      </rPr>
      <t>u</t>
    </r>
    <r>
      <rPr>
        <sz val="11"/>
        <color theme="1"/>
        <rFont val="Calibri"/>
        <family val="2"/>
        <scheme val="minor"/>
      </rPr>
      <t>=</t>
    </r>
  </si>
  <si>
    <t>Length of specimen</t>
  </si>
  <si>
    <t>Width of specimen</t>
  </si>
  <si>
    <t>Thickness of specimen</t>
  </si>
  <si>
    <t>Unit weight of remoulded sample</t>
  </si>
  <si>
    <t>Proving ring constant</t>
  </si>
  <si>
    <t>Rate of strain</t>
  </si>
  <si>
    <t>List Count of Dial gauge</t>
  </si>
  <si>
    <t>Weight of sample</t>
  </si>
  <si>
    <t>% water added</t>
  </si>
  <si>
    <t>Volume of Water</t>
  </si>
  <si>
    <t>Dialgauge reading</t>
  </si>
  <si>
    <t>Proving Ring Readings</t>
  </si>
  <si>
    <t>Stress,kg/cm2</t>
  </si>
  <si>
    <t>ml</t>
  </si>
  <si>
    <t>Total</t>
  </si>
  <si>
    <t>Sr No.</t>
  </si>
  <si>
    <t>Description</t>
  </si>
  <si>
    <t>D60</t>
  </si>
  <si>
    <t>D30</t>
  </si>
  <si>
    <t>D10</t>
  </si>
  <si>
    <t>Cu</t>
  </si>
  <si>
    <t>B</t>
  </si>
  <si>
    <t>total</t>
  </si>
  <si>
    <t>bodeli</t>
  </si>
  <si>
    <t>add. Coarse</t>
  </si>
  <si>
    <t>add. Fine</t>
  </si>
  <si>
    <t>Receiver</t>
  </si>
  <si>
    <t>Sieve Dia. (mm)</t>
  </si>
  <si>
    <t>Retained on each Sieve (gm)</t>
  </si>
  <si>
    <t>Weight of pycnometer (W1 gm)</t>
  </si>
  <si>
    <t>Weight of pycnometer + dry sand (W2 gm)</t>
  </si>
  <si>
    <t>Weight of pycnometer + water (W4 gm)</t>
  </si>
  <si>
    <t>Specific gravity G</t>
  </si>
  <si>
    <t xml:space="preserve">Weight of pycnometer + sand + water  (W3 gm) </t>
  </si>
  <si>
    <t>DIRECT SHEAR TEST</t>
  </si>
  <si>
    <t>Mould size</t>
  </si>
  <si>
    <t>Unit Weight of sample
remoulded sample, ϒ</t>
  </si>
  <si>
    <t>g/cc</t>
  </si>
  <si>
    <t>Proving Ring 
Constant</t>
  </si>
  <si>
    <t>Rate of Strain</t>
  </si>
  <si>
    <t>mm/min</t>
  </si>
  <si>
    <t>L.C of Dial 
Guage</t>
  </si>
  <si>
    <t>Volume of mould</t>
  </si>
  <si>
    <r>
      <t>cm</t>
    </r>
    <r>
      <rPr>
        <vertAlign val="superscript"/>
        <sz val="12"/>
        <color theme="1"/>
        <rFont val="Times New Roman"/>
        <family val="1"/>
      </rPr>
      <t>3</t>
    </r>
  </si>
  <si>
    <t>Mass of soil sample required</t>
  </si>
  <si>
    <t>gm</t>
  </si>
  <si>
    <t>DIAL GAUGE READING</t>
  </si>
  <si>
    <t>DISPLACEMENT (mm)</t>
  </si>
  <si>
    <t>CHANGE IN LENGTH (mm)</t>
  </si>
  <si>
    <r>
      <t>AREA (mm</t>
    </r>
    <r>
      <rPr>
        <b/>
        <vertAlign val="super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>)</t>
    </r>
  </si>
  <si>
    <t>0.65 kg/cm2</t>
  </si>
  <si>
    <t>1.15 kg/cm2</t>
  </si>
  <si>
    <t>1.65kg/cm2</t>
  </si>
  <si>
    <t>PROVING RING READING</t>
  </si>
  <si>
    <t>SHEAR LOAD</t>
  </si>
  <si>
    <t>SHEAR STRESS (kg/cm2)</t>
  </si>
  <si>
    <t>τ =</t>
  </si>
  <si>
    <t>σ</t>
  </si>
  <si>
    <t>τ</t>
  </si>
  <si>
    <t>slope</t>
  </si>
  <si>
    <t>phi</t>
  </si>
  <si>
    <t>Length of specimen, L</t>
  </si>
  <si>
    <t>Width of specimen, B</t>
  </si>
  <si>
    <t>0.5 kg/cm2</t>
  </si>
  <si>
    <t>1.0 kg/cm2</t>
  </si>
  <si>
    <t>1.5kg/cm2</t>
  </si>
  <si>
    <t>DISPLACEMENT (cm)</t>
  </si>
  <si>
    <t>CHANGE IN LENGTH (cm)</t>
  </si>
  <si>
    <r>
      <t>AREA (cm</t>
    </r>
    <r>
      <rPr>
        <b/>
        <vertAlign val="super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>)</t>
    </r>
  </si>
  <si>
    <r>
      <t>AREA (cm</t>
    </r>
    <r>
      <rPr>
        <b/>
        <vertAlign val="superscript"/>
        <sz val="12"/>
        <color rgb="FF000000"/>
        <rFont val="Calibri"/>
        <family val="2"/>
        <scheme val="minor"/>
      </rPr>
      <t>2</t>
    </r>
    <r>
      <rPr>
        <b/>
        <sz val="12"/>
        <color rgb="FF000000"/>
        <rFont val="Calibri"/>
        <family val="2"/>
        <scheme val="minor"/>
      </rPr>
      <t>)</t>
    </r>
  </si>
  <si>
    <t>-</t>
  </si>
  <si>
    <t>AT OMC</t>
  </si>
  <si>
    <t>AT OMC+3%</t>
  </si>
  <si>
    <t>kN/m2</t>
  </si>
  <si>
    <t>AT OMC-3%</t>
  </si>
  <si>
    <t>proving ring constant</t>
  </si>
  <si>
    <t>load at 2.5 mm</t>
  </si>
  <si>
    <t>load at  5mm</t>
  </si>
  <si>
    <t>Dial Guige (mm)</t>
  </si>
  <si>
    <t>Load(kg)</t>
  </si>
  <si>
    <t>P.R.R. AT OMC</t>
  </si>
  <si>
    <t>P.R.R. AT OMC-3%</t>
  </si>
  <si>
    <t>P.R.R. AT OMC+3%</t>
  </si>
  <si>
    <t>Unsoaked Condition (50%SAND+50%FINES)</t>
  </si>
  <si>
    <t>%CBR</t>
  </si>
  <si>
    <t>2.5mm</t>
  </si>
  <si>
    <t>5.0mm</t>
  </si>
  <si>
    <t>Unsoaked Condition (65%SAND+35%FINES)</t>
  </si>
  <si>
    <t>Kg</t>
  </si>
  <si>
    <t>SR. NO.</t>
  </si>
  <si>
    <t>m</t>
  </si>
  <si>
    <t>Ku</t>
  </si>
  <si>
    <t>Height, H</t>
  </si>
  <si>
    <t>Frictional 
Angle, Φ
(deg)</t>
  </si>
  <si>
    <t>Dry Density,
 Ƴ kN/m3</t>
  </si>
  <si>
    <t>Breakout 
Factor, Nq</t>
  </si>
  <si>
    <t>Uplift Load,
 Qu (kN)</t>
  </si>
  <si>
    <t>Type of Anchor
S/D</t>
  </si>
  <si>
    <t>S</t>
  </si>
  <si>
    <t>Embedment Depth, H
(m)</t>
  </si>
  <si>
    <t>Plate Width, B
(m)</t>
  </si>
  <si>
    <t>Plate Length, L
(m)</t>
  </si>
  <si>
    <t>Relative 
Density
% Dr</t>
  </si>
  <si>
    <t xml:space="preserve">Relative Density Test </t>
  </si>
  <si>
    <t xml:space="preserve">Mould Dimension </t>
  </si>
  <si>
    <t xml:space="preserve">Initial Sample State </t>
  </si>
  <si>
    <t>MINIMUM DENSITY, Ƴmin</t>
  </si>
  <si>
    <t>Final Sample State</t>
  </si>
  <si>
    <t>cm3</t>
  </si>
  <si>
    <t>gm/cm3</t>
  </si>
  <si>
    <t>Final Height, H2</t>
  </si>
  <si>
    <t>Initial Height, H1</t>
  </si>
  <si>
    <t>Diameter, D</t>
  </si>
  <si>
    <t>Empty Mould weight, W1</t>
  </si>
  <si>
    <t>(Mould + Sample) weight, W2</t>
  </si>
  <si>
    <t>Weights of sample, W3</t>
  </si>
  <si>
    <t>Volume of Sample, V1</t>
  </si>
  <si>
    <t>(Mould + Sample) weight, W4</t>
  </si>
  <si>
    <t>Weights of sample, W5</t>
  </si>
  <si>
    <t>Change in Height, h</t>
  </si>
  <si>
    <t>Volume of Sample, V2</t>
  </si>
  <si>
    <t>Embedment 
Ratio, (H/B)</t>
  </si>
  <si>
    <t xml:space="preserve">MAXIMUM DENSITY, Ƴmax </t>
  </si>
  <si>
    <t>weight of sand</t>
  </si>
  <si>
    <t>for 5cm layer</t>
  </si>
  <si>
    <t>for 10cm layer</t>
  </si>
  <si>
    <t>for 15cm layer</t>
  </si>
  <si>
    <t>Proving Ring Unit</t>
  </si>
  <si>
    <t>Kg/div</t>
  </si>
  <si>
    <t>L.c. of Dial Gauge</t>
  </si>
  <si>
    <t>Qu</t>
  </si>
  <si>
    <t>UPLIFT LOAD
(Kg)</t>
  </si>
  <si>
    <t>δ</t>
  </si>
  <si>
    <t>60% Rd</t>
  </si>
  <si>
    <t>35% Rd</t>
  </si>
  <si>
    <t>80% Rd</t>
  </si>
  <si>
    <t>PLATE SIZE</t>
  </si>
  <si>
    <t>RELATIVE DENSITY</t>
  </si>
  <si>
    <t>EMBEDMENT DEPTH</t>
  </si>
  <si>
    <t xml:space="preserve">0.3 * 0.3 </t>
  </si>
  <si>
    <t>m2</t>
  </si>
  <si>
    <t>%Rd</t>
  </si>
  <si>
    <t>Φ</t>
  </si>
  <si>
    <t>Φ (°)</t>
  </si>
  <si>
    <t>Ƴ (kN/m3)</t>
  </si>
  <si>
    <t>STANDARD PROCTOR TEST</t>
  </si>
  <si>
    <t>Height of mould, H (cm)</t>
  </si>
  <si>
    <t>Diameter of Mould, D (cm)</t>
  </si>
  <si>
    <t>Mass of mould, W1  (g)</t>
  </si>
  <si>
    <t>Mass of mould + Compacted Soil, W2 (g)</t>
  </si>
  <si>
    <t>Mass of compacted soil, W3 (g)</t>
  </si>
  <si>
    <t>Volume of mould, V (cc)</t>
  </si>
  <si>
    <r>
      <t xml:space="preserve">Bulk density, </t>
    </r>
    <r>
      <rPr>
        <sz val="11"/>
        <color theme="1"/>
        <rFont val="Calibri"/>
        <family val="2"/>
      </rPr>
      <t>Ƴb</t>
    </r>
    <r>
      <rPr>
        <sz val="11"/>
        <color theme="1"/>
        <rFont val="Calibri"/>
        <family val="2"/>
        <scheme val="minor"/>
      </rPr>
      <t xml:space="preserve"> (g/cc)</t>
    </r>
  </si>
  <si>
    <t>Mass of Empty container, W4 (gm)</t>
  </si>
  <si>
    <t>Mass of Empty container + Wet Soil, W5 (gm)</t>
  </si>
  <si>
    <t>Mass of Empty container + Dry Soil, W6 (gm)</t>
  </si>
  <si>
    <t xml:space="preserve">Water Content, %W </t>
  </si>
  <si>
    <t>Mass of Water, W7 (gm)</t>
  </si>
  <si>
    <t>Mass of Dry Soil, W8 (gm)</t>
  </si>
  <si>
    <r>
      <t xml:space="preserve">Dry density, </t>
    </r>
    <r>
      <rPr>
        <sz val="11"/>
        <color rgb="FFFF0000"/>
        <rFont val="Calibri"/>
        <family val="2"/>
      </rPr>
      <t>Ƴd</t>
    </r>
    <r>
      <rPr>
        <sz val="11"/>
        <color rgb="FFFF0000"/>
        <rFont val="Calibri"/>
        <family val="2"/>
        <scheme val="minor"/>
      </rPr>
      <t xml:space="preserve"> (g/cc)</t>
    </r>
  </si>
  <si>
    <t xml:space="preserve">SPECIFIC GRAVITY TEST </t>
  </si>
  <si>
    <t xml:space="preserve">SIEVE ANALYSIS </t>
  </si>
  <si>
    <t>PULLOUT TEST (A)</t>
  </si>
  <si>
    <t>PULLOUT TEST (E)</t>
  </si>
  <si>
    <t>RELATIVE DENSITY TEST</t>
  </si>
  <si>
    <t>0.3 m</t>
  </si>
  <si>
    <t>0.5 m</t>
  </si>
  <si>
    <t>0.8 m</t>
  </si>
  <si>
    <t>Yd(60%) =</t>
  </si>
  <si>
    <t>Analytical
Result
(KN)</t>
  </si>
  <si>
    <t>Experimental
Result
(KN)</t>
  </si>
  <si>
    <t>Differnce
(%)</t>
  </si>
  <si>
    <t xml:space="preserve">0.15 * 0.15 </t>
  </si>
  <si>
    <t>1.15kg/cm2</t>
  </si>
  <si>
    <t>Plate Size 
(m2)</t>
  </si>
  <si>
    <t>SR NO.</t>
  </si>
  <si>
    <t>Nq</t>
  </si>
  <si>
    <t>H/B</t>
  </si>
  <si>
    <t>ANALYTICAL</t>
  </si>
  <si>
    <t>EXPERIMENTAL</t>
  </si>
  <si>
    <t>L</t>
  </si>
  <si>
    <t>Embedment
 Depth, H
(m)</t>
  </si>
  <si>
    <t>Embedment Ratio, H/B</t>
  </si>
  <si>
    <t>PLATE SIZE= 0.15cm*0.15cm</t>
  </si>
  <si>
    <t>PLATE SIZE= 0.30cm*0.30cm</t>
  </si>
  <si>
    <t>Relative 
Density
% Rd</t>
  </si>
  <si>
    <t>DEPTH</t>
  </si>
  <si>
    <t>UPLIFT LOAD-EMBEDMENT RATIO FOR ANALYTICAL &amp; EXPERIMENTAL RESULTS</t>
  </si>
  <si>
    <t>LOAD-DISPLACEMENT FOR DIFFERENT %Rd</t>
  </si>
  <si>
    <t>LOAD-DISPLACEMENT FOR DIFFERENT SIZE OF PLATE</t>
  </si>
  <si>
    <t>LOAD-DISPLACEMENT FOR DIFFERENT EMBEDMENT RATIO</t>
  </si>
  <si>
    <t>0.15*0.15</t>
  </si>
  <si>
    <t>0.30*0.30</t>
  </si>
  <si>
    <t>Strain</t>
  </si>
  <si>
    <t>ANCHOR
WIDTH, B</t>
  </si>
  <si>
    <t>EMBEDMENT
DEPTH, H</t>
  </si>
  <si>
    <t>Ƴ
kN/m3</t>
  </si>
  <si>
    <r>
      <t xml:space="preserve">Corresponding
Displacement, </t>
    </r>
    <r>
      <rPr>
        <sz val="11"/>
        <color theme="1"/>
        <rFont val="Calibri"/>
        <family val="2"/>
      </rPr>
      <t>δ</t>
    </r>
  </si>
  <si>
    <t>strain</t>
  </si>
  <si>
    <t>Peak Load
Qu, kN</t>
  </si>
  <si>
    <r>
      <t xml:space="preserve">UPLIFT LOAD-EMBEDMENT RATIO FOR DIFF PHI(in </t>
    </r>
    <r>
      <rPr>
        <b/>
        <sz val="16"/>
        <color theme="1"/>
        <rFont val="Arial"/>
        <family val="2"/>
      </rPr>
      <t>°) VALUE</t>
    </r>
  </si>
  <si>
    <t>DEPTH
H, m</t>
  </si>
  <si>
    <t>LENGTH
L, m</t>
  </si>
  <si>
    <t>WIDTH 
B, m</t>
  </si>
  <si>
    <r>
      <t xml:space="preserve">Φ, </t>
    </r>
    <r>
      <rPr>
        <sz val="11"/>
        <color theme="1"/>
        <rFont val="Arial"/>
        <family val="2"/>
      </rPr>
      <t>°</t>
    </r>
  </si>
  <si>
    <t>Ƴ, kN/m3</t>
  </si>
  <si>
    <t>CORRESPONDING 
DISPLACEMENT, cm</t>
  </si>
  <si>
    <t xml:space="preserve"> </t>
  </si>
  <si>
    <t>UPLIFT LOAD
(kg)</t>
  </si>
  <si>
    <t>COMPARISON OF ANALYTICAL-EXPERIMENTAL RESULTS</t>
  </si>
  <si>
    <r>
      <t xml:space="preserve">BREAKOUT FACTOR-EMBEDMENT RATIO FOR DIFF PHI(in </t>
    </r>
    <r>
      <rPr>
        <b/>
        <sz val="16"/>
        <color theme="1"/>
        <rFont val="Arial"/>
        <family val="2"/>
      </rPr>
      <t>°) VALUE</t>
    </r>
  </si>
  <si>
    <t>Qu, kN</t>
  </si>
  <si>
    <t>Proposed failure angle from peak uplift load</t>
  </si>
  <si>
    <t>B2</t>
  </si>
  <si>
    <t>B1</t>
  </si>
  <si>
    <t>Width, B</t>
  </si>
  <si>
    <t>Embedment 
Depth,H (m)</t>
  </si>
  <si>
    <r>
      <rPr>
        <sz val="11"/>
        <color theme="1"/>
        <rFont val="Calibri"/>
        <family val="2"/>
        <scheme val="minor"/>
      </rPr>
      <t>Dry 
unit weight,</t>
    </r>
    <r>
      <rPr>
        <sz val="11"/>
        <color theme="1"/>
        <rFont val="Yu Mincho Demibold"/>
        <family val="1"/>
      </rPr>
      <t xml:space="preserve">
γ (</t>
    </r>
    <r>
      <rPr>
        <sz val="11"/>
        <color theme="1"/>
        <rFont val="Calibri"/>
        <family val="2"/>
        <scheme val="minor"/>
      </rPr>
      <t>kN/m3)</t>
    </r>
  </si>
  <si>
    <r>
      <t>θ(</t>
    </r>
    <r>
      <rPr>
        <sz val="11"/>
        <color theme="1"/>
        <rFont val="Calibri"/>
        <family val="2"/>
      </rPr>
      <t>°</t>
    </r>
    <r>
      <rPr>
        <sz val="11"/>
        <color theme="1"/>
        <rFont val="Yu Mincho Demibold"/>
        <family val="1"/>
        <charset val="128"/>
      </rPr>
      <t>)</t>
    </r>
  </si>
  <si>
    <t>Volume
(m3)</t>
  </si>
  <si>
    <t>Dead
 Weight (kN)</t>
  </si>
  <si>
    <t>θavg</t>
  </si>
  <si>
    <t>Φ, °</t>
  </si>
  <si>
    <t>15cm</t>
  </si>
  <si>
    <t>30cm</t>
  </si>
  <si>
    <t>avg</t>
  </si>
  <si>
    <t>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</si>
</sst>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0000"/>
    <numFmt numFmtId="165" formatCode="0.0000"/>
    <numFmt numFmtId="166" formatCode="0.000"/>
    <numFmt numFmtId="167" formatCode="0.0"/>
  </numFmts>
  <fonts count="4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vertAlign val="superscript"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0"/>
      <color indexed="14"/>
      <name val="Arial"/>
      <family val="2"/>
    </font>
    <font>
      <sz val="10"/>
      <color indexed="12"/>
      <name val="Arial"/>
      <family val="2"/>
    </font>
    <font>
      <b/>
      <sz val="10"/>
      <color indexed="10"/>
      <name val="Arial"/>
      <family val="2"/>
    </font>
    <font>
      <sz val="10"/>
      <name val="Symbol"/>
      <family val="1"/>
      <charset val="2"/>
    </font>
    <font>
      <sz val="10"/>
      <name val="Arial"/>
      <family val="2"/>
    </font>
    <font>
      <sz val="10"/>
      <color indexed="10"/>
      <name val="Arial"/>
      <family val="2"/>
    </font>
    <font>
      <sz val="10"/>
      <color indexed="14"/>
      <name val="Arial"/>
      <family val="2"/>
    </font>
    <font>
      <b/>
      <sz val="10"/>
      <name val="Arial"/>
      <family val="2"/>
    </font>
    <font>
      <vertAlign val="subscript"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rgb="FFFF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1"/>
      <color theme="9" tint="-0.249977111117893"/>
      <name val="Calibri"/>
      <family val="2"/>
      <scheme val="minor"/>
    </font>
    <font>
      <vertAlign val="superscript"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Calibri"/>
      <family val="2"/>
    </font>
    <font>
      <b/>
      <sz val="14"/>
      <color theme="1"/>
      <name val="Calibri"/>
      <family val="2"/>
    </font>
    <font>
      <b/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vertAlign val="superscript"/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6"/>
      <color theme="4" tint="-0.499984740745262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1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6"/>
      <color theme="4" tint="-0.249977111117893"/>
      <name val="Calibri"/>
      <family val="2"/>
      <scheme val="minor"/>
    </font>
    <font>
      <sz val="16"/>
      <color theme="4" tint="-0.249977111117893"/>
      <name val="Calibri"/>
      <family val="2"/>
      <scheme val="minor"/>
    </font>
    <font>
      <sz val="11"/>
      <color rgb="FFFF0000"/>
      <name val="Calibri"/>
      <family val="2"/>
    </font>
    <font>
      <b/>
      <sz val="11"/>
      <color rgb="FFFF0000"/>
      <name val="Calibri"/>
      <family val="2"/>
      <scheme val="minor"/>
    </font>
    <font>
      <sz val="16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Arial"/>
      <family val="2"/>
    </font>
    <font>
      <sz val="14"/>
      <color theme="1"/>
      <name val="Calibri"/>
      <family val="2"/>
      <scheme val="minor"/>
    </font>
    <font>
      <sz val="11"/>
      <color theme="1"/>
      <name val="Yu Mincho Demibold"/>
      <family val="1"/>
      <charset val="128"/>
    </font>
    <font>
      <sz val="11"/>
      <color theme="1"/>
      <name val="Yu Mincho Demibold"/>
      <family val="1"/>
    </font>
  </fonts>
  <fills count="3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BFF3C4"/>
        <bgColor indexed="64"/>
      </patternFill>
    </fill>
    <fill>
      <patternFill patternType="solid">
        <fgColor rgb="FFC2CFE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D7E296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D89D7"/>
        <bgColor indexed="64"/>
      </patternFill>
    </fill>
    <fill>
      <patternFill patternType="solid">
        <fgColor theme="9" tint="0.79998168889431442"/>
        <bgColor indexed="64"/>
      </patternFill>
    </fill>
  </fills>
  <borders count="9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/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79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Border="1"/>
    <xf numFmtId="0" fontId="0" fillId="3" borderId="1" xfId="0" applyFill="1" applyBorder="1" applyAlignment="1">
      <alignment horizontal="center"/>
    </xf>
    <xf numFmtId="2" fontId="0" fillId="0" borderId="0" xfId="0" applyNumberFormat="1"/>
    <xf numFmtId="0" fontId="0" fillId="0" borderId="0" xfId="0" applyAlignment="1">
      <alignment horizontal="left" vertical="center" wrapText="1"/>
    </xf>
    <xf numFmtId="0" fontId="0" fillId="0" borderId="0" xfId="0" applyAlignment="1"/>
    <xf numFmtId="0" fontId="0" fillId="3" borderId="0" xfId="0" applyFill="1" applyAlignment="1"/>
    <xf numFmtId="2" fontId="0" fillId="3" borderId="0" xfId="0" applyNumberFormat="1" applyFill="1"/>
    <xf numFmtId="2" fontId="0" fillId="4" borderId="0" xfId="0" applyNumberFormat="1" applyFill="1"/>
    <xf numFmtId="1" fontId="0" fillId="4" borderId="0" xfId="0" applyNumberFormat="1" applyFill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2" fontId="0" fillId="6" borderId="0" xfId="0" applyNumberFormat="1" applyFill="1" applyAlignment="1">
      <alignment horizontal="left"/>
    </xf>
    <xf numFmtId="0" fontId="3" fillId="0" borderId="0" xfId="0" applyFont="1" applyAlignment="1">
      <alignment horizontal="left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/>
    <xf numFmtId="0" fontId="0" fillId="0" borderId="17" xfId="0" applyBorder="1"/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4" xfId="0" applyBorder="1"/>
    <xf numFmtId="0" fontId="0" fillId="0" borderId="14" xfId="0" applyBorder="1" applyAlignment="1"/>
    <xf numFmtId="0" fontId="0" fillId="0" borderId="0" xfId="0" applyBorder="1" applyAlignment="1"/>
    <xf numFmtId="0" fontId="0" fillId="0" borderId="16" xfId="0" applyBorder="1" applyAlignment="1"/>
    <xf numFmtId="0" fontId="0" fillId="0" borderId="17" xfId="0" applyBorder="1" applyAlignment="1"/>
    <xf numFmtId="0" fontId="0" fillId="0" borderId="19" xfId="0" applyBorder="1" applyAlignment="1"/>
    <xf numFmtId="0" fontId="0" fillId="0" borderId="20" xfId="0" applyBorder="1" applyAlignment="1"/>
    <xf numFmtId="0" fontId="2" fillId="0" borderId="18" xfId="0" applyFont="1" applyBorder="1" applyAlignment="1">
      <alignment horizontal="center" vertical="center"/>
    </xf>
    <xf numFmtId="2" fontId="0" fillId="6" borderId="18" xfId="0" applyNumberFormat="1" applyFill="1" applyBorder="1" applyAlignment="1">
      <alignment horizontal="center" vertical="center"/>
    </xf>
    <xf numFmtId="2" fontId="0" fillId="7" borderId="18" xfId="0" applyNumberFormat="1" applyFill="1" applyBorder="1" applyAlignment="1">
      <alignment horizontal="center" vertical="center"/>
    </xf>
    <xf numFmtId="2" fontId="0" fillId="7" borderId="15" xfId="0" applyNumberFormat="1" applyFill="1" applyBorder="1" applyAlignment="1">
      <alignment horizontal="center" vertical="center"/>
    </xf>
    <xf numFmtId="0" fontId="0" fillId="0" borderId="21" xfId="0" applyBorder="1" applyAlignment="1"/>
    <xf numFmtId="0" fontId="0" fillId="0" borderId="22" xfId="0" applyBorder="1" applyAlignment="1"/>
    <xf numFmtId="0" fontId="3" fillId="0" borderId="23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" xfId="0" applyBorder="1" applyAlignment="1"/>
    <xf numFmtId="0" fontId="0" fillId="0" borderId="25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5" borderId="2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 wrapText="1"/>
    </xf>
    <xf numFmtId="0" fontId="0" fillId="8" borderId="0" xfId="0" applyFill="1" applyAlignment="1">
      <alignment vertical="center"/>
    </xf>
    <xf numFmtId="0" fontId="6" fillId="9" borderId="1" xfId="0" applyFont="1" applyFill="1" applyBorder="1" applyAlignment="1">
      <alignment horizontal="center" vertical="center"/>
    </xf>
    <xf numFmtId="0" fontId="0" fillId="8" borderId="0" xfId="0" applyFill="1" applyBorder="1" applyAlignment="1">
      <alignment vertical="center" wrapText="1"/>
    </xf>
    <xf numFmtId="2" fontId="6" fillId="9" borderId="1" xfId="0" applyNumberFormat="1" applyFont="1" applyFill="1" applyBorder="1" applyAlignment="1">
      <alignment horizontal="center" vertical="center"/>
    </xf>
    <xf numFmtId="2" fontId="7" fillId="10" borderId="1" xfId="0" applyNumberFormat="1" applyFont="1" applyFill="1" applyBorder="1" applyAlignment="1">
      <alignment horizontal="center" vertical="center"/>
    </xf>
    <xf numFmtId="166" fontId="7" fillId="10" borderId="1" xfId="0" applyNumberFormat="1" applyFont="1" applyFill="1" applyBorder="1" applyAlignment="1">
      <alignment horizontal="center" vertical="center"/>
    </xf>
    <xf numFmtId="0" fontId="0" fillId="8" borderId="0" xfId="0" applyFill="1" applyBorder="1" applyAlignment="1">
      <alignment vertical="center"/>
    </xf>
    <xf numFmtId="0" fontId="7" fillId="8" borderId="1" xfId="0" applyFont="1" applyFill="1" applyBorder="1" applyAlignment="1">
      <alignment horizontal="center" vertical="center"/>
    </xf>
    <xf numFmtId="0" fontId="8" fillId="11" borderId="1" xfId="0" applyFont="1" applyFill="1" applyBorder="1" applyAlignment="1">
      <alignment horizontal="center" vertical="center"/>
    </xf>
    <xf numFmtId="0" fontId="8" fillId="9" borderId="1" xfId="0" applyFont="1" applyFill="1" applyBorder="1" applyAlignment="1">
      <alignment horizontal="center" vertical="center"/>
    </xf>
    <xf numFmtId="2" fontId="7" fillId="8" borderId="1" xfId="0" applyNumberFormat="1" applyFont="1" applyFill="1" applyBorder="1" applyAlignment="1">
      <alignment horizontal="center" vertical="center"/>
    </xf>
    <xf numFmtId="2" fontId="0" fillId="8" borderId="1" xfId="0" applyNumberFormat="1" applyFill="1" applyBorder="1" applyAlignment="1">
      <alignment horizontal="center" vertical="center"/>
    </xf>
    <xf numFmtId="2" fontId="11" fillId="8" borderId="1" xfId="0" applyNumberFormat="1" applyFont="1" applyFill="1" applyBorder="1" applyAlignment="1">
      <alignment horizontal="center" vertical="center"/>
    </xf>
    <xf numFmtId="1" fontId="11" fillId="8" borderId="1" xfId="0" applyNumberFormat="1" applyFont="1" applyFill="1" applyBorder="1" applyAlignment="1">
      <alignment horizontal="center" vertical="center"/>
    </xf>
    <xf numFmtId="1" fontId="7" fillId="8" borderId="1" xfId="0" applyNumberFormat="1" applyFont="1" applyFill="1" applyBorder="1" applyAlignment="1">
      <alignment horizontal="center" vertical="center"/>
    </xf>
    <xf numFmtId="166" fontId="7" fillId="8" borderId="1" xfId="0" applyNumberFormat="1" applyFont="1" applyFill="1" applyBorder="1" applyAlignment="1">
      <alignment horizontal="center" vertical="center"/>
    </xf>
    <xf numFmtId="0" fontId="0" fillId="8" borderId="1" xfId="0" applyFill="1" applyBorder="1" applyAlignment="1">
      <alignment vertical="center"/>
    </xf>
    <xf numFmtId="165" fontId="12" fillId="8" borderId="1" xfId="0" applyNumberFormat="1" applyFont="1" applyFill="1" applyBorder="1" applyAlignment="1">
      <alignment horizontal="center" vertical="center"/>
    </xf>
    <xf numFmtId="0" fontId="11" fillId="8" borderId="1" xfId="0" applyFont="1" applyFill="1" applyBorder="1" applyAlignment="1">
      <alignment horizontal="center" vertical="center"/>
    </xf>
    <xf numFmtId="0" fontId="0" fillId="8" borderId="0" xfId="0" applyFill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8" borderId="4" xfId="0" applyFill="1" applyBorder="1" applyAlignment="1">
      <alignment vertical="center"/>
    </xf>
    <xf numFmtId="0" fontId="0" fillId="8" borderId="29" xfId="0" applyFill="1" applyBorder="1" applyAlignment="1">
      <alignment vertical="center"/>
    </xf>
    <xf numFmtId="0" fontId="13" fillId="8" borderId="25" xfId="0" applyFont="1" applyFill="1" applyBorder="1" applyAlignment="1">
      <alignment vertical="center"/>
    </xf>
    <xf numFmtId="0" fontId="0" fillId="8" borderId="31" xfId="0" applyFill="1" applyBorder="1" applyAlignment="1">
      <alignment vertical="center"/>
    </xf>
    <xf numFmtId="0" fontId="13" fillId="8" borderId="28" xfId="0" applyFont="1" applyFill="1" applyBorder="1" applyAlignment="1">
      <alignment horizontal="center" vertical="center"/>
    </xf>
    <xf numFmtId="0" fontId="13" fillId="8" borderId="0" xfId="0" applyFont="1" applyFill="1" applyBorder="1" applyAlignment="1">
      <alignment horizontal="right" vertical="center"/>
    </xf>
    <xf numFmtId="0" fontId="13" fillId="8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65" fontId="0" fillId="0" borderId="0" xfId="0" applyNumberFormat="1"/>
    <xf numFmtId="0" fontId="0" fillId="0" borderId="0" xfId="0" applyAlignment="1">
      <alignment horizontal="center" vertical="top"/>
    </xf>
    <xf numFmtId="0" fontId="0" fillId="0" borderId="0" xfId="0" applyAlignment="1">
      <alignment horizontal="center" vertical="top" wrapText="1"/>
    </xf>
    <xf numFmtId="0" fontId="0" fillId="12" borderId="1" xfId="0" applyFill="1" applyBorder="1"/>
    <xf numFmtId="166" fontId="0" fillId="4" borderId="1" xfId="0" applyNumberFormat="1" applyFill="1" applyBorder="1"/>
    <xf numFmtId="2" fontId="0" fillId="6" borderId="1" xfId="0" applyNumberFormat="1" applyFill="1" applyBorder="1"/>
    <xf numFmtId="164" fontId="0" fillId="0" borderId="0" xfId="0" applyNumberFormat="1"/>
    <xf numFmtId="166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/>
    </xf>
    <xf numFmtId="0" fontId="0" fillId="0" borderId="0" xfId="0" applyAlignment="1">
      <alignment vertical="top"/>
    </xf>
    <xf numFmtId="2" fontId="0" fillId="0" borderId="0" xfId="0" applyNumberFormat="1" applyAlignment="1">
      <alignment vertical="top"/>
    </xf>
    <xf numFmtId="0" fontId="0" fillId="0" borderId="3" xfId="0" applyBorder="1"/>
    <xf numFmtId="0" fontId="0" fillId="0" borderId="34" xfId="0" applyBorder="1"/>
    <xf numFmtId="0" fontId="0" fillId="0" borderId="35" xfId="0" applyBorder="1"/>
    <xf numFmtId="0" fontId="0" fillId="14" borderId="1" xfId="0" applyFill="1" applyBorder="1" applyAlignment="1">
      <alignment horizontal="center"/>
    </xf>
    <xf numFmtId="0" fontId="17" fillId="0" borderId="5" xfId="0" applyFont="1" applyBorder="1" applyAlignment="1">
      <alignment horizontal="center" vertical="center"/>
    </xf>
    <xf numFmtId="0" fontId="16" fillId="0" borderId="42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6" fillId="0" borderId="44" xfId="0" applyFont="1" applyBorder="1" applyAlignment="1">
      <alignment horizontal="center" vertical="center"/>
    </xf>
    <xf numFmtId="166" fontId="2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3" fillId="0" borderId="46" xfId="0" applyFont="1" applyBorder="1" applyAlignment="1">
      <alignment horizontal="center" vertical="center"/>
    </xf>
    <xf numFmtId="0" fontId="23" fillId="0" borderId="47" xfId="0" applyFont="1" applyBorder="1" applyAlignment="1">
      <alignment horizontal="center" vertical="center"/>
    </xf>
    <xf numFmtId="0" fontId="15" fillId="16" borderId="56" xfId="0" applyFont="1" applyFill="1" applyBorder="1" applyAlignment="1">
      <alignment horizontal="center" vertical="center" wrapText="1"/>
    </xf>
    <xf numFmtId="0" fontId="15" fillId="16" borderId="46" xfId="0" applyFont="1" applyFill="1" applyBorder="1" applyAlignment="1">
      <alignment horizontal="center" vertical="center" wrapText="1"/>
    </xf>
    <xf numFmtId="0" fontId="15" fillId="16" borderId="47" xfId="0" applyFont="1" applyFill="1" applyBorder="1" applyAlignment="1">
      <alignment horizontal="center" vertical="center" wrapText="1"/>
    </xf>
    <xf numFmtId="0" fontId="15" fillId="16" borderId="45" xfId="0" applyFont="1" applyFill="1" applyBorder="1" applyAlignment="1">
      <alignment horizontal="center" vertical="center" wrapText="1"/>
    </xf>
    <xf numFmtId="0" fontId="1" fillId="0" borderId="57" xfId="0" applyFont="1" applyBorder="1" applyAlignment="1">
      <alignment horizontal="center"/>
    </xf>
    <xf numFmtId="0" fontId="0" fillId="0" borderId="50" xfId="0" applyBorder="1" applyAlignment="1">
      <alignment horizontal="center"/>
    </xf>
    <xf numFmtId="0" fontId="0" fillId="0" borderId="58" xfId="0" applyBorder="1" applyAlignment="1">
      <alignment horizontal="center"/>
    </xf>
    <xf numFmtId="0" fontId="0" fillId="0" borderId="59" xfId="0" applyBorder="1" applyAlignment="1">
      <alignment horizontal="center"/>
    </xf>
    <xf numFmtId="2" fontId="0" fillId="0" borderId="58" xfId="0" applyNumberFormat="1" applyBorder="1" applyAlignment="1">
      <alignment horizontal="center"/>
    </xf>
    <xf numFmtId="166" fontId="0" fillId="0" borderId="60" xfId="0" applyNumberForma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166" fontId="0" fillId="0" borderId="42" xfId="0" applyNumberFormat="1" applyBorder="1" applyAlignment="1">
      <alignment horizontal="center"/>
    </xf>
    <xf numFmtId="0" fontId="1" fillId="0" borderId="43" xfId="0" applyFont="1" applyBorder="1" applyAlignment="1">
      <alignment horizontal="center"/>
    </xf>
    <xf numFmtId="0" fontId="0" fillId="0" borderId="28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166" fontId="0" fillId="0" borderId="44" xfId="0" applyNumberFormat="1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46" xfId="0" applyBorder="1" applyAlignment="1">
      <alignment horizontal="center"/>
    </xf>
    <xf numFmtId="0" fontId="0" fillId="0" borderId="56" xfId="0" applyBorder="1" applyAlignment="1">
      <alignment horizontal="center"/>
    </xf>
    <xf numFmtId="2" fontId="0" fillId="0" borderId="46" xfId="0" applyNumberFormat="1" applyBorder="1" applyAlignment="1">
      <alignment horizontal="center"/>
    </xf>
    <xf numFmtId="166" fontId="0" fillId="0" borderId="47" xfId="0" applyNumberFormat="1" applyBorder="1" applyAlignment="1">
      <alignment horizontal="center"/>
    </xf>
    <xf numFmtId="0" fontId="0" fillId="0" borderId="45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24" fillId="0" borderId="61" xfId="0" applyFont="1" applyBorder="1" applyAlignment="1">
      <alignment horizontal="right"/>
    </xf>
    <xf numFmtId="166" fontId="0" fillId="18" borderId="61" xfId="0" applyNumberFormat="1" applyFill="1" applyBorder="1" applyAlignment="1">
      <alignment horizontal="center"/>
    </xf>
    <xf numFmtId="166" fontId="0" fillId="18" borderId="55" xfId="0" applyNumberFormat="1" applyFill="1" applyBorder="1" applyAlignment="1">
      <alignment horizontal="center"/>
    </xf>
    <xf numFmtId="0" fontId="25" fillId="16" borderId="57" xfId="0" applyFont="1" applyFill="1" applyBorder="1" applyAlignment="1">
      <alignment horizontal="center"/>
    </xf>
    <xf numFmtId="0" fontId="25" fillId="16" borderId="60" xfId="0" applyFont="1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15" fillId="13" borderId="56" xfId="0" applyFont="1" applyFill="1" applyBorder="1" applyAlignment="1">
      <alignment horizontal="center" vertical="center" wrapText="1"/>
    </xf>
    <xf numFmtId="0" fontId="15" fillId="13" borderId="46" xfId="0" applyFont="1" applyFill="1" applyBorder="1" applyAlignment="1">
      <alignment horizontal="center" vertical="center" wrapText="1"/>
    </xf>
    <xf numFmtId="0" fontId="15" fillId="13" borderId="47" xfId="0" applyFont="1" applyFill="1" applyBorder="1" applyAlignment="1">
      <alignment horizontal="center" vertical="center" wrapText="1"/>
    </xf>
    <xf numFmtId="0" fontId="15" fillId="13" borderId="45" xfId="0" applyFont="1" applyFill="1" applyBorder="1" applyAlignment="1">
      <alignment horizontal="center" vertical="center" wrapText="1"/>
    </xf>
    <xf numFmtId="0" fontId="1" fillId="14" borderId="57" xfId="0" applyFont="1" applyFill="1" applyBorder="1" applyAlignment="1">
      <alignment horizontal="center"/>
    </xf>
    <xf numFmtId="0" fontId="0" fillId="14" borderId="50" xfId="0" applyFill="1" applyBorder="1" applyAlignment="1">
      <alignment horizontal="center"/>
    </xf>
    <xf numFmtId="0" fontId="0" fillId="14" borderId="58" xfId="0" applyFill="1" applyBorder="1" applyAlignment="1">
      <alignment horizontal="center"/>
    </xf>
    <xf numFmtId="0" fontId="0" fillId="14" borderId="59" xfId="0" applyFill="1" applyBorder="1" applyAlignment="1">
      <alignment horizontal="center"/>
    </xf>
    <xf numFmtId="2" fontId="0" fillId="14" borderId="58" xfId="0" applyNumberFormat="1" applyFill="1" applyBorder="1" applyAlignment="1">
      <alignment horizontal="center"/>
    </xf>
    <xf numFmtId="166" fontId="0" fillId="14" borderId="60" xfId="0" applyNumberFormat="1" applyFill="1" applyBorder="1" applyAlignment="1">
      <alignment horizontal="center"/>
    </xf>
    <xf numFmtId="0" fontId="0" fillId="14" borderId="41" xfId="0" applyFill="1" applyBorder="1" applyAlignment="1">
      <alignment horizontal="center"/>
    </xf>
    <xf numFmtId="2" fontId="0" fillId="14" borderId="5" xfId="0" applyNumberFormat="1" applyFill="1" applyBorder="1" applyAlignment="1">
      <alignment horizontal="center"/>
    </xf>
    <xf numFmtId="166" fontId="0" fillId="14" borderId="42" xfId="0" applyNumberFormat="1" applyFill="1" applyBorder="1" applyAlignment="1">
      <alignment horizontal="center"/>
    </xf>
    <xf numFmtId="0" fontId="0" fillId="14" borderId="30" xfId="0" applyFill="1" applyBorder="1" applyAlignment="1">
      <alignment horizontal="center"/>
    </xf>
    <xf numFmtId="0" fontId="1" fillId="14" borderId="43" xfId="0" applyFont="1" applyFill="1" applyBorder="1" applyAlignment="1">
      <alignment horizontal="center"/>
    </xf>
    <xf numFmtId="0" fontId="0" fillId="14" borderId="25" xfId="0" applyFill="1" applyBorder="1" applyAlignment="1">
      <alignment horizontal="center"/>
    </xf>
    <xf numFmtId="0" fontId="0" fillId="14" borderId="28" xfId="0" applyFill="1" applyBorder="1" applyAlignment="1">
      <alignment horizontal="center"/>
    </xf>
    <xf numFmtId="2" fontId="0" fillId="14" borderId="1" xfId="0" applyNumberFormat="1" applyFill="1" applyBorder="1" applyAlignment="1">
      <alignment horizontal="center"/>
    </xf>
    <xf numFmtId="166" fontId="0" fillId="14" borderId="44" xfId="0" applyNumberFormat="1" applyFill="1" applyBorder="1" applyAlignment="1">
      <alignment horizontal="center"/>
    </xf>
    <xf numFmtId="0" fontId="0" fillId="14" borderId="43" xfId="0" applyFill="1" applyBorder="1" applyAlignment="1">
      <alignment horizontal="center"/>
    </xf>
    <xf numFmtId="0" fontId="1" fillId="14" borderId="45" xfId="0" applyFont="1" applyFill="1" applyBorder="1" applyAlignment="1">
      <alignment horizontal="center"/>
    </xf>
    <xf numFmtId="0" fontId="0" fillId="14" borderId="56" xfId="0" applyFill="1" applyBorder="1" applyAlignment="1">
      <alignment horizontal="center"/>
    </xf>
    <xf numFmtId="2" fontId="0" fillId="14" borderId="46" xfId="0" applyNumberFormat="1" applyFill="1" applyBorder="1" applyAlignment="1">
      <alignment horizontal="center"/>
    </xf>
    <xf numFmtId="166" fontId="0" fillId="14" borderId="47" xfId="0" applyNumberFormat="1" applyFill="1" applyBorder="1" applyAlignment="1">
      <alignment horizontal="center"/>
    </xf>
    <xf numFmtId="0" fontId="0" fillId="14" borderId="45" xfId="0" applyFill="1" applyBorder="1" applyAlignment="1">
      <alignment horizontal="center"/>
    </xf>
    <xf numFmtId="166" fontId="0" fillId="19" borderId="61" xfId="0" applyNumberFormat="1" applyFill="1" applyBorder="1" applyAlignment="1">
      <alignment horizontal="center"/>
    </xf>
    <xf numFmtId="166" fontId="0" fillId="19" borderId="55" xfId="0" applyNumberFormat="1" applyFill="1" applyBorder="1" applyAlignment="1">
      <alignment horizontal="center"/>
    </xf>
    <xf numFmtId="0" fontId="25" fillId="13" borderId="57" xfId="0" applyFont="1" applyFill="1" applyBorder="1" applyAlignment="1">
      <alignment horizontal="center"/>
    </xf>
    <xf numFmtId="0" fontId="25" fillId="13" borderId="60" xfId="0" applyFont="1" applyFill="1" applyBorder="1" applyAlignment="1">
      <alignment horizontal="center"/>
    </xf>
    <xf numFmtId="0" fontId="1" fillId="14" borderId="64" xfId="0" applyFont="1" applyFill="1" applyBorder="1" applyAlignment="1">
      <alignment horizontal="center"/>
    </xf>
    <xf numFmtId="0" fontId="0" fillId="14" borderId="64" xfId="0" applyFill="1" applyBorder="1" applyAlignment="1">
      <alignment horizontal="center"/>
    </xf>
    <xf numFmtId="2" fontId="0" fillId="14" borderId="65" xfId="0" applyNumberFormat="1" applyFill="1" applyBorder="1" applyAlignment="1">
      <alignment horizontal="center"/>
    </xf>
    <xf numFmtId="166" fontId="0" fillId="14" borderId="66" xfId="0" applyNumberFormat="1" applyFill="1" applyBorder="1" applyAlignment="1">
      <alignment horizontal="center"/>
    </xf>
    <xf numFmtId="0" fontId="0" fillId="14" borderId="5" xfId="0" applyFill="1" applyBorder="1" applyAlignment="1">
      <alignment horizontal="center"/>
    </xf>
    <xf numFmtId="0" fontId="15" fillId="13" borderId="68" xfId="0" applyFont="1" applyFill="1" applyBorder="1" applyAlignment="1">
      <alignment horizontal="center" vertical="center" wrapText="1"/>
    </xf>
    <xf numFmtId="0" fontId="15" fillId="13" borderId="69" xfId="0" applyFont="1" applyFill="1" applyBorder="1" applyAlignment="1">
      <alignment horizontal="center" vertical="center" wrapText="1"/>
    </xf>
    <xf numFmtId="0" fontId="15" fillId="13" borderId="67" xfId="0" applyFont="1" applyFill="1" applyBorder="1" applyAlignment="1">
      <alignment horizontal="center" vertical="center" wrapText="1"/>
    </xf>
    <xf numFmtId="0" fontId="0" fillId="14" borderId="52" xfId="0" applyFill="1" applyBorder="1" applyAlignment="1">
      <alignment horizontal="center"/>
    </xf>
    <xf numFmtId="0" fontId="0" fillId="14" borderId="70" xfId="0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38" xfId="0" applyBorder="1"/>
    <xf numFmtId="0" fontId="0" fillId="0" borderId="40" xfId="0" applyBorder="1"/>
    <xf numFmtId="0" fontId="0" fillId="0" borderId="39" xfId="0" applyBorder="1"/>
    <xf numFmtId="0" fontId="26" fillId="13" borderId="15" xfId="0" applyFont="1" applyFill="1" applyBorder="1" applyAlignment="1">
      <alignment horizontal="center" vertical="center" wrapText="1"/>
    </xf>
    <xf numFmtId="2" fontId="29" fillId="21" borderId="58" xfId="0" applyNumberFormat="1" applyFont="1" applyFill="1" applyBorder="1" applyAlignment="1">
      <alignment horizontal="center" vertical="center"/>
    </xf>
    <xf numFmtId="0" fontId="29" fillId="21" borderId="50" xfId="0" applyFont="1" applyFill="1" applyBorder="1" applyAlignment="1">
      <alignment horizontal="center" vertical="center"/>
    </xf>
    <xf numFmtId="0" fontId="29" fillId="21" borderId="57" xfId="0" applyFont="1" applyFill="1" applyBorder="1" applyAlignment="1">
      <alignment horizontal="center" vertical="center"/>
    </xf>
    <xf numFmtId="0" fontId="29" fillId="21" borderId="58" xfId="0" applyFont="1" applyFill="1" applyBorder="1" applyAlignment="1">
      <alignment horizontal="center" vertical="center"/>
    </xf>
    <xf numFmtId="2" fontId="29" fillId="21" borderId="1" xfId="0" applyNumberFormat="1" applyFont="1" applyFill="1" applyBorder="1" applyAlignment="1">
      <alignment horizontal="center" vertical="center"/>
    </xf>
    <xf numFmtId="0" fontId="29" fillId="21" borderId="25" xfId="0" applyFont="1" applyFill="1" applyBorder="1" applyAlignment="1">
      <alignment horizontal="center" vertical="center"/>
    </xf>
    <xf numFmtId="0" fontId="29" fillId="21" borderId="43" xfId="0" applyFont="1" applyFill="1" applyBorder="1" applyAlignment="1">
      <alignment horizontal="center" vertical="center"/>
    </xf>
    <xf numFmtId="0" fontId="29" fillId="21" borderId="1" xfId="0" applyFont="1" applyFill="1" applyBorder="1" applyAlignment="1">
      <alignment horizontal="center" vertical="center"/>
    </xf>
    <xf numFmtId="2" fontId="0" fillId="14" borderId="50" xfId="0" applyNumberFormat="1" applyFill="1" applyBorder="1" applyAlignment="1">
      <alignment horizontal="center"/>
    </xf>
    <xf numFmtId="2" fontId="0" fillId="14" borderId="25" xfId="0" applyNumberFormat="1" applyFill="1" applyBorder="1" applyAlignment="1">
      <alignment horizontal="center"/>
    </xf>
    <xf numFmtId="0" fontId="27" fillId="21" borderId="57" xfId="0" applyFont="1" applyFill="1" applyBorder="1" applyAlignment="1">
      <alignment horizontal="center" vertical="center"/>
    </xf>
    <xf numFmtId="0" fontId="27" fillId="21" borderId="43" xfId="0" applyFont="1" applyFill="1" applyBorder="1" applyAlignment="1">
      <alignment horizontal="center" vertical="center"/>
    </xf>
    <xf numFmtId="166" fontId="29" fillId="21" borderId="60" xfId="0" applyNumberFormat="1" applyFont="1" applyFill="1" applyBorder="1" applyAlignment="1">
      <alignment horizontal="center" vertical="center"/>
    </xf>
    <xf numFmtId="166" fontId="29" fillId="21" borderId="44" xfId="0" applyNumberFormat="1" applyFont="1" applyFill="1" applyBorder="1" applyAlignment="1">
      <alignment horizontal="center" vertical="center"/>
    </xf>
    <xf numFmtId="166" fontId="29" fillId="21" borderId="50" xfId="0" applyNumberFormat="1" applyFont="1" applyFill="1" applyBorder="1" applyAlignment="1">
      <alignment horizontal="center" vertical="center"/>
    </xf>
    <xf numFmtId="166" fontId="29" fillId="21" borderId="25" xfId="0" applyNumberFormat="1" applyFont="1" applyFill="1" applyBorder="1" applyAlignment="1">
      <alignment horizontal="center" vertical="center"/>
    </xf>
    <xf numFmtId="0" fontId="29" fillId="21" borderId="72" xfId="0" applyFont="1" applyFill="1" applyBorder="1" applyAlignment="1">
      <alignment horizontal="center" vertical="center"/>
    </xf>
    <xf numFmtId="2" fontId="29" fillId="21" borderId="3" xfId="0" applyNumberFormat="1" applyFont="1" applyFill="1" applyBorder="1" applyAlignment="1">
      <alignment horizontal="center" vertical="center"/>
    </xf>
    <xf numFmtId="166" fontId="29" fillId="21" borderId="2" xfId="0" applyNumberFormat="1" applyFont="1" applyFill="1" applyBorder="1" applyAlignment="1">
      <alignment horizontal="center" vertical="center"/>
    </xf>
    <xf numFmtId="0" fontId="27" fillId="21" borderId="72" xfId="0" applyFont="1" applyFill="1" applyBorder="1" applyAlignment="1">
      <alignment horizontal="center" vertical="center"/>
    </xf>
    <xf numFmtId="0" fontId="29" fillId="21" borderId="2" xfId="0" applyFont="1" applyFill="1" applyBorder="1" applyAlignment="1">
      <alignment horizontal="center" vertical="center"/>
    </xf>
    <xf numFmtId="0" fontId="29" fillId="21" borderId="3" xfId="0" applyFont="1" applyFill="1" applyBorder="1" applyAlignment="1">
      <alignment horizontal="center" vertical="center"/>
    </xf>
    <xf numFmtId="166" fontId="29" fillId="21" borderId="73" xfId="0" applyNumberFormat="1" applyFont="1" applyFill="1" applyBorder="1" applyAlignment="1">
      <alignment horizontal="center" vertical="center"/>
    </xf>
    <xf numFmtId="0" fontId="26" fillId="0" borderId="67" xfId="0" applyFont="1" applyBorder="1" applyAlignment="1">
      <alignment horizontal="right" vertical="center"/>
    </xf>
    <xf numFmtId="166" fontId="29" fillId="20" borderId="39" xfId="0" applyNumberFormat="1" applyFont="1" applyFill="1" applyBorder="1" applyAlignment="1">
      <alignment horizontal="center" vertical="center"/>
    </xf>
    <xf numFmtId="0" fontId="29" fillId="0" borderId="40" xfId="0" applyFont="1" applyBorder="1" applyAlignment="1">
      <alignment vertical="center"/>
    </xf>
    <xf numFmtId="0" fontId="0" fillId="0" borderId="44" xfId="0" applyBorder="1" applyAlignment="1">
      <alignment horizontal="center"/>
    </xf>
    <xf numFmtId="2" fontId="0" fillId="0" borderId="1" xfId="0" applyNumberFormat="1" applyBorder="1"/>
    <xf numFmtId="0" fontId="0" fillId="0" borderId="57" xfId="0" applyBorder="1"/>
    <xf numFmtId="165" fontId="0" fillId="0" borderId="58" xfId="0" applyNumberFormat="1" applyBorder="1"/>
    <xf numFmtId="0" fontId="0" fillId="0" borderId="60" xfId="0" applyBorder="1"/>
    <xf numFmtId="0" fontId="0" fillId="0" borderId="43" xfId="0" applyBorder="1"/>
    <xf numFmtId="0" fontId="0" fillId="0" borderId="44" xfId="0" applyBorder="1"/>
    <xf numFmtId="0" fontId="0" fillId="0" borderId="45" xfId="0" applyBorder="1"/>
    <xf numFmtId="0" fontId="0" fillId="0" borderId="46" xfId="0" applyBorder="1"/>
    <xf numFmtId="0" fontId="0" fillId="0" borderId="47" xfId="0" applyBorder="1"/>
    <xf numFmtId="167" fontId="29" fillId="21" borderId="50" xfId="0" applyNumberFormat="1" applyFont="1" applyFill="1" applyBorder="1" applyAlignment="1">
      <alignment horizontal="center" vertical="center"/>
    </xf>
    <xf numFmtId="167" fontId="29" fillId="21" borderId="25" xfId="0" applyNumberFormat="1" applyFont="1" applyFill="1" applyBorder="1" applyAlignment="1">
      <alignment horizontal="center" vertical="center"/>
    </xf>
    <xf numFmtId="0" fontId="0" fillId="19" borderId="0" xfId="0" applyFill="1" applyAlignment="1">
      <alignment vertical="center"/>
    </xf>
    <xf numFmtId="0" fontId="0" fillId="19" borderId="0" xfId="0" applyFill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31" fillId="19" borderId="32" xfId="0" applyFont="1" applyFill="1" applyBorder="1" applyAlignment="1">
      <alignment horizontal="center" vertical="center"/>
    </xf>
    <xf numFmtId="0" fontId="31" fillId="19" borderId="48" xfId="0" applyFont="1" applyFill="1" applyBorder="1" applyAlignment="1">
      <alignment horizontal="center" vertical="center"/>
    </xf>
    <xf numFmtId="0" fontId="31" fillId="19" borderId="49" xfId="0" applyFont="1" applyFill="1" applyBorder="1" applyAlignment="1">
      <alignment horizontal="center" vertical="center"/>
    </xf>
    <xf numFmtId="1" fontId="16" fillId="21" borderId="1" xfId="0" applyNumberFormat="1" applyFont="1" applyFill="1" applyBorder="1" applyAlignment="1">
      <alignment horizontal="center" vertical="center"/>
    </xf>
    <xf numFmtId="0" fontId="16" fillId="24" borderId="57" xfId="0" applyFont="1" applyFill="1" applyBorder="1" applyAlignment="1">
      <alignment horizontal="center" vertical="center"/>
    </xf>
    <xf numFmtId="0" fontId="16" fillId="24" borderId="43" xfId="0" applyFont="1" applyFill="1" applyBorder="1" applyAlignment="1">
      <alignment horizontal="center" vertical="center"/>
    </xf>
    <xf numFmtId="0" fontId="16" fillId="26" borderId="43" xfId="0" applyFont="1" applyFill="1" applyBorder="1" applyAlignment="1">
      <alignment horizontal="center" vertical="center"/>
    </xf>
    <xf numFmtId="0" fontId="16" fillId="24" borderId="45" xfId="0" applyFont="1" applyFill="1" applyBorder="1" applyAlignment="1">
      <alignment horizontal="center" vertical="center"/>
    </xf>
    <xf numFmtId="1" fontId="32" fillId="25" borderId="58" xfId="0" applyNumberFormat="1" applyFont="1" applyFill="1" applyBorder="1" applyAlignment="1">
      <alignment horizontal="center" vertical="center" wrapText="1"/>
    </xf>
    <xf numFmtId="1" fontId="32" fillId="25" borderId="1" xfId="0" applyNumberFormat="1" applyFont="1" applyFill="1" applyBorder="1" applyAlignment="1">
      <alignment horizontal="center" vertical="center" wrapText="1"/>
    </xf>
    <xf numFmtId="1" fontId="33" fillId="26" borderId="1" xfId="0" applyNumberFormat="1" applyFont="1" applyFill="1" applyBorder="1" applyAlignment="1">
      <alignment horizontal="center" vertical="center" wrapText="1"/>
    </xf>
    <xf numFmtId="1" fontId="32" fillId="25" borderId="46" xfId="0" applyNumberFormat="1" applyFont="1" applyFill="1" applyBorder="1" applyAlignment="1">
      <alignment horizontal="center" vertical="center" wrapText="1"/>
    </xf>
    <xf numFmtId="1" fontId="16" fillId="15" borderId="58" xfId="0" applyNumberFormat="1" applyFont="1" applyFill="1" applyBorder="1" applyAlignment="1">
      <alignment horizontal="center"/>
    </xf>
    <xf numFmtId="1" fontId="16" fillId="15" borderId="1" xfId="0" applyNumberFormat="1" applyFont="1" applyFill="1" applyBorder="1" applyAlignment="1">
      <alignment horizontal="center"/>
    </xf>
    <xf numFmtId="1" fontId="31" fillId="26" borderId="1" xfId="0" applyNumberFormat="1" applyFont="1" applyFill="1" applyBorder="1" applyAlignment="1">
      <alignment horizontal="center"/>
    </xf>
    <xf numFmtId="1" fontId="16" fillId="15" borderId="46" xfId="0" applyNumberFormat="1" applyFont="1" applyFill="1" applyBorder="1" applyAlignment="1">
      <alignment horizontal="center"/>
    </xf>
    <xf numFmtId="1" fontId="16" fillId="21" borderId="58" xfId="0" applyNumberFormat="1" applyFont="1" applyFill="1" applyBorder="1" applyAlignment="1">
      <alignment horizontal="center"/>
    </xf>
    <xf numFmtId="1" fontId="16" fillId="21" borderId="1" xfId="0" applyNumberFormat="1" applyFont="1" applyFill="1" applyBorder="1" applyAlignment="1">
      <alignment horizontal="center"/>
    </xf>
    <xf numFmtId="1" fontId="16" fillId="21" borderId="46" xfId="0" applyNumberFormat="1" applyFont="1" applyFill="1" applyBorder="1" applyAlignment="1">
      <alignment horizontal="center"/>
    </xf>
    <xf numFmtId="166" fontId="32" fillId="25" borderId="58" xfId="0" applyNumberFormat="1" applyFont="1" applyFill="1" applyBorder="1" applyAlignment="1">
      <alignment horizontal="center" vertical="center" wrapText="1"/>
    </xf>
    <xf numFmtId="166" fontId="32" fillId="25" borderId="1" xfId="0" applyNumberFormat="1" applyFont="1" applyFill="1" applyBorder="1" applyAlignment="1">
      <alignment horizontal="center" vertical="center" wrapText="1"/>
    </xf>
    <xf numFmtId="166" fontId="33" fillId="26" borderId="1" xfId="0" applyNumberFormat="1" applyFont="1" applyFill="1" applyBorder="1" applyAlignment="1">
      <alignment horizontal="center" vertical="center" wrapText="1"/>
    </xf>
    <xf numFmtId="166" fontId="32" fillId="25" borderId="46" xfId="0" applyNumberFormat="1" applyFont="1" applyFill="1" applyBorder="1" applyAlignment="1">
      <alignment horizontal="center" vertical="center" wrapText="1"/>
    </xf>
    <xf numFmtId="166" fontId="16" fillId="15" borderId="58" xfId="0" applyNumberFormat="1" applyFont="1" applyFill="1" applyBorder="1" applyAlignment="1">
      <alignment horizontal="center" vertical="center"/>
    </xf>
    <xf numFmtId="166" fontId="16" fillId="15" borderId="1" xfId="0" applyNumberFormat="1" applyFont="1" applyFill="1" applyBorder="1" applyAlignment="1">
      <alignment horizontal="center" vertical="center"/>
    </xf>
    <xf numFmtId="166" fontId="31" fillId="26" borderId="1" xfId="0" applyNumberFormat="1" applyFont="1" applyFill="1" applyBorder="1" applyAlignment="1">
      <alignment horizontal="center"/>
    </xf>
    <xf numFmtId="166" fontId="16" fillId="15" borderId="46" xfId="0" applyNumberFormat="1" applyFont="1" applyFill="1" applyBorder="1" applyAlignment="1">
      <alignment horizontal="center" vertical="center"/>
    </xf>
    <xf numFmtId="166" fontId="16" fillId="21" borderId="60" xfId="0" applyNumberFormat="1" applyFont="1" applyFill="1" applyBorder="1" applyAlignment="1">
      <alignment horizontal="center" vertical="center"/>
    </xf>
    <xf numFmtId="166" fontId="16" fillId="21" borderId="44" xfId="0" applyNumberFormat="1" applyFont="1" applyFill="1" applyBorder="1" applyAlignment="1">
      <alignment horizontal="center" vertical="center"/>
    </xf>
    <xf numFmtId="166" fontId="31" fillId="26" borderId="44" xfId="0" applyNumberFormat="1" applyFont="1" applyFill="1" applyBorder="1" applyAlignment="1">
      <alignment horizontal="center"/>
    </xf>
    <xf numFmtId="166" fontId="16" fillId="21" borderId="47" xfId="0" applyNumberFormat="1" applyFont="1" applyFill="1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166" fontId="0" fillId="0" borderId="44" xfId="0" applyNumberFormat="1" applyBorder="1" applyAlignment="1">
      <alignment horizontal="center" vertical="center"/>
    </xf>
    <xf numFmtId="166" fontId="0" fillId="0" borderId="47" xfId="0" applyNumberFormat="1" applyBorder="1" applyAlignment="1">
      <alignment horizontal="center" vertical="center"/>
    </xf>
    <xf numFmtId="166" fontId="0" fillId="27" borderId="42" xfId="0" applyNumberFormat="1" applyFill="1" applyBorder="1" applyAlignment="1">
      <alignment horizontal="center" vertical="center"/>
    </xf>
    <xf numFmtId="166" fontId="0" fillId="27" borderId="47" xfId="0" applyNumberFormat="1" applyFill="1" applyBorder="1" applyAlignment="1">
      <alignment horizontal="center" vertical="center"/>
    </xf>
    <xf numFmtId="166" fontId="32" fillId="26" borderId="1" xfId="0" applyNumberFormat="1" applyFont="1" applyFill="1" applyBorder="1" applyAlignment="1">
      <alignment horizontal="center" vertical="center" wrapText="1"/>
    </xf>
    <xf numFmtId="0" fontId="16" fillId="17" borderId="57" xfId="0" applyFont="1" applyFill="1" applyBorder="1" applyAlignment="1">
      <alignment horizontal="center" vertical="center"/>
    </xf>
    <xf numFmtId="0" fontId="16" fillId="17" borderId="43" xfId="0" applyFont="1" applyFill="1" applyBorder="1" applyAlignment="1">
      <alignment horizontal="center" vertical="center"/>
    </xf>
    <xf numFmtId="0" fontId="16" fillId="17" borderId="45" xfId="0" applyFont="1" applyFill="1" applyBorder="1" applyAlignment="1">
      <alignment horizontal="center" vertical="center"/>
    </xf>
    <xf numFmtId="166" fontId="32" fillId="30" borderId="58" xfId="0" applyNumberFormat="1" applyFont="1" applyFill="1" applyBorder="1" applyAlignment="1">
      <alignment horizontal="center" vertical="center" wrapText="1"/>
    </xf>
    <xf numFmtId="166" fontId="32" fillId="30" borderId="1" xfId="0" applyNumberFormat="1" applyFont="1" applyFill="1" applyBorder="1" applyAlignment="1">
      <alignment horizontal="center" vertical="center" wrapText="1"/>
    </xf>
    <xf numFmtId="166" fontId="32" fillId="30" borderId="46" xfId="0" applyNumberFormat="1" applyFont="1" applyFill="1" applyBorder="1" applyAlignment="1">
      <alignment horizontal="center" vertical="center" wrapText="1"/>
    </xf>
    <xf numFmtId="166" fontId="16" fillId="30" borderId="58" xfId="0" applyNumberFormat="1" applyFont="1" applyFill="1" applyBorder="1" applyAlignment="1">
      <alignment horizontal="center" vertical="center"/>
    </xf>
    <xf numFmtId="166" fontId="16" fillId="30" borderId="1" xfId="0" applyNumberFormat="1" applyFont="1" applyFill="1" applyBorder="1" applyAlignment="1">
      <alignment horizontal="center" vertical="center"/>
    </xf>
    <xf numFmtId="166" fontId="16" fillId="30" borderId="46" xfId="0" applyNumberFormat="1" applyFont="1" applyFill="1" applyBorder="1" applyAlignment="1">
      <alignment horizontal="center" vertical="center"/>
    </xf>
    <xf numFmtId="166" fontId="16" fillId="30" borderId="60" xfId="0" applyNumberFormat="1" applyFont="1" applyFill="1" applyBorder="1" applyAlignment="1">
      <alignment horizontal="center" vertical="center"/>
    </xf>
    <xf numFmtId="166" fontId="16" fillId="30" borderId="44" xfId="0" applyNumberFormat="1" applyFont="1" applyFill="1" applyBorder="1" applyAlignment="1">
      <alignment horizontal="center" vertical="center"/>
    </xf>
    <xf numFmtId="166" fontId="16" fillId="30" borderId="47" xfId="0" applyNumberFormat="1" applyFont="1" applyFill="1" applyBorder="1" applyAlignment="1">
      <alignment horizontal="center" vertical="center"/>
    </xf>
    <xf numFmtId="1" fontId="32" fillId="15" borderId="58" xfId="0" applyNumberFormat="1" applyFont="1" applyFill="1" applyBorder="1" applyAlignment="1">
      <alignment horizontal="center" vertical="center" wrapText="1"/>
    </xf>
    <xf numFmtId="1" fontId="32" fillId="15" borderId="1" xfId="0" applyNumberFormat="1" applyFont="1" applyFill="1" applyBorder="1" applyAlignment="1">
      <alignment horizontal="center" vertical="center" wrapText="1"/>
    </xf>
    <xf numFmtId="1" fontId="32" fillId="15" borderId="46" xfId="0" applyNumberFormat="1" applyFont="1" applyFill="1" applyBorder="1" applyAlignment="1">
      <alignment horizontal="center" vertical="center" wrapText="1"/>
    </xf>
    <xf numFmtId="1" fontId="16" fillId="15" borderId="1" xfId="0" applyNumberFormat="1" applyFont="1" applyFill="1" applyBorder="1" applyAlignment="1">
      <alignment horizontal="center" vertical="center"/>
    </xf>
    <xf numFmtId="0" fontId="0" fillId="28" borderId="74" xfId="0" applyFill="1" applyBorder="1" applyAlignment="1">
      <alignment horizontal="center" vertical="center"/>
    </xf>
    <xf numFmtId="0" fontId="0" fillId="28" borderId="75" xfId="0" applyFill="1" applyBorder="1" applyAlignment="1">
      <alignment horizontal="center" vertical="center"/>
    </xf>
    <xf numFmtId="166" fontId="0" fillId="27" borderId="37" xfId="0" applyNumberFormat="1" applyFill="1" applyBorder="1" applyAlignment="1">
      <alignment horizontal="center" vertical="center"/>
    </xf>
    <xf numFmtId="166" fontId="0" fillId="27" borderId="69" xfId="0" applyNumberFormat="1" applyFill="1" applyBorder="1" applyAlignment="1">
      <alignment horizontal="center" vertical="center"/>
    </xf>
    <xf numFmtId="9" fontId="0" fillId="0" borderId="0" xfId="0" applyNumberFormat="1"/>
    <xf numFmtId="0" fontId="0" fillId="0" borderId="0" xfId="0" applyBorder="1" applyAlignment="1">
      <alignment horizontal="center"/>
    </xf>
    <xf numFmtId="0" fontId="34" fillId="0" borderId="0" xfId="0" applyFont="1" applyBorder="1" applyAlignment="1">
      <alignment horizontal="center"/>
    </xf>
    <xf numFmtId="0" fontId="0" fillId="29" borderId="43" xfId="0" applyFill="1" applyBorder="1" applyAlignment="1">
      <alignment horizontal="center"/>
    </xf>
    <xf numFmtId="0" fontId="0" fillId="29" borderId="1" xfId="0" applyFill="1" applyBorder="1" applyAlignment="1">
      <alignment horizontal="center"/>
    </xf>
    <xf numFmtId="2" fontId="0" fillId="29" borderId="1" xfId="0" applyNumberFormat="1" applyFill="1" applyBorder="1" applyAlignment="1">
      <alignment horizontal="center"/>
    </xf>
    <xf numFmtId="0" fontId="0" fillId="29" borderId="45" xfId="0" applyFill="1" applyBorder="1" applyAlignment="1">
      <alignment horizontal="center"/>
    </xf>
    <xf numFmtId="0" fontId="0" fillId="29" borderId="46" xfId="0" applyFill="1" applyBorder="1" applyAlignment="1">
      <alignment horizontal="center"/>
    </xf>
    <xf numFmtId="2" fontId="0" fillId="29" borderId="46" xfId="0" applyNumberFormat="1" applyFill="1" applyBorder="1" applyAlignment="1">
      <alignment horizontal="center"/>
    </xf>
    <xf numFmtId="0" fontId="0" fillId="29" borderId="60" xfId="0" applyFill="1" applyBorder="1" applyAlignment="1">
      <alignment horizontal="center"/>
    </xf>
    <xf numFmtId="0" fontId="0" fillId="29" borderId="47" xfId="0" applyFill="1" applyBorder="1" applyAlignment="1">
      <alignment horizontal="center"/>
    </xf>
    <xf numFmtId="0" fontId="0" fillId="19" borderId="57" xfId="0" applyFill="1" applyBorder="1" applyAlignment="1">
      <alignment horizontal="center"/>
    </xf>
    <xf numFmtId="0" fontId="0" fillId="19" borderId="45" xfId="0" applyFill="1" applyBorder="1" applyAlignment="1">
      <alignment horizontal="center"/>
    </xf>
    <xf numFmtId="0" fontId="0" fillId="21" borderId="41" xfId="0" applyFill="1" applyBorder="1"/>
    <xf numFmtId="0" fontId="0" fillId="21" borderId="5" xfId="0" applyFill="1" applyBorder="1" applyAlignment="1">
      <alignment horizontal="center"/>
    </xf>
    <xf numFmtId="167" fontId="0" fillId="21" borderId="42" xfId="0" applyNumberFormat="1" applyFill="1" applyBorder="1" applyAlignment="1">
      <alignment horizontal="center" vertical="center"/>
    </xf>
    <xf numFmtId="0" fontId="0" fillId="21" borderId="43" xfId="0" applyFill="1" applyBorder="1"/>
    <xf numFmtId="0" fontId="0" fillId="21" borderId="1" xfId="0" applyFill="1" applyBorder="1" applyAlignment="1">
      <alignment horizontal="center"/>
    </xf>
    <xf numFmtId="167" fontId="0" fillId="21" borderId="44" xfId="0" applyNumberFormat="1" applyFill="1" applyBorder="1" applyAlignment="1">
      <alignment horizontal="center" vertical="center"/>
    </xf>
    <xf numFmtId="0" fontId="0" fillId="21" borderId="72" xfId="0" applyFill="1" applyBorder="1"/>
    <xf numFmtId="0" fontId="0" fillId="21" borderId="3" xfId="0" applyFill="1" applyBorder="1" applyAlignment="1">
      <alignment horizontal="center"/>
    </xf>
    <xf numFmtId="1" fontId="0" fillId="21" borderId="73" xfId="0" applyNumberFormat="1" applyFill="1" applyBorder="1" applyAlignment="1">
      <alignment horizontal="center" vertical="center"/>
    </xf>
    <xf numFmtId="1" fontId="0" fillId="21" borderId="42" xfId="0" applyNumberFormat="1" applyFill="1" applyBorder="1" applyAlignment="1">
      <alignment horizontal="center" vertical="center"/>
    </xf>
    <xf numFmtId="1" fontId="0" fillId="21" borderId="44" xfId="0" applyNumberFormat="1" applyFill="1" applyBorder="1" applyAlignment="1">
      <alignment horizontal="center" vertical="center"/>
    </xf>
    <xf numFmtId="2" fontId="0" fillId="21" borderId="44" xfId="0" applyNumberFormat="1" applyFill="1" applyBorder="1" applyAlignment="1">
      <alignment horizontal="center" vertical="center"/>
    </xf>
    <xf numFmtId="0" fontId="0" fillId="21" borderId="57" xfId="0" applyFill="1" applyBorder="1"/>
    <xf numFmtId="0" fontId="0" fillId="21" borderId="58" xfId="0" applyFill="1" applyBorder="1" applyAlignment="1">
      <alignment horizontal="center"/>
    </xf>
    <xf numFmtId="1" fontId="0" fillId="21" borderId="60" xfId="0" applyNumberFormat="1" applyFill="1" applyBorder="1" applyAlignment="1">
      <alignment horizontal="center" vertical="center"/>
    </xf>
    <xf numFmtId="0" fontId="0" fillId="21" borderId="45" xfId="0" applyFill="1" applyBorder="1"/>
    <xf numFmtId="0" fontId="0" fillId="21" borderId="46" xfId="0" applyFill="1" applyBorder="1" applyAlignment="1">
      <alignment horizontal="center"/>
    </xf>
    <xf numFmtId="166" fontId="0" fillId="21" borderId="47" xfId="0" applyNumberFormat="1" applyFill="1" applyBorder="1" applyAlignment="1">
      <alignment horizontal="center" vertical="center"/>
    </xf>
    <xf numFmtId="0" fontId="0" fillId="17" borderId="67" xfId="0" applyFill="1" applyBorder="1" applyAlignment="1">
      <alignment horizontal="center" vertical="center" wrapText="1"/>
    </xf>
    <xf numFmtId="166" fontId="0" fillId="21" borderId="73" xfId="0" applyNumberFormat="1" applyFill="1" applyBorder="1" applyAlignment="1">
      <alignment horizontal="center" vertical="center"/>
    </xf>
    <xf numFmtId="0" fontId="0" fillId="0" borderId="8" xfId="0" applyBorder="1"/>
    <xf numFmtId="0" fontId="1" fillId="14" borderId="78" xfId="0" applyFont="1" applyFill="1" applyBorder="1" applyAlignment="1">
      <alignment horizontal="center"/>
    </xf>
    <xf numFmtId="0" fontId="1" fillId="14" borderId="80" xfId="0" applyFont="1" applyFill="1" applyBorder="1" applyAlignment="1">
      <alignment horizontal="center"/>
    </xf>
    <xf numFmtId="0" fontId="1" fillId="14" borderId="79" xfId="0" applyFont="1" applyFill="1" applyBorder="1" applyAlignment="1">
      <alignment horizontal="center"/>
    </xf>
    <xf numFmtId="2" fontId="0" fillId="14" borderId="78" xfId="0" applyNumberFormat="1" applyFill="1" applyBorder="1" applyAlignment="1">
      <alignment horizontal="center"/>
    </xf>
    <xf numFmtId="2" fontId="0" fillId="14" borderId="80" xfId="0" applyNumberFormat="1" applyFill="1" applyBorder="1" applyAlignment="1">
      <alignment horizontal="center"/>
    </xf>
    <xf numFmtId="2" fontId="0" fillId="14" borderId="79" xfId="0" applyNumberFormat="1" applyFill="1" applyBorder="1" applyAlignment="1">
      <alignment horizontal="center"/>
    </xf>
    <xf numFmtId="0" fontId="0" fillId="14" borderId="53" xfId="0" applyFill="1" applyBorder="1" applyAlignment="1">
      <alignment horizontal="center"/>
    </xf>
    <xf numFmtId="0" fontId="0" fillId="14" borderId="81" xfId="0" applyFill="1" applyBorder="1" applyAlignment="1">
      <alignment horizontal="center"/>
    </xf>
    <xf numFmtId="0" fontId="0" fillId="14" borderId="75" xfId="0" applyFill="1" applyBorder="1" applyAlignment="1">
      <alignment horizontal="center"/>
    </xf>
    <xf numFmtId="0" fontId="1" fillId="0" borderId="34" xfId="0" applyFont="1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14" borderId="46" xfId="0" applyFill="1" applyBorder="1" applyAlignment="1">
      <alignment horizontal="center"/>
    </xf>
    <xf numFmtId="0" fontId="36" fillId="23" borderId="8" xfId="0" applyFont="1" applyFill="1" applyBorder="1"/>
    <xf numFmtId="0" fontId="36" fillId="23" borderId="10" xfId="0" applyFont="1" applyFill="1" applyBorder="1"/>
    <xf numFmtId="0" fontId="34" fillId="23" borderId="34" xfId="0" applyFont="1" applyFill="1" applyBorder="1" applyAlignment="1">
      <alignment horizontal="center"/>
    </xf>
    <xf numFmtId="0" fontId="0" fillId="23" borderId="35" xfId="0" applyFill="1" applyBorder="1"/>
    <xf numFmtId="0" fontId="0" fillId="29" borderId="57" xfId="0" applyFill="1" applyBorder="1" applyAlignment="1">
      <alignment horizontal="center"/>
    </xf>
    <xf numFmtId="0" fontId="0" fillId="29" borderId="58" xfId="0" applyFill="1" applyBorder="1" applyAlignment="1">
      <alignment horizontal="center"/>
    </xf>
    <xf numFmtId="2" fontId="0" fillId="29" borderId="58" xfId="0" applyNumberFormat="1" applyFill="1" applyBorder="1" applyAlignment="1">
      <alignment horizontal="center"/>
    </xf>
    <xf numFmtId="2" fontId="0" fillId="29" borderId="60" xfId="0" applyNumberFormat="1" applyFill="1" applyBorder="1" applyAlignment="1">
      <alignment horizontal="center"/>
    </xf>
    <xf numFmtId="2" fontId="0" fillId="23" borderId="35" xfId="0" applyNumberFormat="1" applyFill="1" applyBorder="1"/>
    <xf numFmtId="2" fontId="1" fillId="29" borderId="37" xfId="0" applyNumberFormat="1" applyFont="1" applyFill="1" applyBorder="1" applyAlignment="1">
      <alignment horizontal="center"/>
    </xf>
    <xf numFmtId="2" fontId="1" fillId="29" borderId="13" xfId="0" applyNumberFormat="1" applyFont="1" applyFill="1" applyBorder="1" applyAlignment="1">
      <alignment horizontal="center"/>
    </xf>
    <xf numFmtId="0" fontId="0" fillId="17" borderId="48" xfId="0" applyFill="1" applyBorder="1" applyAlignment="1">
      <alignment horizontal="center" vertical="center"/>
    </xf>
    <xf numFmtId="0" fontId="0" fillId="17" borderId="82" xfId="0" applyFill="1" applyBorder="1" applyAlignment="1">
      <alignment horizontal="center" vertical="center" wrapText="1"/>
    </xf>
    <xf numFmtId="0" fontId="5" fillId="17" borderId="82" xfId="0" applyFont="1" applyFill="1" applyBorder="1" applyAlignment="1">
      <alignment horizontal="center" vertical="center" wrapText="1"/>
    </xf>
    <xf numFmtId="0" fontId="0" fillId="17" borderId="82" xfId="0" applyFont="1" applyFill="1" applyBorder="1" applyAlignment="1">
      <alignment horizontal="center" vertical="center" wrapText="1"/>
    </xf>
    <xf numFmtId="0" fontId="0" fillId="17" borderId="83" xfId="0" applyFill="1" applyBorder="1" applyAlignment="1">
      <alignment horizontal="center" vertical="center" wrapText="1"/>
    </xf>
    <xf numFmtId="2" fontId="0" fillId="29" borderId="44" xfId="0" applyNumberFormat="1" applyFill="1" applyBorder="1" applyAlignment="1">
      <alignment horizontal="center"/>
    </xf>
    <xf numFmtId="2" fontId="0" fillId="29" borderId="47" xfId="0" applyNumberFormat="1" applyFill="1" applyBorder="1" applyAlignment="1">
      <alignment horizontal="center"/>
    </xf>
    <xf numFmtId="0" fontId="0" fillId="0" borderId="67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6" fillId="14" borderId="80" xfId="0" applyFont="1" applyFill="1" applyBorder="1" applyAlignment="1">
      <alignment horizontal="center" vertical="center" wrapText="1"/>
    </xf>
    <xf numFmtId="166" fontId="16" fillId="14" borderId="79" xfId="0" applyNumberFormat="1" applyFont="1" applyFill="1" applyBorder="1" applyAlignment="1">
      <alignment horizontal="center" vertical="center" wrapText="1"/>
    </xf>
    <xf numFmtId="0" fontId="16" fillId="14" borderId="80" xfId="0" applyFont="1" applyFill="1" applyBorder="1" applyAlignment="1">
      <alignment vertical="center" wrapText="1"/>
    </xf>
    <xf numFmtId="0" fontId="16" fillId="14" borderId="79" xfId="0" applyFont="1" applyFill="1" applyBorder="1" applyAlignment="1">
      <alignment vertical="center" wrapText="1"/>
    </xf>
    <xf numFmtId="0" fontId="16" fillId="14" borderId="79" xfId="0" applyFont="1" applyFill="1" applyBorder="1" applyAlignment="1">
      <alignment horizontal="center" vertical="center" wrapText="1"/>
    </xf>
    <xf numFmtId="0" fontId="16" fillId="14" borderId="77" xfId="0" applyFont="1" applyFill="1" applyBorder="1" applyAlignment="1">
      <alignment horizontal="center" vertical="center" wrapText="1"/>
    </xf>
    <xf numFmtId="0" fontId="16" fillId="14" borderId="77" xfId="0" applyFont="1" applyFill="1" applyBorder="1" applyAlignment="1">
      <alignment vertical="center" wrapText="1"/>
    </xf>
    <xf numFmtId="0" fontId="0" fillId="13" borderId="67" xfId="0" applyFill="1" applyBorder="1" applyAlignment="1">
      <alignment horizontal="center" vertical="center" wrapText="1"/>
    </xf>
    <xf numFmtId="0" fontId="0" fillId="14" borderId="77" xfId="0" applyFill="1" applyBorder="1" applyAlignment="1">
      <alignment horizontal="center"/>
    </xf>
    <xf numFmtId="0" fontId="0" fillId="14" borderId="80" xfId="0" applyFill="1" applyBorder="1" applyAlignment="1">
      <alignment horizontal="center"/>
    </xf>
    <xf numFmtId="0" fontId="0" fillId="14" borderId="79" xfId="0" applyFill="1" applyBorder="1" applyAlignment="1">
      <alignment horizontal="center"/>
    </xf>
    <xf numFmtId="0" fontId="0" fillId="13" borderId="67" xfId="0" applyFill="1" applyBorder="1" applyAlignment="1">
      <alignment vertical="center" wrapText="1"/>
    </xf>
    <xf numFmtId="0" fontId="1" fillId="32" borderId="67" xfId="0" applyFont="1" applyFill="1" applyBorder="1" applyAlignment="1">
      <alignment horizontal="left" vertical="center"/>
    </xf>
    <xf numFmtId="0" fontId="0" fillId="32" borderId="77" xfId="0" applyFill="1" applyBorder="1" applyAlignment="1">
      <alignment horizontal="left" vertical="center"/>
    </xf>
    <xf numFmtId="0" fontId="0" fillId="32" borderId="80" xfId="0" applyFill="1" applyBorder="1" applyAlignment="1">
      <alignment horizontal="left" vertical="center" wrapText="1"/>
    </xf>
    <xf numFmtId="0" fontId="0" fillId="32" borderId="80" xfId="0" applyFill="1" applyBorder="1" applyAlignment="1">
      <alignment horizontal="left" vertical="center"/>
    </xf>
    <xf numFmtId="0" fontId="0" fillId="32" borderId="67" xfId="0" applyFill="1" applyBorder="1" applyAlignment="1">
      <alignment horizontal="center" vertical="center"/>
    </xf>
    <xf numFmtId="0" fontId="0" fillId="32" borderId="39" xfId="0" applyFill="1" applyBorder="1" applyAlignment="1">
      <alignment horizontal="center" vertical="center"/>
    </xf>
    <xf numFmtId="0" fontId="0" fillId="32" borderId="78" xfId="0" applyFill="1" applyBorder="1" applyAlignment="1">
      <alignment horizontal="left" vertical="center" wrapText="1"/>
    </xf>
    <xf numFmtId="0" fontId="0" fillId="29" borderId="77" xfId="0" applyFill="1" applyBorder="1" applyAlignment="1">
      <alignment horizontal="center" vertical="center"/>
    </xf>
    <xf numFmtId="0" fontId="0" fillId="29" borderId="37" xfId="0" applyFill="1" applyBorder="1" applyAlignment="1">
      <alignment horizontal="center" vertical="center"/>
    </xf>
    <xf numFmtId="0" fontId="0" fillId="29" borderId="80" xfId="0" applyFill="1" applyBorder="1" applyAlignment="1">
      <alignment horizontal="center" vertical="center"/>
    </xf>
    <xf numFmtId="0" fontId="0" fillId="29" borderId="70" xfId="0" applyFill="1" applyBorder="1" applyAlignment="1">
      <alignment horizontal="center" vertical="center"/>
    </xf>
    <xf numFmtId="0" fontId="0" fillId="29" borderId="78" xfId="0" applyFill="1" applyBorder="1" applyAlignment="1">
      <alignment horizontal="center" vertical="center"/>
    </xf>
    <xf numFmtId="0" fontId="0" fillId="32" borderId="1" xfId="0" applyFill="1" applyBorder="1"/>
    <xf numFmtId="0" fontId="15" fillId="23" borderId="0" xfId="0" applyFont="1" applyFill="1"/>
    <xf numFmtId="0" fontId="1" fillId="23" borderId="0" xfId="0" applyFont="1" applyFill="1" applyAlignment="1">
      <alignment horizontal="left" vertical="center"/>
    </xf>
    <xf numFmtId="0" fontId="17" fillId="32" borderId="79" xfId="0" applyFont="1" applyFill="1" applyBorder="1" applyAlignment="1">
      <alignment horizontal="left" vertical="center"/>
    </xf>
    <xf numFmtId="166" fontId="17" fillId="29" borderId="79" xfId="0" applyNumberFormat="1" applyFont="1" applyFill="1" applyBorder="1" applyAlignment="1">
      <alignment horizontal="center" vertical="center"/>
    </xf>
    <xf numFmtId="0" fontId="17" fillId="32" borderId="79" xfId="0" applyFont="1" applyFill="1" applyBorder="1" applyAlignment="1">
      <alignment horizontal="left" vertical="center" wrapText="1"/>
    </xf>
    <xf numFmtId="2" fontId="17" fillId="29" borderId="79" xfId="0" applyNumberFormat="1" applyFont="1" applyFill="1" applyBorder="1" applyAlignment="1">
      <alignment horizontal="center" vertical="center"/>
    </xf>
    <xf numFmtId="0" fontId="0" fillId="29" borderId="1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2" fontId="39" fillId="0" borderId="35" xfId="0" applyNumberFormat="1" applyFont="1" applyBorder="1" applyAlignment="1">
      <alignment horizontal="center" vertical="center"/>
    </xf>
    <xf numFmtId="1" fontId="0" fillId="0" borderId="80" xfId="0" applyNumberFormat="1" applyBorder="1" applyAlignment="1">
      <alignment horizontal="center"/>
    </xf>
    <xf numFmtId="1" fontId="0" fillId="0" borderId="79" xfId="0" applyNumberFormat="1" applyBorder="1" applyAlignment="1">
      <alignment horizontal="center"/>
    </xf>
    <xf numFmtId="0" fontId="15" fillId="13" borderId="78" xfId="0" applyFont="1" applyFill="1" applyBorder="1" applyAlignment="1">
      <alignment horizontal="center" vertical="center" wrapText="1"/>
    </xf>
    <xf numFmtId="0" fontId="15" fillId="13" borderId="32" xfId="0" applyFont="1" applyFill="1" applyBorder="1" applyAlignment="1">
      <alignment horizontal="center" vertical="center" wrapText="1"/>
    </xf>
    <xf numFmtId="0" fontId="15" fillId="13" borderId="52" xfId="0" applyFont="1" applyFill="1" applyBorder="1" applyAlignment="1">
      <alignment horizontal="center" vertical="center" wrapText="1"/>
    </xf>
    <xf numFmtId="0" fontId="1" fillId="14" borderId="57" xfId="0" applyFont="1" applyFill="1" applyBorder="1" applyAlignment="1">
      <alignment horizontal="center" vertical="center"/>
    </xf>
    <xf numFmtId="2" fontId="0" fillId="14" borderId="58" xfId="0" applyNumberFormat="1" applyFill="1" applyBorder="1" applyAlignment="1">
      <alignment horizontal="center" vertical="center"/>
    </xf>
    <xf numFmtId="0" fontId="0" fillId="14" borderId="58" xfId="0" applyFill="1" applyBorder="1" applyAlignment="1">
      <alignment horizontal="center" vertical="center"/>
    </xf>
    <xf numFmtId="2" fontId="0" fillId="14" borderId="60" xfId="0" applyNumberFormat="1" applyFill="1" applyBorder="1" applyAlignment="1">
      <alignment horizontal="center" vertical="center"/>
    </xf>
    <xf numFmtId="0" fontId="1" fillId="14" borderId="43" xfId="0" applyFont="1" applyFill="1" applyBorder="1" applyAlignment="1">
      <alignment horizontal="center" vertical="center"/>
    </xf>
    <xf numFmtId="2" fontId="0" fillId="14" borderId="1" xfId="0" applyNumberFormat="1" applyFill="1" applyBorder="1" applyAlignment="1">
      <alignment horizontal="center" vertical="center"/>
    </xf>
    <xf numFmtId="0" fontId="0" fillId="14" borderId="1" xfId="0" applyFill="1" applyBorder="1" applyAlignment="1">
      <alignment horizontal="center" vertical="center"/>
    </xf>
    <xf numFmtId="2" fontId="0" fillId="14" borderId="44" xfId="0" applyNumberFormat="1" applyFill="1" applyBorder="1" applyAlignment="1">
      <alignment horizontal="center" vertical="center"/>
    </xf>
    <xf numFmtId="0" fontId="1" fillId="14" borderId="45" xfId="0" applyFont="1" applyFill="1" applyBorder="1" applyAlignment="1">
      <alignment horizontal="center" vertical="center"/>
    </xf>
    <xf numFmtId="2" fontId="0" fillId="14" borderId="46" xfId="0" applyNumberFormat="1" applyFill="1" applyBorder="1" applyAlignment="1">
      <alignment horizontal="center" vertical="center"/>
    </xf>
    <xf numFmtId="0" fontId="0" fillId="14" borderId="46" xfId="0" applyFill="1" applyBorder="1" applyAlignment="1">
      <alignment horizontal="center" vertical="center"/>
    </xf>
    <xf numFmtId="2" fontId="0" fillId="14" borderId="47" xfId="0" applyNumberFormat="1" applyFill="1" applyBorder="1" applyAlignment="1">
      <alignment horizontal="center" vertical="center"/>
    </xf>
    <xf numFmtId="0" fontId="0" fillId="14" borderId="51" xfId="0" applyFill="1" applyBorder="1" applyAlignment="1">
      <alignment horizontal="center"/>
    </xf>
    <xf numFmtId="0" fontId="0" fillId="14" borderId="31" xfId="0" applyFill="1" applyBorder="1" applyAlignment="1">
      <alignment horizontal="center"/>
    </xf>
    <xf numFmtId="0" fontId="0" fillId="14" borderId="68" xfId="0" applyFill="1" applyBorder="1" applyAlignment="1">
      <alignment horizontal="center"/>
    </xf>
    <xf numFmtId="2" fontId="0" fillId="14" borderId="51" xfId="0" applyNumberFormat="1" applyFill="1" applyBorder="1" applyAlignment="1">
      <alignment horizontal="center"/>
    </xf>
    <xf numFmtId="2" fontId="0" fillId="14" borderId="31" xfId="0" applyNumberFormat="1" applyFill="1" applyBorder="1" applyAlignment="1">
      <alignment horizontal="center"/>
    </xf>
    <xf numFmtId="2" fontId="0" fillId="14" borderId="68" xfId="0" applyNumberFormat="1" applyFill="1" applyBorder="1" applyAlignment="1">
      <alignment horizontal="center"/>
    </xf>
    <xf numFmtId="2" fontId="0" fillId="14" borderId="52" xfId="0" applyNumberFormat="1" applyFill="1" applyBorder="1" applyAlignment="1">
      <alignment horizontal="center"/>
    </xf>
    <xf numFmtId="2" fontId="0" fillId="14" borderId="70" xfId="0" applyNumberFormat="1" applyFill="1" applyBorder="1" applyAlignment="1">
      <alignment horizontal="center"/>
    </xf>
    <xf numFmtId="2" fontId="0" fillId="14" borderId="69" xfId="0" applyNumberFormat="1" applyFill="1" applyBorder="1" applyAlignment="1">
      <alignment horizontal="center"/>
    </xf>
    <xf numFmtId="0" fontId="0" fillId="14" borderId="78" xfId="0" applyFill="1" applyBorder="1" applyAlignment="1">
      <alignment horizontal="center"/>
    </xf>
    <xf numFmtId="0" fontId="1" fillId="14" borderId="53" xfId="0" applyFont="1" applyFill="1" applyBorder="1" applyAlignment="1">
      <alignment horizontal="center"/>
    </xf>
    <xf numFmtId="0" fontId="1" fillId="14" borderId="81" xfId="0" applyFont="1" applyFill="1" applyBorder="1" applyAlignment="1">
      <alignment horizontal="center"/>
    </xf>
    <xf numFmtId="0" fontId="1" fillId="14" borderId="75" xfId="0" applyFont="1" applyFill="1" applyBorder="1" applyAlignment="1">
      <alignment horizontal="center"/>
    </xf>
    <xf numFmtId="0" fontId="1" fillId="14" borderId="53" xfId="0" applyFont="1" applyFill="1" applyBorder="1" applyAlignment="1">
      <alignment horizontal="center" vertical="center"/>
    </xf>
    <xf numFmtId="0" fontId="1" fillId="14" borderId="81" xfId="0" applyFont="1" applyFill="1" applyBorder="1" applyAlignment="1">
      <alignment horizontal="center" vertical="center"/>
    </xf>
    <xf numFmtId="0" fontId="1" fillId="14" borderId="75" xfId="0" applyFont="1" applyFill="1" applyBorder="1" applyAlignment="1">
      <alignment horizontal="center" vertical="center"/>
    </xf>
    <xf numFmtId="2" fontId="0" fillId="14" borderId="78" xfId="0" applyNumberFormat="1" applyFill="1" applyBorder="1" applyAlignment="1">
      <alignment horizontal="center" vertical="center"/>
    </xf>
    <xf numFmtId="2" fontId="0" fillId="14" borderId="80" xfId="0" applyNumberFormat="1" applyFill="1" applyBorder="1" applyAlignment="1">
      <alignment horizontal="center" vertical="center"/>
    </xf>
    <xf numFmtId="2" fontId="0" fillId="14" borderId="79" xfId="0" applyNumberFormat="1" applyFill="1" applyBorder="1" applyAlignment="1">
      <alignment horizontal="center" vertical="center"/>
    </xf>
    <xf numFmtId="2" fontId="0" fillId="14" borderId="52" xfId="0" applyNumberFormat="1" applyFill="1" applyBorder="1" applyAlignment="1">
      <alignment horizontal="center" vertical="center"/>
    </xf>
    <xf numFmtId="2" fontId="0" fillId="14" borderId="70" xfId="0" applyNumberFormat="1" applyFill="1" applyBorder="1" applyAlignment="1">
      <alignment horizontal="center" vertical="center"/>
    </xf>
    <xf numFmtId="2" fontId="0" fillId="14" borderId="69" xfId="0" applyNumberFormat="1" applyFill="1" applyBorder="1" applyAlignment="1">
      <alignment horizontal="center" vertical="center"/>
    </xf>
    <xf numFmtId="0" fontId="0" fillId="14" borderId="78" xfId="0" applyFill="1" applyBorder="1" applyAlignment="1">
      <alignment horizontal="center" vertical="center"/>
    </xf>
    <xf numFmtId="0" fontId="0" fillId="14" borderId="80" xfId="0" applyFill="1" applyBorder="1" applyAlignment="1">
      <alignment horizontal="center" vertical="center"/>
    </xf>
    <xf numFmtId="0" fontId="0" fillId="14" borderId="79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17" borderId="32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9" fontId="40" fillId="18" borderId="0" xfId="0" applyNumberFormat="1" applyFont="1" applyFill="1" applyAlignment="1">
      <alignment horizontal="center" vertical="center"/>
    </xf>
    <xf numFmtId="0" fontId="0" fillId="14" borderId="54" xfId="0" applyFill="1" applyBorder="1" applyAlignment="1">
      <alignment horizontal="center"/>
    </xf>
    <xf numFmtId="0" fontId="0" fillId="14" borderId="57" xfId="0" applyFill="1" applyBorder="1" applyAlignment="1">
      <alignment horizontal="center"/>
    </xf>
    <xf numFmtId="1" fontId="0" fillId="14" borderId="1" xfId="0" applyNumberFormat="1" applyFill="1" applyBorder="1" applyAlignment="1">
      <alignment horizontal="center"/>
    </xf>
    <xf numFmtId="0" fontId="0" fillId="14" borderId="60" xfId="0" applyFill="1" applyBorder="1" applyAlignment="1">
      <alignment horizontal="center"/>
    </xf>
    <xf numFmtId="0" fontId="0" fillId="14" borderId="44" xfId="0" applyFill="1" applyBorder="1" applyAlignment="1">
      <alignment horizontal="center"/>
    </xf>
    <xf numFmtId="0" fontId="0" fillId="0" borderId="13" xfId="0" applyBorder="1"/>
    <xf numFmtId="0" fontId="0" fillId="14" borderId="47" xfId="0" applyFill="1" applyBorder="1" applyAlignment="1">
      <alignment horizontal="center"/>
    </xf>
    <xf numFmtId="0" fontId="34" fillId="23" borderId="57" xfId="0" applyFont="1" applyFill="1" applyBorder="1" applyAlignment="1">
      <alignment horizontal="center" vertical="center"/>
    </xf>
    <xf numFmtId="0" fontId="34" fillId="23" borderId="60" xfId="0" applyFont="1" applyFill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2" fontId="0" fillId="14" borderId="61" xfId="0" applyNumberFormat="1" applyFill="1" applyBorder="1" applyAlignment="1">
      <alignment horizontal="center"/>
    </xf>
    <xf numFmtId="2" fontId="0" fillId="23" borderId="42" xfId="0" applyNumberFormat="1" applyFill="1" applyBorder="1" applyAlignment="1">
      <alignment horizontal="center" vertical="center"/>
    </xf>
    <xf numFmtId="2" fontId="0" fillId="23" borderId="44" xfId="0" applyNumberFormat="1" applyFill="1" applyBorder="1" applyAlignment="1">
      <alignment horizontal="center" vertical="center"/>
    </xf>
    <xf numFmtId="2" fontId="0" fillId="23" borderId="47" xfId="0" applyNumberFormat="1" applyFill="1" applyBorder="1" applyAlignment="1">
      <alignment horizontal="center" vertical="center"/>
    </xf>
    <xf numFmtId="2" fontId="0" fillId="29" borderId="41" xfId="0" applyNumberFormat="1" applyFill="1" applyBorder="1" applyAlignment="1">
      <alignment horizontal="center" vertical="center"/>
    </xf>
    <xf numFmtId="2" fontId="0" fillId="23" borderId="60" xfId="0" applyNumberFormat="1" applyFill="1" applyBorder="1" applyAlignment="1">
      <alignment horizontal="center" vertical="center"/>
    </xf>
    <xf numFmtId="0" fontId="0" fillId="29" borderId="53" xfId="0" applyFill="1" applyBorder="1" applyAlignment="1">
      <alignment horizontal="center" vertical="center"/>
    </xf>
    <xf numFmtId="0" fontId="0" fillId="29" borderId="81" xfId="0" applyFill="1" applyBorder="1" applyAlignment="1">
      <alignment horizontal="center" vertical="center"/>
    </xf>
    <xf numFmtId="0" fontId="0" fillId="29" borderId="75" xfId="0" applyFill="1" applyBorder="1" applyAlignment="1">
      <alignment horizontal="center" vertical="center"/>
    </xf>
    <xf numFmtId="0" fontId="0" fillId="29" borderId="74" xfId="0" applyFill="1" applyBorder="1" applyAlignment="1">
      <alignment horizontal="center" vertical="center"/>
    </xf>
    <xf numFmtId="0" fontId="0" fillId="29" borderId="79" xfId="0" applyFill="1" applyBorder="1" applyAlignment="1">
      <alignment horizontal="center" vertical="center"/>
    </xf>
    <xf numFmtId="0" fontId="0" fillId="32" borderId="34" xfId="0" applyFill="1" applyBorder="1" applyAlignment="1">
      <alignment horizontal="center" vertical="center"/>
    </xf>
    <xf numFmtId="0" fontId="0" fillId="32" borderId="35" xfId="0" applyFill="1" applyBorder="1" applyAlignment="1">
      <alignment horizontal="center" vertical="center"/>
    </xf>
    <xf numFmtId="0" fontId="15" fillId="13" borderId="3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9" borderId="58" xfId="0" applyFill="1" applyBorder="1" applyAlignment="1">
      <alignment horizontal="center" vertical="center"/>
    </xf>
    <xf numFmtId="0" fontId="0" fillId="29" borderId="1" xfId="0" applyFill="1" applyBorder="1" applyAlignment="1">
      <alignment horizontal="center" vertical="center"/>
    </xf>
    <xf numFmtId="0" fontId="0" fillId="29" borderId="46" xfId="0" applyFill="1" applyBorder="1" applyAlignment="1">
      <alignment horizontal="center" vertical="center"/>
    </xf>
    <xf numFmtId="2" fontId="0" fillId="29" borderId="57" xfId="0" applyNumberFormat="1" applyFill="1" applyBorder="1" applyAlignment="1">
      <alignment horizontal="center" vertical="center"/>
    </xf>
    <xf numFmtId="2" fontId="0" fillId="29" borderId="43" xfId="0" applyNumberFormat="1" applyFill="1" applyBorder="1" applyAlignment="1">
      <alignment horizontal="center" vertical="center"/>
    </xf>
    <xf numFmtId="2" fontId="0" fillId="29" borderId="45" xfId="0" applyNumberFormat="1" applyFill="1" applyBorder="1" applyAlignment="1">
      <alignment horizontal="center" vertical="center"/>
    </xf>
    <xf numFmtId="0" fontId="0" fillId="29" borderId="5" xfId="0" applyFill="1" applyBorder="1" applyAlignment="1">
      <alignment horizontal="center" vertical="center"/>
    </xf>
    <xf numFmtId="2" fontId="0" fillId="29" borderId="4" xfId="0" applyNumberFormat="1" applyFill="1" applyBorder="1" applyAlignment="1">
      <alignment horizontal="center" vertical="center"/>
    </xf>
    <xf numFmtId="2" fontId="0" fillId="29" borderId="25" xfId="0" applyNumberFormat="1" applyFill="1" applyBorder="1" applyAlignment="1">
      <alignment horizontal="center" vertical="center"/>
    </xf>
    <xf numFmtId="2" fontId="0" fillId="29" borderId="85" xfId="0" applyNumberFormat="1" applyFill="1" applyBorder="1" applyAlignment="1">
      <alignment horizontal="center" vertical="center"/>
    </xf>
    <xf numFmtId="2" fontId="0" fillId="29" borderId="50" xfId="0" applyNumberFormat="1" applyFill="1" applyBorder="1" applyAlignment="1">
      <alignment horizontal="center" vertical="center"/>
    </xf>
    <xf numFmtId="0" fontId="0" fillId="17" borderId="72" xfId="0" applyFill="1" applyBorder="1" applyAlignment="1">
      <alignment horizontal="center" vertical="center" wrapText="1"/>
    </xf>
    <xf numFmtId="0" fontId="0" fillId="17" borderId="73" xfId="0" applyFill="1" applyBorder="1" applyAlignment="1">
      <alignment horizontal="center" vertical="center" wrapText="1"/>
    </xf>
    <xf numFmtId="0" fontId="0" fillId="0" borderId="9" xfId="0" applyBorder="1"/>
    <xf numFmtId="0" fontId="0" fillId="0" borderId="10" xfId="0" applyBorder="1"/>
    <xf numFmtId="0" fontId="0" fillId="0" borderId="15" xfId="0" applyBorder="1"/>
    <xf numFmtId="0" fontId="1" fillId="0" borderId="14" xfId="0" applyFont="1" applyBorder="1" applyAlignment="1">
      <alignment horizontal="center" vertical="center"/>
    </xf>
    <xf numFmtId="9" fontId="0" fillId="0" borderId="14" xfId="0" applyNumberFormat="1" applyBorder="1" applyAlignment="1">
      <alignment horizontal="center" vertical="center"/>
    </xf>
    <xf numFmtId="166" fontId="0" fillId="0" borderId="39" xfId="0" applyNumberFormat="1" applyBorder="1"/>
    <xf numFmtId="2" fontId="0" fillId="23" borderId="30" xfId="0" applyNumberFormat="1" applyFill="1" applyBorder="1" applyAlignment="1">
      <alignment horizontal="center" vertical="center"/>
    </xf>
    <xf numFmtId="2" fontId="0" fillId="23" borderId="28" xfId="0" applyNumberFormat="1" applyFill="1" applyBorder="1" applyAlignment="1">
      <alignment horizontal="center" vertical="center"/>
    </xf>
    <xf numFmtId="2" fontId="0" fillId="23" borderId="57" xfId="0" applyNumberFormat="1" applyFill="1" applyBorder="1" applyAlignment="1">
      <alignment horizontal="center" vertical="center"/>
    </xf>
    <xf numFmtId="2" fontId="0" fillId="23" borderId="43" xfId="0" applyNumberFormat="1" applyFill="1" applyBorder="1" applyAlignment="1">
      <alignment horizontal="center" vertical="center"/>
    </xf>
    <xf numFmtId="2" fontId="0" fillId="23" borderId="45" xfId="0" applyNumberFormat="1" applyFill="1" applyBorder="1" applyAlignment="1">
      <alignment horizontal="center" vertical="center"/>
    </xf>
    <xf numFmtId="0" fontId="0" fillId="17" borderId="34" xfId="0" applyFill="1" applyBorder="1" applyAlignment="1">
      <alignment horizontal="center" vertical="center" wrapText="1"/>
    </xf>
    <xf numFmtId="0" fontId="0" fillId="17" borderId="76" xfId="0" applyFill="1" applyBorder="1" applyAlignment="1">
      <alignment horizontal="center" vertical="center" wrapText="1"/>
    </xf>
    <xf numFmtId="0" fontId="0" fillId="17" borderId="76" xfId="0" applyFill="1" applyBorder="1" applyAlignment="1">
      <alignment horizontal="center" vertical="center"/>
    </xf>
    <xf numFmtId="0" fontId="5" fillId="17" borderId="76" xfId="0" applyFont="1" applyFill="1" applyBorder="1" applyAlignment="1">
      <alignment horizontal="center" vertical="center" wrapText="1"/>
    </xf>
    <xf numFmtId="0" fontId="0" fillId="17" borderId="35" xfId="0" applyFill="1" applyBorder="1" applyAlignment="1">
      <alignment horizontal="center" vertical="center"/>
    </xf>
    <xf numFmtId="9" fontId="0" fillId="0" borderId="0" xfId="0" applyNumberFormat="1" applyBorder="1"/>
    <xf numFmtId="0" fontId="0" fillId="0" borderId="0" xfId="0" applyFont="1" applyBorder="1" applyAlignment="1">
      <alignment horizontal="center" vertical="center"/>
    </xf>
    <xf numFmtId="0" fontId="0" fillId="15" borderId="78" xfId="0" applyFill="1" applyBorder="1" applyAlignment="1">
      <alignment horizontal="center" vertical="center"/>
    </xf>
    <xf numFmtId="0" fontId="0" fillId="15" borderId="58" xfId="0" applyFill="1" applyBorder="1" applyAlignment="1">
      <alignment horizontal="center" vertical="center"/>
    </xf>
    <xf numFmtId="2" fontId="0" fillId="15" borderId="58" xfId="0" applyNumberFormat="1" applyFill="1" applyBorder="1" applyAlignment="1">
      <alignment horizontal="center" vertical="center"/>
    </xf>
    <xf numFmtId="166" fontId="0" fillId="15" borderId="60" xfId="0" applyNumberFormat="1" applyFill="1" applyBorder="1" applyAlignment="1">
      <alignment horizontal="center" vertical="center"/>
    </xf>
    <xf numFmtId="0" fontId="0" fillId="15" borderId="80" xfId="0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/>
    </xf>
    <xf numFmtId="2" fontId="0" fillId="15" borderId="1" xfId="0" applyNumberFormat="1" applyFill="1" applyBorder="1" applyAlignment="1">
      <alignment horizontal="center" vertical="center"/>
    </xf>
    <xf numFmtId="166" fontId="0" fillId="15" borderId="44" xfId="0" applyNumberFormat="1" applyFill="1" applyBorder="1" applyAlignment="1">
      <alignment horizontal="center" vertical="center"/>
    </xf>
    <xf numFmtId="0" fontId="0" fillId="15" borderId="46" xfId="0" applyFill="1" applyBorder="1" applyAlignment="1">
      <alignment horizontal="center" vertical="center"/>
    </xf>
    <xf numFmtId="2" fontId="0" fillId="15" borderId="46" xfId="0" applyNumberFormat="1" applyFill="1" applyBorder="1" applyAlignment="1">
      <alignment horizontal="center" vertical="center"/>
    </xf>
    <xf numFmtId="166" fontId="0" fillId="15" borderId="47" xfId="0" applyNumberFormat="1" applyFill="1" applyBorder="1" applyAlignment="1">
      <alignment horizontal="center" vertical="center"/>
    </xf>
    <xf numFmtId="0" fontId="15" fillId="13" borderId="10" xfId="0" applyFont="1" applyFill="1" applyBorder="1" applyAlignment="1">
      <alignment horizontal="center" vertical="center" wrapText="1"/>
    </xf>
    <xf numFmtId="0" fontId="0" fillId="14" borderId="51" xfId="0" applyFill="1" applyBorder="1" applyAlignment="1">
      <alignment horizontal="center" vertical="center"/>
    </xf>
    <xf numFmtId="0" fontId="0" fillId="14" borderId="31" xfId="0" applyFill="1" applyBorder="1" applyAlignment="1">
      <alignment horizontal="center" vertical="center"/>
    </xf>
    <xf numFmtId="0" fontId="0" fillId="14" borderId="68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2" fontId="0" fillId="23" borderId="59" xfId="0" applyNumberFormat="1" applyFill="1" applyBorder="1" applyAlignment="1">
      <alignment horizontal="center" vertical="center"/>
    </xf>
    <xf numFmtId="2" fontId="0" fillId="23" borderId="56" xfId="0" applyNumberFormat="1" applyFill="1" applyBorder="1" applyAlignment="1">
      <alignment horizontal="center" vertical="center"/>
    </xf>
    <xf numFmtId="2" fontId="0" fillId="29" borderId="50" xfId="0" applyNumberFormat="1" applyFill="1" applyBorder="1" applyAlignment="1">
      <alignment horizontal="center"/>
    </xf>
    <xf numFmtId="2" fontId="0" fillId="29" borderId="25" xfId="0" applyNumberFormat="1" applyFill="1" applyBorder="1" applyAlignment="1">
      <alignment horizontal="center"/>
    </xf>
    <xf numFmtId="2" fontId="0" fillId="29" borderId="85" xfId="0" applyNumberFormat="1" applyFill="1" applyBorder="1" applyAlignment="1">
      <alignment horizontal="center"/>
    </xf>
    <xf numFmtId="2" fontId="1" fillId="29" borderId="78" xfId="0" applyNumberFormat="1" applyFont="1" applyFill="1" applyBorder="1" applyAlignment="1">
      <alignment horizontal="center"/>
    </xf>
    <xf numFmtId="2" fontId="1" fillId="29" borderId="80" xfId="0" applyNumberFormat="1" applyFont="1" applyFill="1" applyBorder="1" applyAlignment="1">
      <alignment horizontal="center"/>
    </xf>
    <xf numFmtId="2" fontId="1" fillId="29" borderId="79" xfId="0" applyNumberFormat="1" applyFont="1" applyFill="1" applyBorder="1" applyAlignment="1">
      <alignment horizontal="center"/>
    </xf>
    <xf numFmtId="0" fontId="0" fillId="29" borderId="41" xfId="0" applyFill="1" applyBorder="1" applyAlignment="1">
      <alignment horizontal="center"/>
    </xf>
    <xf numFmtId="0" fontId="0" fillId="29" borderId="5" xfId="0" applyFill="1" applyBorder="1" applyAlignment="1">
      <alignment horizontal="center"/>
    </xf>
    <xf numFmtId="2" fontId="0" fillId="29" borderId="5" xfId="0" applyNumberFormat="1" applyFill="1" applyBorder="1" applyAlignment="1">
      <alignment horizontal="center"/>
    </xf>
    <xf numFmtId="2" fontId="0" fillId="29" borderId="4" xfId="0" applyNumberFormat="1" applyFill="1" applyBorder="1" applyAlignment="1">
      <alignment horizontal="center"/>
    </xf>
    <xf numFmtId="2" fontId="1" fillId="29" borderId="77" xfId="0" applyNumberFormat="1" applyFont="1" applyFill="1" applyBorder="1" applyAlignment="1">
      <alignment horizontal="center"/>
    </xf>
    <xf numFmtId="0" fontId="0" fillId="17" borderId="34" xfId="0" applyFill="1" applyBorder="1" applyAlignment="1">
      <alignment horizontal="center" vertical="center"/>
    </xf>
    <xf numFmtId="0" fontId="0" fillId="17" borderId="76" xfId="0" applyFont="1" applyFill="1" applyBorder="1" applyAlignment="1">
      <alignment horizontal="center" vertical="center" wrapText="1"/>
    </xf>
    <xf numFmtId="0" fontId="0" fillId="17" borderId="87" xfId="0" applyFill="1" applyBorder="1" applyAlignment="1">
      <alignment horizontal="center" vertical="center" wrapText="1"/>
    </xf>
    <xf numFmtId="2" fontId="0" fillId="14" borderId="77" xfId="0" applyNumberFormat="1" applyFill="1" applyBorder="1" applyAlignment="1">
      <alignment horizontal="center"/>
    </xf>
    <xf numFmtId="166" fontId="0" fillId="14" borderId="77" xfId="0" applyNumberFormat="1" applyFill="1" applyBorder="1" applyAlignment="1">
      <alignment horizontal="center"/>
    </xf>
    <xf numFmtId="166" fontId="0" fillId="14" borderId="80" xfId="0" applyNumberForma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5" fillId="0" borderId="0" xfId="0" applyFont="1"/>
    <xf numFmtId="0" fontId="0" fillId="17" borderId="32" xfId="0" applyFill="1" applyBorder="1" applyAlignment="1">
      <alignment horizontal="center" vertical="center" wrapText="1"/>
    </xf>
    <xf numFmtId="0" fontId="0" fillId="17" borderId="32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7" fillId="0" borderId="0" xfId="0" applyFont="1"/>
    <xf numFmtId="0" fontId="17" fillId="0" borderId="0" xfId="0" applyFont="1" applyBorder="1"/>
    <xf numFmtId="0" fontId="17" fillId="0" borderId="12" xfId="0" applyFont="1" applyBorder="1"/>
    <xf numFmtId="0" fontId="0" fillId="30" borderId="50" xfId="0" applyFill="1" applyBorder="1" applyAlignment="1">
      <alignment horizontal="center" vertical="center"/>
    </xf>
    <xf numFmtId="0" fontId="0" fillId="30" borderId="25" xfId="0" applyFill="1" applyBorder="1" applyAlignment="1">
      <alignment horizontal="center" vertical="center"/>
    </xf>
    <xf numFmtId="0" fontId="0" fillId="30" borderId="85" xfId="0" applyFill="1" applyBorder="1" applyAlignment="1">
      <alignment horizontal="center" vertical="center"/>
    </xf>
    <xf numFmtId="0" fontId="45" fillId="17" borderId="32" xfId="0" applyFont="1" applyFill="1" applyBorder="1" applyAlignment="1">
      <alignment horizontal="center" vertical="center" wrapText="1"/>
    </xf>
    <xf numFmtId="0" fontId="44" fillId="17" borderId="32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  <xf numFmtId="2" fontId="0" fillId="30" borderId="50" xfId="0" applyNumberFormat="1" applyFill="1" applyBorder="1" applyAlignment="1">
      <alignment horizontal="center" vertical="center"/>
    </xf>
    <xf numFmtId="2" fontId="0" fillId="30" borderId="25" xfId="0" applyNumberFormat="1" applyFill="1" applyBorder="1" applyAlignment="1">
      <alignment horizontal="center" vertical="center"/>
    </xf>
    <xf numFmtId="2" fontId="0" fillId="30" borderId="85" xfId="0" applyNumberFormat="1" applyFill="1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2" fontId="0" fillId="30" borderId="59" xfId="0" applyNumberFormat="1" applyFill="1" applyBorder="1" applyAlignment="1">
      <alignment horizontal="center" vertical="center"/>
    </xf>
    <xf numFmtId="2" fontId="0" fillId="30" borderId="28" xfId="0" applyNumberFormat="1" applyFill="1" applyBorder="1" applyAlignment="1">
      <alignment horizontal="center" vertical="center"/>
    </xf>
    <xf numFmtId="2" fontId="0" fillId="30" borderId="56" xfId="0" applyNumberFormat="1" applyFill="1" applyBorder="1" applyAlignment="1">
      <alignment horizontal="center" vertical="center"/>
    </xf>
    <xf numFmtId="166" fontId="0" fillId="30" borderId="50" xfId="0" applyNumberFormat="1" applyFill="1" applyBorder="1" applyAlignment="1">
      <alignment horizontal="center" vertical="center"/>
    </xf>
    <xf numFmtId="166" fontId="0" fillId="30" borderId="25" xfId="0" applyNumberFormat="1" applyFill="1" applyBorder="1" applyAlignment="1">
      <alignment horizontal="center" vertical="center"/>
    </xf>
    <xf numFmtId="166" fontId="0" fillId="30" borderId="85" xfId="0" applyNumberFormat="1" applyFill="1" applyBorder="1" applyAlignment="1">
      <alignment horizontal="center" vertical="center"/>
    </xf>
    <xf numFmtId="166" fontId="0" fillId="30" borderId="59" xfId="0" applyNumberFormat="1" applyFill="1" applyBorder="1" applyAlignment="1">
      <alignment horizontal="center" vertical="center"/>
    </xf>
    <xf numFmtId="166" fontId="0" fillId="30" borderId="28" xfId="0" applyNumberFormat="1" applyFill="1" applyBorder="1" applyAlignment="1">
      <alignment horizontal="center" vertical="center"/>
    </xf>
    <xf numFmtId="166" fontId="0" fillId="30" borderId="56" xfId="0" applyNumberFormat="1" applyFill="1" applyBorder="1" applyAlignment="1">
      <alignment horizontal="center" vertical="center"/>
    </xf>
    <xf numFmtId="0" fontId="0" fillId="32" borderId="35" xfId="0" applyFont="1" applyFill="1" applyBorder="1" applyAlignment="1">
      <alignment horizontal="center" vertical="center"/>
    </xf>
    <xf numFmtId="2" fontId="0" fillId="23" borderId="60" xfId="0" applyNumberFormat="1" applyFont="1" applyFill="1" applyBorder="1" applyAlignment="1">
      <alignment horizontal="center" vertical="center"/>
    </xf>
    <xf numFmtId="2" fontId="0" fillId="23" borderId="44" xfId="0" applyNumberFormat="1" applyFont="1" applyFill="1" applyBorder="1" applyAlignment="1">
      <alignment horizontal="center" vertical="center"/>
    </xf>
    <xf numFmtId="2" fontId="0" fillId="23" borderId="47" xfId="0" applyNumberFormat="1" applyFont="1" applyFill="1" applyBorder="1" applyAlignment="1">
      <alignment horizontal="center" vertical="center"/>
    </xf>
    <xf numFmtId="2" fontId="0" fillId="23" borderId="42" xfId="0" applyNumberFormat="1" applyFont="1" applyFill="1" applyBorder="1" applyAlignment="1">
      <alignment horizontal="center" vertical="center"/>
    </xf>
    <xf numFmtId="0" fontId="37" fillId="23" borderId="0" xfId="0" applyFont="1" applyFill="1" applyAlignment="1">
      <alignment horizontal="center"/>
    </xf>
    <xf numFmtId="0" fontId="26" fillId="13" borderId="63" xfId="0" applyFont="1" applyFill="1" applyBorder="1" applyAlignment="1">
      <alignment horizontal="center" vertical="center"/>
    </xf>
    <xf numFmtId="0" fontId="26" fillId="13" borderId="40" xfId="0" applyFont="1" applyFill="1" applyBorder="1" applyAlignment="1">
      <alignment horizontal="center" vertical="center"/>
    </xf>
    <xf numFmtId="0" fontId="26" fillId="13" borderId="62" xfId="0" applyFont="1" applyFill="1" applyBorder="1" applyAlignment="1">
      <alignment horizontal="center" vertical="center"/>
    </xf>
    <xf numFmtId="0" fontId="26" fillId="13" borderId="32" xfId="0" applyFont="1" applyFill="1" applyBorder="1" applyAlignment="1">
      <alignment horizontal="center" vertical="center" wrapText="1"/>
    </xf>
    <xf numFmtId="0" fontId="26" fillId="13" borderId="71" xfId="0" applyFont="1" applyFill="1" applyBorder="1" applyAlignment="1">
      <alignment horizontal="center" vertical="center" wrapText="1"/>
    </xf>
    <xf numFmtId="0" fontId="27" fillId="13" borderId="32" xfId="0" applyFont="1" applyFill="1" applyBorder="1" applyAlignment="1">
      <alignment horizontal="center" vertical="center" wrapText="1"/>
    </xf>
    <xf numFmtId="0" fontId="27" fillId="13" borderId="71" xfId="0" applyFont="1" applyFill="1" applyBorder="1" applyAlignment="1">
      <alignment horizontal="center" vertical="center" wrapText="1"/>
    </xf>
    <xf numFmtId="0" fontId="26" fillId="13" borderId="38" xfId="0" applyFont="1" applyFill="1" applyBorder="1" applyAlignment="1">
      <alignment horizontal="center" vertical="center"/>
    </xf>
    <xf numFmtId="0" fontId="20" fillId="16" borderId="38" xfId="0" applyFont="1" applyFill="1" applyBorder="1" applyAlignment="1">
      <alignment horizontal="center" vertical="center"/>
    </xf>
    <xf numFmtId="0" fontId="20" fillId="16" borderId="40" xfId="0" applyFont="1" applyFill="1" applyBorder="1" applyAlignment="1">
      <alignment horizontal="center" vertical="center"/>
    </xf>
    <xf numFmtId="0" fontId="20" fillId="16" borderId="39" xfId="0" applyFont="1" applyFill="1" applyBorder="1" applyAlignment="1">
      <alignment horizontal="center" vertical="center"/>
    </xf>
    <xf numFmtId="0" fontId="16" fillId="0" borderId="38" xfId="0" applyFont="1" applyBorder="1" applyAlignment="1">
      <alignment horizontal="left" vertical="center"/>
    </xf>
    <xf numFmtId="0" fontId="16" fillId="0" borderId="40" xfId="0" applyFont="1" applyBorder="1" applyAlignment="1">
      <alignment horizontal="left" vertical="center"/>
    </xf>
    <xf numFmtId="0" fontId="16" fillId="0" borderId="39" xfId="0" applyFont="1" applyBorder="1" applyAlignment="1">
      <alignment horizontal="left" vertical="center"/>
    </xf>
    <xf numFmtId="0" fontId="16" fillId="0" borderId="41" xfId="0" applyFont="1" applyBorder="1" applyAlignment="1">
      <alignment horizontal="left" vertical="center"/>
    </xf>
    <xf numFmtId="0" fontId="16" fillId="0" borderId="5" xfId="0" applyFont="1" applyBorder="1" applyAlignment="1">
      <alignment horizontal="left" vertical="center"/>
    </xf>
    <xf numFmtId="0" fontId="16" fillId="0" borderId="43" xfId="0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0" fontId="16" fillId="0" borderId="43" xfId="0" applyFont="1" applyBorder="1" applyAlignment="1">
      <alignment horizontal="left" vertical="center" wrapText="1"/>
    </xf>
    <xf numFmtId="0" fontId="23" fillId="0" borderId="45" xfId="0" applyFont="1" applyBorder="1" applyAlignment="1">
      <alignment horizontal="left" vertical="center"/>
    </xf>
    <xf numFmtId="0" fontId="23" fillId="0" borderId="46" xfId="0" applyFont="1" applyBorder="1" applyAlignment="1">
      <alignment horizontal="left" vertical="center"/>
    </xf>
    <xf numFmtId="0" fontId="30" fillId="22" borderId="0" xfId="0" applyFont="1" applyFill="1" applyAlignment="1">
      <alignment horizontal="center"/>
    </xf>
    <xf numFmtId="0" fontId="31" fillId="23" borderId="38" xfId="0" applyFont="1" applyFill="1" applyBorder="1" applyAlignment="1">
      <alignment horizontal="center" vertical="center"/>
    </xf>
    <xf numFmtId="0" fontId="31" fillId="23" borderId="40" xfId="0" applyFont="1" applyFill="1" applyBorder="1" applyAlignment="1">
      <alignment horizontal="center" vertical="center"/>
    </xf>
    <xf numFmtId="0" fontId="31" fillId="23" borderId="39" xfId="0" applyFont="1" applyFill="1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15" borderId="64" xfId="0" applyFill="1" applyBorder="1" applyAlignment="1">
      <alignment horizontal="center" vertical="center"/>
    </xf>
    <xf numFmtId="0" fontId="0" fillId="15" borderId="54" xfId="0" applyFill="1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31" borderId="38" xfId="0" applyFill="1" applyBorder="1" applyAlignment="1">
      <alignment horizontal="center" vertical="center"/>
    </xf>
    <xf numFmtId="0" fontId="0" fillId="31" borderId="40" xfId="0" applyFill="1" applyBorder="1" applyAlignment="1">
      <alignment horizontal="center" vertical="center"/>
    </xf>
    <xf numFmtId="0" fontId="0" fillId="31" borderId="39" xfId="0" applyFill="1" applyBorder="1" applyAlignment="1">
      <alignment horizontal="center" vertical="center"/>
    </xf>
    <xf numFmtId="0" fontId="0" fillId="15" borderId="32" xfId="0" applyFill="1" applyBorder="1" applyAlignment="1">
      <alignment horizontal="center" vertical="center"/>
    </xf>
    <xf numFmtId="0" fontId="0" fillId="15" borderId="33" xfId="0" applyFill="1" applyBorder="1" applyAlignment="1">
      <alignment horizontal="center" vertical="center"/>
    </xf>
    <xf numFmtId="0" fontId="15" fillId="13" borderId="53" xfId="0" applyFont="1" applyFill="1" applyBorder="1" applyAlignment="1">
      <alignment horizontal="center"/>
    </xf>
    <xf numFmtId="0" fontId="15" fillId="13" borderId="51" xfId="0" applyFont="1" applyFill="1" applyBorder="1" applyAlignment="1">
      <alignment horizontal="center"/>
    </xf>
    <xf numFmtId="0" fontId="15" fillId="13" borderId="52" xfId="0" applyFont="1" applyFill="1" applyBorder="1" applyAlignment="1">
      <alignment horizontal="center"/>
    </xf>
    <xf numFmtId="0" fontId="15" fillId="13" borderId="48" xfId="0" applyFont="1" applyFill="1" applyBorder="1" applyAlignment="1">
      <alignment horizontal="center" vertical="center" wrapText="1"/>
    </xf>
    <xf numFmtId="0" fontId="15" fillId="13" borderId="54" xfId="0" applyFont="1" applyFill="1" applyBorder="1" applyAlignment="1">
      <alignment horizontal="center" vertical="center" wrapText="1"/>
    </xf>
    <xf numFmtId="0" fontId="15" fillId="13" borderId="49" xfId="0" applyFont="1" applyFill="1" applyBorder="1" applyAlignment="1">
      <alignment horizontal="center" vertical="center" wrapText="1"/>
    </xf>
    <xf numFmtId="0" fontId="15" fillId="13" borderId="55" xfId="0" applyFont="1" applyFill="1" applyBorder="1" applyAlignment="1">
      <alignment horizontal="center" vertical="center" wrapText="1"/>
    </xf>
    <xf numFmtId="0" fontId="1" fillId="13" borderId="32" xfId="0" applyFont="1" applyFill="1" applyBorder="1" applyAlignment="1">
      <alignment horizontal="center" wrapText="1"/>
    </xf>
    <xf numFmtId="0" fontId="1" fillId="13" borderId="33" xfId="0" applyFont="1" applyFill="1" applyBorder="1" applyAlignment="1">
      <alignment horizontal="center" wrapText="1"/>
    </xf>
    <xf numFmtId="0" fontId="15" fillId="13" borderId="50" xfId="0" applyFont="1" applyFill="1" applyBorder="1" applyAlignment="1">
      <alignment horizontal="center"/>
    </xf>
    <xf numFmtId="0" fontId="15" fillId="17" borderId="53" xfId="0" applyFont="1" applyFill="1" applyBorder="1" applyAlignment="1">
      <alignment horizontal="center"/>
    </xf>
    <xf numFmtId="0" fontId="15" fillId="17" borderId="51" xfId="0" applyFont="1" applyFill="1" applyBorder="1" applyAlignment="1">
      <alignment horizontal="center"/>
    </xf>
    <xf numFmtId="0" fontId="15" fillId="17" borderId="52" xfId="0" applyFont="1" applyFill="1" applyBorder="1" applyAlignment="1">
      <alignment horizontal="center"/>
    </xf>
    <xf numFmtId="0" fontId="19" fillId="4" borderId="38" xfId="0" applyFont="1" applyFill="1" applyBorder="1" applyAlignment="1">
      <alignment horizontal="center"/>
    </xf>
    <xf numFmtId="0" fontId="19" fillId="4" borderId="39" xfId="0" applyFont="1" applyFill="1" applyBorder="1" applyAlignment="1">
      <alignment horizontal="center"/>
    </xf>
    <xf numFmtId="0" fontId="15" fillId="17" borderId="50" xfId="0" applyFont="1" applyFill="1" applyBorder="1" applyAlignment="1">
      <alignment horizontal="center"/>
    </xf>
    <xf numFmtId="0" fontId="15" fillId="16" borderId="48" xfId="0" applyFont="1" applyFill="1" applyBorder="1" applyAlignment="1">
      <alignment horizontal="center" vertical="center" wrapText="1"/>
    </xf>
    <xf numFmtId="0" fontId="15" fillId="16" borderId="54" xfId="0" applyFont="1" applyFill="1" applyBorder="1" applyAlignment="1">
      <alignment horizontal="center" vertical="center" wrapText="1"/>
    </xf>
    <xf numFmtId="0" fontId="15" fillId="16" borderId="49" xfId="0" applyFont="1" applyFill="1" applyBorder="1" applyAlignment="1">
      <alignment horizontal="center" vertical="center" wrapText="1"/>
    </xf>
    <xf numFmtId="0" fontId="15" fillId="16" borderId="55" xfId="0" applyFont="1" applyFill="1" applyBorder="1" applyAlignment="1">
      <alignment horizontal="center" vertical="center" wrapText="1"/>
    </xf>
    <xf numFmtId="0" fontId="1" fillId="16" borderId="32" xfId="0" applyFont="1" applyFill="1" applyBorder="1" applyAlignment="1">
      <alignment horizontal="center" wrapText="1"/>
    </xf>
    <xf numFmtId="0" fontId="1" fillId="16" borderId="33" xfId="0" applyFont="1" applyFill="1" applyBorder="1" applyAlignment="1">
      <alignment horizontal="center" wrapText="1"/>
    </xf>
    <xf numFmtId="0" fontId="18" fillId="12" borderId="0" xfId="0" applyFont="1" applyFill="1" applyAlignment="1">
      <alignment horizontal="center"/>
    </xf>
    <xf numFmtId="0" fontId="15" fillId="13" borderId="78" xfId="0" applyFont="1" applyFill="1" applyBorder="1" applyAlignment="1">
      <alignment horizontal="center" vertical="center" wrapText="1"/>
    </xf>
    <xf numFmtId="0" fontId="15" fillId="13" borderId="79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17" borderId="34" xfId="0" applyFill="1" applyBorder="1" applyAlignment="1">
      <alignment horizontal="center"/>
    </xf>
    <xf numFmtId="0" fontId="0" fillId="17" borderId="76" xfId="0" applyFill="1" applyBorder="1" applyAlignment="1">
      <alignment horizontal="center"/>
    </xf>
    <xf numFmtId="0" fontId="0" fillId="17" borderId="35" xfId="0" applyFill="1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76" xfId="0" applyBorder="1" applyAlignment="1">
      <alignment horizontal="center"/>
    </xf>
    <xf numFmtId="0" fontId="0" fillId="0" borderId="35" xfId="0" applyBorder="1" applyAlignment="1">
      <alignment horizontal="center"/>
    </xf>
    <xf numFmtId="0" fontId="16" fillId="0" borderId="81" xfId="0" applyFont="1" applyBorder="1" applyAlignment="1">
      <alignment horizontal="left" vertical="center"/>
    </xf>
    <xf numFmtId="0" fontId="16" fillId="0" borderId="28" xfId="0" applyFont="1" applyBorder="1" applyAlignment="1">
      <alignment horizontal="left" vertical="center"/>
    </xf>
    <xf numFmtId="0" fontId="16" fillId="0" borderId="53" xfId="0" applyFont="1" applyBorder="1" applyAlignment="1">
      <alignment horizontal="left" vertical="center"/>
    </xf>
    <xf numFmtId="0" fontId="16" fillId="0" borderId="59" xfId="0" applyFont="1" applyBorder="1" applyAlignment="1">
      <alignment horizontal="left" vertical="center"/>
    </xf>
    <xf numFmtId="0" fontId="16" fillId="0" borderId="81" xfId="0" applyFont="1" applyBorder="1" applyAlignment="1">
      <alignment horizontal="left" vertical="center" wrapText="1"/>
    </xf>
    <xf numFmtId="0" fontId="16" fillId="0" borderId="28" xfId="0" applyFont="1" applyBorder="1" applyAlignment="1">
      <alignment horizontal="left" vertical="center" wrapText="1"/>
    </xf>
    <xf numFmtId="0" fontId="35" fillId="23" borderId="0" xfId="0" applyFont="1" applyFill="1" applyAlignment="1">
      <alignment horizontal="center"/>
    </xf>
    <xf numFmtId="0" fontId="15" fillId="13" borderId="8" xfId="0" applyFont="1" applyFill="1" applyBorder="1" applyAlignment="1">
      <alignment horizontal="center"/>
    </xf>
    <xf numFmtId="0" fontId="15" fillId="13" borderId="9" xfId="0" applyFont="1" applyFill="1" applyBorder="1" applyAlignment="1">
      <alignment horizontal="center"/>
    </xf>
    <xf numFmtId="0" fontId="15" fillId="13" borderId="10" xfId="0" applyFont="1" applyFill="1" applyBorder="1" applyAlignment="1">
      <alignment horizontal="center"/>
    </xf>
    <xf numFmtId="0" fontId="15" fillId="13" borderId="32" xfId="0" applyFont="1" applyFill="1" applyBorder="1" applyAlignment="1">
      <alignment horizontal="center" vertical="center" wrapText="1"/>
    </xf>
    <xf numFmtId="0" fontId="15" fillId="13" borderId="33" xfId="0" applyFont="1" applyFill="1" applyBorder="1" applyAlignment="1">
      <alignment horizontal="center" vertical="center" wrapText="1"/>
    </xf>
    <xf numFmtId="0" fontId="23" fillId="0" borderId="75" xfId="0" applyFont="1" applyBorder="1" applyAlignment="1">
      <alignment horizontal="left" vertical="center"/>
    </xf>
    <xf numFmtId="0" fontId="23" fillId="0" borderId="56" xfId="0" applyFont="1" applyBorder="1" applyAlignment="1">
      <alignment horizontal="left" vertical="center"/>
    </xf>
    <xf numFmtId="0" fontId="15" fillId="13" borderId="64" xfId="0" applyFont="1" applyFill="1" applyBorder="1" applyAlignment="1">
      <alignment horizontal="center" vertical="center" wrapText="1"/>
    </xf>
    <xf numFmtId="0" fontId="15" fillId="13" borderId="66" xfId="0" applyFont="1" applyFill="1" applyBorder="1" applyAlignment="1">
      <alignment horizontal="center" vertical="center" wrapText="1"/>
    </xf>
    <xf numFmtId="0" fontId="1" fillId="13" borderId="71" xfId="0" applyFont="1" applyFill="1" applyBorder="1" applyAlignment="1">
      <alignment horizontal="center" wrapText="1"/>
    </xf>
    <xf numFmtId="0" fontId="15" fillId="13" borderId="71" xfId="0" applyFont="1" applyFill="1" applyBorder="1" applyAlignment="1">
      <alignment horizontal="center" vertical="center" wrapText="1"/>
    </xf>
    <xf numFmtId="0" fontId="0" fillId="15" borderId="71" xfId="0" applyFill="1" applyBorder="1" applyAlignment="1">
      <alignment horizontal="center" vertical="center"/>
    </xf>
    <xf numFmtId="9" fontId="0" fillId="15" borderId="89" xfId="0" applyNumberFormat="1" applyFill="1" applyBorder="1" applyAlignment="1">
      <alignment horizontal="center" vertical="center"/>
    </xf>
    <xf numFmtId="9" fontId="0" fillId="15" borderId="86" xfId="0" applyNumberFormat="1" applyFill="1" applyBorder="1" applyAlignment="1">
      <alignment horizontal="center" vertical="center"/>
    </xf>
    <xf numFmtId="9" fontId="0" fillId="15" borderId="30" xfId="0" applyNumberFormat="1" applyFill="1" applyBorder="1" applyAlignment="1">
      <alignment horizontal="center" vertical="center"/>
    </xf>
    <xf numFmtId="9" fontId="0" fillId="15" borderId="27" xfId="0" applyNumberFormat="1" applyFill="1" applyBorder="1" applyAlignment="1">
      <alignment horizontal="center" vertical="center"/>
    </xf>
    <xf numFmtId="9" fontId="0" fillId="15" borderId="84" xfId="0" applyNumberFormat="1" applyFill="1" applyBorder="1" applyAlignment="1">
      <alignment horizontal="center" vertical="center"/>
    </xf>
    <xf numFmtId="0" fontId="0" fillId="0" borderId="45" xfId="0" applyBorder="1" applyAlignment="1">
      <alignment horizontal="left"/>
    </xf>
    <xf numFmtId="0" fontId="0" fillId="0" borderId="46" xfId="0" applyBorder="1" applyAlignment="1">
      <alignment horizontal="left"/>
    </xf>
    <xf numFmtId="0" fontId="0" fillId="0" borderId="43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57" xfId="0" applyBorder="1" applyAlignment="1">
      <alignment horizontal="left"/>
    </xf>
    <xf numFmtId="0" fontId="0" fillId="0" borderId="58" xfId="0" applyBorder="1" applyAlignment="1">
      <alignment horizontal="left"/>
    </xf>
    <xf numFmtId="0" fontId="0" fillId="0" borderId="0" xfId="0" applyBorder="1" applyAlignment="1">
      <alignment horizontal="center" vertical="center"/>
    </xf>
    <xf numFmtId="0" fontId="37" fillId="23" borderId="38" xfId="0" applyFont="1" applyFill="1" applyBorder="1" applyAlignment="1">
      <alignment horizontal="center"/>
    </xf>
    <xf numFmtId="0" fontId="37" fillId="23" borderId="40" xfId="0" applyFont="1" applyFill="1" applyBorder="1" applyAlignment="1">
      <alignment horizontal="center"/>
    </xf>
    <xf numFmtId="0" fontId="37" fillId="23" borderId="39" xfId="0" applyFont="1" applyFill="1" applyBorder="1" applyAlignment="1">
      <alignment horizontal="center"/>
    </xf>
    <xf numFmtId="0" fontId="37" fillId="23" borderId="9" xfId="0" applyFont="1" applyFill="1" applyBorder="1" applyAlignment="1">
      <alignment horizontal="center" vertical="center"/>
    </xf>
    <xf numFmtId="0" fontId="37" fillId="23" borderId="38" xfId="0" applyFont="1" applyFill="1" applyBorder="1" applyAlignment="1">
      <alignment horizontal="center" vertical="center"/>
    </xf>
    <xf numFmtId="0" fontId="37" fillId="23" borderId="40" xfId="0" applyFont="1" applyFill="1" applyBorder="1" applyAlignment="1">
      <alignment horizontal="center" vertical="center"/>
    </xf>
    <xf numFmtId="0" fontId="37" fillId="23" borderId="39" xfId="0" applyFont="1" applyFill="1" applyBorder="1" applyAlignment="1">
      <alignment horizontal="center" vertical="center"/>
    </xf>
    <xf numFmtId="9" fontId="0" fillId="0" borderId="0" xfId="0" applyNumberFormat="1" applyBorder="1" applyAlignment="1">
      <alignment horizontal="center" vertical="center"/>
    </xf>
    <xf numFmtId="9" fontId="0" fillId="0" borderId="0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5" fillId="0" borderId="9" xfId="0" applyFont="1" applyBorder="1" applyAlignment="1">
      <alignment horizontal="center"/>
    </xf>
    <xf numFmtId="0" fontId="0" fillId="29" borderId="53" xfId="0" applyFill="1" applyBorder="1" applyAlignment="1">
      <alignment horizontal="center" vertical="center"/>
    </xf>
    <xf numFmtId="0" fontId="0" fillId="29" borderId="81" xfId="0" applyFill="1" applyBorder="1" applyAlignment="1">
      <alignment horizontal="center" vertical="center"/>
    </xf>
    <xf numFmtId="0" fontId="0" fillId="29" borderId="75" xfId="0" applyFill="1" applyBorder="1" applyAlignment="1">
      <alignment horizontal="center" vertical="center"/>
    </xf>
    <xf numFmtId="0" fontId="0" fillId="17" borderId="8" xfId="0" applyFill="1" applyBorder="1" applyAlignment="1">
      <alignment horizontal="center" vertical="center" wrapText="1"/>
    </xf>
    <xf numFmtId="0" fontId="0" fillId="17" borderId="10" xfId="0" applyFill="1" applyBorder="1" applyAlignment="1">
      <alignment horizontal="center" vertical="center" wrapText="1"/>
    </xf>
    <xf numFmtId="0" fontId="0" fillId="29" borderId="57" xfId="0" applyFill="1" applyBorder="1" applyAlignment="1">
      <alignment horizontal="center" vertical="center"/>
    </xf>
    <xf numFmtId="0" fontId="0" fillId="29" borderId="43" xfId="0" applyFill="1" applyBorder="1" applyAlignment="1">
      <alignment horizontal="center" vertical="center"/>
    </xf>
    <xf numFmtId="0" fontId="0" fillId="29" borderId="45" xfId="0" applyFill="1" applyBorder="1" applyAlignment="1">
      <alignment horizontal="center" vertical="center"/>
    </xf>
    <xf numFmtId="0" fontId="0" fillId="29" borderId="58" xfId="0" applyFill="1" applyBorder="1" applyAlignment="1">
      <alignment horizontal="center" vertical="center"/>
    </xf>
    <xf numFmtId="0" fontId="0" fillId="29" borderId="1" xfId="0" applyFill="1" applyBorder="1" applyAlignment="1">
      <alignment horizontal="center" vertical="center"/>
    </xf>
    <xf numFmtId="0" fontId="0" fillId="29" borderId="46" xfId="0" applyFill="1" applyBorder="1" applyAlignment="1">
      <alignment horizontal="center" vertical="center"/>
    </xf>
    <xf numFmtId="2" fontId="0" fillId="29" borderId="57" xfId="0" applyNumberFormat="1" applyFill="1" applyBorder="1" applyAlignment="1">
      <alignment horizontal="center" vertical="center"/>
    </xf>
    <xf numFmtId="2" fontId="0" fillId="29" borderId="43" xfId="0" applyNumberFormat="1" applyFill="1" applyBorder="1" applyAlignment="1">
      <alignment horizontal="center" vertical="center"/>
    </xf>
    <xf numFmtId="2" fontId="0" fillId="29" borderId="45" xfId="0" applyNumberFormat="1" applyFill="1" applyBorder="1" applyAlignment="1">
      <alignment horizontal="center" vertical="center"/>
    </xf>
    <xf numFmtId="2" fontId="0" fillId="29" borderId="58" xfId="0" applyNumberFormat="1" applyFill="1" applyBorder="1" applyAlignment="1">
      <alignment horizontal="center" vertical="center"/>
    </xf>
    <xf numFmtId="2" fontId="0" fillId="29" borderId="1" xfId="0" applyNumberFormat="1" applyFill="1" applyBorder="1" applyAlignment="1">
      <alignment horizontal="center" vertical="center"/>
    </xf>
    <xf numFmtId="2" fontId="0" fillId="29" borderId="46" xfId="0" applyNumberFormat="1" applyFill="1" applyBorder="1" applyAlignment="1">
      <alignment horizontal="center" vertical="center"/>
    </xf>
    <xf numFmtId="0" fontId="17" fillId="0" borderId="32" xfId="0" applyFont="1" applyBorder="1" applyAlignment="1">
      <alignment horizontal="center" vertical="center" wrapText="1"/>
    </xf>
    <xf numFmtId="0" fontId="17" fillId="0" borderId="77" xfId="0" applyFont="1" applyBorder="1" applyAlignment="1">
      <alignment horizontal="center" vertical="center" wrapText="1"/>
    </xf>
    <xf numFmtId="0" fontId="0" fillId="17" borderId="32" xfId="0" applyFill="1" applyBorder="1" applyAlignment="1">
      <alignment horizontal="center" vertical="center" wrapText="1"/>
    </xf>
    <xf numFmtId="0" fontId="0" fillId="17" borderId="71" xfId="0" applyFill="1" applyBorder="1" applyAlignment="1">
      <alignment horizontal="center" vertical="center" wrapText="1"/>
    </xf>
    <xf numFmtId="0" fontId="41" fillId="0" borderId="38" xfId="0" applyFont="1" applyBorder="1" applyAlignment="1">
      <alignment horizontal="center" vertical="center"/>
    </xf>
    <xf numFmtId="0" fontId="41" fillId="0" borderId="40" xfId="0" applyFont="1" applyBorder="1" applyAlignment="1">
      <alignment horizontal="center" vertical="center"/>
    </xf>
    <xf numFmtId="0" fontId="41" fillId="0" borderId="39" xfId="0" applyFont="1" applyBorder="1" applyAlignment="1">
      <alignment horizontal="center" vertical="center"/>
    </xf>
    <xf numFmtId="0" fontId="0" fillId="17" borderId="32" xfId="0" applyFill="1" applyBorder="1" applyAlignment="1">
      <alignment horizontal="center" vertical="center"/>
    </xf>
    <xf numFmtId="0" fontId="0" fillId="17" borderId="33" xfId="0" applyFill="1" applyBorder="1" applyAlignment="1">
      <alignment horizontal="center" vertical="center"/>
    </xf>
    <xf numFmtId="0" fontId="0" fillId="17" borderId="9" xfId="0" applyFill="1" applyBorder="1" applyAlignment="1">
      <alignment horizontal="center" vertical="center" wrapText="1"/>
    </xf>
    <xf numFmtId="0" fontId="0" fillId="17" borderId="12" xfId="0" applyFill="1" applyBorder="1" applyAlignment="1">
      <alignment horizontal="center" vertical="center" wrapText="1"/>
    </xf>
    <xf numFmtId="0" fontId="0" fillId="17" borderId="15" xfId="0" applyFill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0" fillId="0" borderId="0" xfId="0" applyAlignment="1">
      <alignment horizontal="center"/>
    </xf>
    <xf numFmtId="0" fontId="35" fillId="0" borderId="38" xfId="0" applyFont="1" applyBorder="1" applyAlignment="1">
      <alignment horizontal="center"/>
    </xf>
    <xf numFmtId="0" fontId="35" fillId="0" borderId="40" xfId="0" applyFont="1" applyBorder="1" applyAlignment="1">
      <alignment horizontal="center"/>
    </xf>
    <xf numFmtId="0" fontId="35" fillId="0" borderId="39" xfId="0" applyFont="1" applyBorder="1" applyAlignment="1">
      <alignment horizont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32" borderId="78" xfId="0" applyFill="1" applyBorder="1" applyAlignment="1">
      <alignment horizontal="center" vertical="center" wrapText="1"/>
    </xf>
    <xf numFmtId="0" fontId="0" fillId="32" borderId="36" xfId="0" applyFill="1" applyBorder="1" applyAlignment="1">
      <alignment horizontal="center" vertical="center" wrapText="1"/>
    </xf>
    <xf numFmtId="0" fontId="0" fillId="32" borderId="52" xfId="0" applyFill="1" applyBorder="1" applyAlignment="1">
      <alignment horizontal="center" vertical="center"/>
    </xf>
    <xf numFmtId="0" fontId="0" fillId="32" borderId="88" xfId="0" applyFill="1" applyBorder="1" applyAlignment="1">
      <alignment horizontal="center" vertical="center"/>
    </xf>
    <xf numFmtId="0" fontId="0" fillId="29" borderId="50" xfId="0" applyFill="1" applyBorder="1" applyAlignment="1">
      <alignment horizontal="center" vertical="center"/>
    </xf>
    <xf numFmtId="0" fontId="0" fillId="29" borderId="25" xfId="0" applyFill="1" applyBorder="1" applyAlignment="1">
      <alignment horizontal="center" vertical="center"/>
    </xf>
    <xf numFmtId="0" fontId="0" fillId="29" borderId="85" xfId="0" applyFill="1" applyBorder="1" applyAlignment="1">
      <alignment horizontal="center" vertical="center"/>
    </xf>
    <xf numFmtId="0" fontId="0" fillId="29" borderId="4" xfId="0" applyFill="1" applyBorder="1" applyAlignment="1">
      <alignment horizontal="center" vertical="center"/>
    </xf>
    <xf numFmtId="0" fontId="0" fillId="32" borderId="82" xfId="0" applyFill="1" applyBorder="1" applyAlignment="1">
      <alignment horizontal="center" vertical="center" wrapText="1"/>
    </xf>
    <xf numFmtId="0" fontId="0" fillId="32" borderId="65" xfId="0" applyFill="1" applyBorder="1" applyAlignment="1">
      <alignment horizontal="center" vertical="center"/>
    </xf>
    <xf numFmtId="0" fontId="0" fillId="32" borderId="82" xfId="0" applyFill="1" applyBorder="1" applyAlignment="1">
      <alignment horizontal="center" vertical="center"/>
    </xf>
    <xf numFmtId="2" fontId="0" fillId="29" borderId="41" xfId="0" applyNumberFormat="1" applyFill="1" applyBorder="1" applyAlignment="1">
      <alignment horizontal="center" vertical="center"/>
    </xf>
    <xf numFmtId="2" fontId="0" fillId="29" borderId="5" xfId="0" applyNumberFormat="1" applyFill="1" applyBorder="1" applyAlignment="1">
      <alignment horizontal="center" vertical="center"/>
    </xf>
    <xf numFmtId="0" fontId="0" fillId="32" borderId="48" xfId="0" applyFill="1" applyBorder="1" applyAlignment="1">
      <alignment horizontal="center" vertical="center"/>
    </xf>
    <xf numFmtId="0" fontId="0" fillId="32" borderId="54" xfId="0" applyFill="1" applyBorder="1" applyAlignment="1">
      <alignment horizontal="center" vertical="center"/>
    </xf>
    <xf numFmtId="0" fontId="0" fillId="32" borderId="49" xfId="0" applyFill="1" applyBorder="1" applyAlignment="1">
      <alignment horizontal="center" vertical="center"/>
    </xf>
    <xf numFmtId="0" fontId="0" fillId="32" borderId="66" xfId="0" applyFill="1" applyBorder="1" applyAlignment="1">
      <alignment horizontal="center" vertical="center"/>
    </xf>
    <xf numFmtId="0" fontId="0" fillId="29" borderId="41" xfId="0" applyFill="1" applyBorder="1" applyAlignment="1">
      <alignment horizontal="center" vertical="center"/>
    </xf>
    <xf numFmtId="0" fontId="0" fillId="32" borderId="64" xfId="0" applyFill="1" applyBorder="1" applyAlignment="1">
      <alignment horizontal="center" vertical="center"/>
    </xf>
    <xf numFmtId="0" fontId="0" fillId="32" borderId="86" xfId="0" applyFill="1" applyBorder="1" applyAlignment="1">
      <alignment horizontal="center"/>
    </xf>
    <xf numFmtId="0" fontId="0" fillId="32" borderId="6" xfId="0" applyFill="1" applyBorder="1" applyAlignment="1">
      <alignment horizontal="center"/>
    </xf>
    <xf numFmtId="0" fontId="0" fillId="29" borderId="5" xfId="0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2" fontId="0" fillId="23" borderId="60" xfId="0" applyNumberFormat="1" applyFill="1" applyBorder="1" applyAlignment="1">
      <alignment horizontal="center" vertical="center"/>
    </xf>
    <xf numFmtId="2" fontId="0" fillId="23" borderId="44" xfId="0" applyNumberFormat="1" applyFill="1" applyBorder="1" applyAlignment="1">
      <alignment horizontal="center" vertical="center"/>
    </xf>
    <xf numFmtId="2" fontId="0" fillId="23" borderId="47" xfId="0" applyNumberFormat="1" applyFill="1" applyBorder="1" applyAlignment="1">
      <alignment horizontal="center" vertical="center"/>
    </xf>
    <xf numFmtId="2" fontId="0" fillId="23" borderId="53" xfId="0" applyNumberFormat="1" applyFill="1" applyBorder="1" applyAlignment="1">
      <alignment horizontal="center" vertical="center"/>
    </xf>
    <xf numFmtId="2" fontId="0" fillId="23" borderId="81" xfId="0" applyNumberFormat="1" applyFill="1" applyBorder="1" applyAlignment="1">
      <alignment horizontal="center" vertical="center"/>
    </xf>
    <xf numFmtId="2" fontId="0" fillId="23" borderId="75" xfId="0" applyNumberFormat="1" applyFill="1" applyBorder="1" applyAlignment="1">
      <alignment horizontal="center" vertical="center"/>
    </xf>
    <xf numFmtId="0" fontId="43" fillId="19" borderId="0" xfId="0" applyFont="1" applyFill="1" applyAlignment="1">
      <alignment horizontal="center"/>
    </xf>
    <xf numFmtId="2" fontId="0" fillId="30" borderId="58" xfId="0" applyNumberFormat="1" applyFill="1" applyBorder="1" applyAlignment="1">
      <alignment horizontal="center" vertical="center"/>
    </xf>
    <xf numFmtId="2" fontId="0" fillId="30" borderId="1" xfId="0" applyNumberFormat="1" applyFill="1" applyBorder="1" applyAlignment="1">
      <alignment horizontal="center" vertical="center"/>
    </xf>
    <xf numFmtId="2" fontId="0" fillId="30" borderId="46" xfId="0" applyNumberFormat="1" applyFill="1" applyBorder="1" applyAlignment="1">
      <alignment horizontal="center" vertical="center"/>
    </xf>
    <xf numFmtId="2" fontId="0" fillId="23" borderId="74" xfId="0" applyNumberFormat="1" applyFill="1" applyBorder="1" applyAlignment="1">
      <alignment horizontal="center" vertical="center"/>
    </xf>
    <xf numFmtId="0" fontId="0" fillId="30" borderId="58" xfId="0" applyFill="1" applyBorder="1" applyAlignment="1">
      <alignment horizontal="center" vertical="center"/>
    </xf>
    <xf numFmtId="0" fontId="0" fillId="30" borderId="1" xfId="0" applyFill="1" applyBorder="1" applyAlignment="1">
      <alignment horizontal="center" vertical="center"/>
    </xf>
    <xf numFmtId="0" fontId="0" fillId="30" borderId="46" xfId="0" applyFill="1" applyBorder="1" applyAlignment="1">
      <alignment horizontal="center" vertical="center"/>
    </xf>
    <xf numFmtId="2" fontId="0" fillId="23" borderId="90" xfId="0" applyNumberFormat="1" applyFill="1" applyBorder="1" applyAlignment="1">
      <alignment horizontal="center" vertical="center"/>
    </xf>
    <xf numFmtId="0" fontId="0" fillId="8" borderId="29" xfId="0" applyFill="1" applyBorder="1" applyAlignment="1">
      <alignment horizontal="left" vertical="center"/>
    </xf>
    <xf numFmtId="0" fontId="0" fillId="8" borderId="30" xfId="0" applyFill="1" applyBorder="1" applyAlignment="1">
      <alignment horizontal="left" vertical="center"/>
    </xf>
    <xf numFmtId="0" fontId="0" fillId="8" borderId="28" xfId="0" applyFill="1" applyBorder="1" applyAlignment="1">
      <alignment horizontal="right" vertical="center"/>
    </xf>
    <xf numFmtId="0" fontId="0" fillId="8" borderId="1" xfId="0" applyFill="1" applyBorder="1" applyAlignment="1">
      <alignment horizontal="right" vertical="center"/>
    </xf>
    <xf numFmtId="0" fontId="0" fillId="8" borderId="1" xfId="0" applyFill="1" applyBorder="1" applyAlignment="1">
      <alignment horizontal="center" vertical="center" wrapText="1"/>
    </xf>
    <xf numFmtId="0" fontId="0" fillId="8" borderId="2" xfId="0" applyFill="1" applyBorder="1" applyAlignment="1">
      <alignment horizontal="center" vertical="center" wrapText="1"/>
    </xf>
    <xf numFmtId="0" fontId="0" fillId="8" borderId="26" xfId="0" applyFill="1" applyBorder="1" applyAlignment="1">
      <alignment horizontal="center" vertical="center" wrapText="1"/>
    </xf>
    <xf numFmtId="0" fontId="0" fillId="8" borderId="26" xfId="0" applyFill="1" applyBorder="1" applyAlignment="1">
      <alignment horizontal="left" vertical="center" wrapText="1"/>
    </xf>
    <xf numFmtId="0" fontId="0" fillId="8" borderId="27" xfId="0" applyFill="1" applyBorder="1" applyAlignment="1">
      <alignment horizontal="left" vertical="center" wrapText="1"/>
    </xf>
    <xf numFmtId="0" fontId="9" fillId="8" borderId="1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1" fillId="5" borderId="9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1" fillId="5" borderId="12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center" vertical="center"/>
    </xf>
    <xf numFmtId="164" fontId="0" fillId="4" borderId="3" xfId="0" applyNumberFormat="1" applyFill="1" applyBorder="1" applyAlignment="1">
      <alignment horizontal="center" vertical="center"/>
    </xf>
    <xf numFmtId="164" fontId="0" fillId="4" borderId="7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AECFE"/>
      <color rgb="FFBFF3C4"/>
      <color rgb="FF9D89D7"/>
      <color rgb="FFD3C2B1"/>
      <color rgb="FFD7E296"/>
      <color rgb="FFFFFF66"/>
      <color rgb="FFC1D9D1"/>
      <color rgb="FF8AD0A5"/>
      <color rgb="FFC2CF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3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4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5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36.xml.rels><?xml version="1.0" encoding="UTF-8" standalone="yes"?>
<Relationships xmlns="http://schemas.openxmlformats.org/package/2006/relationships"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_rels/chart37.xml.rels><?xml version="1.0" encoding="UTF-8" standalone="yes"?>
<Relationships xmlns="http://schemas.openxmlformats.org/package/2006/relationships"><Relationship Id="rId2" Type="http://schemas.microsoft.com/office/2011/relationships/chartColorStyle" Target="colors37.xml"/><Relationship Id="rId1" Type="http://schemas.microsoft.com/office/2011/relationships/chartStyle" Target="style37.xml"/></Relationships>
</file>

<file path=xl/charts/_rels/chart38.xml.rels><?xml version="1.0" encoding="UTF-8" standalone="yes"?>
<Relationships xmlns="http://schemas.openxmlformats.org/package/2006/relationships"><Relationship Id="rId2" Type="http://schemas.microsoft.com/office/2011/relationships/chartColorStyle" Target="colors38.xml"/><Relationship Id="rId1" Type="http://schemas.microsoft.com/office/2011/relationships/chartStyle" Target="style38.xml"/></Relationships>
</file>

<file path=xl/charts/_rels/chart39.xml.rels><?xml version="1.0" encoding="UTF-8" standalone="yes"?>
<Relationships xmlns="http://schemas.openxmlformats.org/package/2006/relationships"><Relationship Id="rId2" Type="http://schemas.microsoft.com/office/2011/relationships/chartColorStyle" Target="colors39.xml"/><Relationship Id="rId1" Type="http://schemas.microsoft.com/office/2011/relationships/chartStyle" Target="style39.xml"/></Relationships>
</file>

<file path=xl/charts/_rels/chart40.xml.rels><?xml version="1.0" encoding="UTF-8" standalone="yes"?>
<Relationships xmlns="http://schemas.openxmlformats.org/package/2006/relationships"><Relationship Id="rId2" Type="http://schemas.microsoft.com/office/2011/relationships/chartColorStyle" Target="colors40.xml"/><Relationship Id="rId1" Type="http://schemas.microsoft.com/office/2011/relationships/chartStyle" Target="style40.xml"/></Relationships>
</file>

<file path=xl/charts/_rels/chart41.xml.rels><?xml version="1.0" encoding="UTF-8" standalone="yes"?>
<Relationships xmlns="http://schemas.openxmlformats.org/package/2006/relationships"><Relationship Id="rId2" Type="http://schemas.microsoft.com/office/2011/relationships/chartColorStyle" Target="colors41.xml"/><Relationship Id="rId1" Type="http://schemas.microsoft.com/office/2011/relationships/chartStyle" Target="style41.xml"/></Relationships>
</file>

<file path=xl/charts/_rels/chart42.xml.rels><?xml version="1.0" encoding="UTF-8" standalone="yes"?>
<Relationships xmlns="http://schemas.openxmlformats.org/package/2006/relationships"><Relationship Id="rId2" Type="http://schemas.microsoft.com/office/2011/relationships/chartColorStyle" Target="colors42.xml"/><Relationship Id="rId1" Type="http://schemas.microsoft.com/office/2011/relationships/chartStyle" Target="style42.xml"/></Relationships>
</file>

<file path=xl/charts/_rels/chart43.xml.rels><?xml version="1.0" encoding="UTF-8" standalone="yes"?>
<Relationships xmlns="http://schemas.openxmlformats.org/package/2006/relationships"><Relationship Id="rId2" Type="http://schemas.microsoft.com/office/2011/relationships/chartColorStyle" Target="colors43.xml"/><Relationship Id="rId1" Type="http://schemas.microsoft.com/office/2011/relationships/chartStyle" Target="style43.xml"/></Relationships>
</file>

<file path=xl/charts/_rels/chart44.xml.rels><?xml version="1.0" encoding="UTF-8" standalone="yes"?>
<Relationships xmlns="http://schemas.openxmlformats.org/package/2006/relationships"><Relationship Id="rId2" Type="http://schemas.microsoft.com/office/2011/relationships/chartColorStyle" Target="colors44.xml"/><Relationship Id="rId1" Type="http://schemas.microsoft.com/office/2011/relationships/chartStyle" Target="style44.xml"/></Relationships>
</file>

<file path=xl/charts/_rels/chart45.xml.rels><?xml version="1.0" encoding="UTF-8" standalone="yes"?>
<Relationships xmlns="http://schemas.openxmlformats.org/package/2006/relationships"><Relationship Id="rId2" Type="http://schemas.microsoft.com/office/2011/relationships/chartColorStyle" Target="colors45.xml"/><Relationship Id="rId1" Type="http://schemas.microsoft.com/office/2011/relationships/chartStyle" Target="style45.xml"/></Relationships>
</file>

<file path=xl/charts/_rels/chart46.xml.rels><?xml version="1.0" encoding="UTF-8" standalone="yes"?>
<Relationships xmlns="http://schemas.openxmlformats.org/package/2006/relationships"><Relationship Id="rId2" Type="http://schemas.microsoft.com/office/2011/relationships/chartColorStyle" Target="colors46.xml"/><Relationship Id="rId1" Type="http://schemas.microsoft.com/office/2011/relationships/chartStyle" Target="style46.xml"/></Relationships>
</file>

<file path=xl/charts/_rels/chart47.xml.rels><?xml version="1.0" encoding="UTF-8" standalone="yes"?>
<Relationships xmlns="http://schemas.openxmlformats.org/package/2006/relationships"><Relationship Id="rId2" Type="http://schemas.microsoft.com/office/2011/relationships/chartColorStyle" Target="colors47.xml"/><Relationship Id="rId1" Type="http://schemas.microsoft.com/office/2011/relationships/chartStyle" Target="style47.xml"/></Relationships>
</file>

<file path=xl/charts/_rels/chart48.xml.rels><?xml version="1.0" encoding="UTF-8" standalone="yes"?>
<Relationships xmlns="http://schemas.openxmlformats.org/package/2006/relationships"><Relationship Id="rId2" Type="http://schemas.microsoft.com/office/2011/relationships/chartColorStyle" Target="colors48.xml"/><Relationship Id="rId1" Type="http://schemas.microsoft.com/office/2011/relationships/chartStyle" Target="style48.xml"/></Relationships>
</file>

<file path=xl/charts/_rels/chart49.xml.rels><?xml version="1.0" encoding="UTF-8" standalone="yes"?>
<Relationships xmlns="http://schemas.openxmlformats.org/package/2006/relationships"><Relationship Id="rId2" Type="http://schemas.microsoft.com/office/2011/relationships/chartColorStyle" Target="colors49.xml"/><Relationship Id="rId1" Type="http://schemas.microsoft.com/office/2011/relationships/chartStyle" Target="style49.xml"/></Relationships>
</file>

<file path=xl/charts/_rels/chart50.xml.rels><?xml version="1.0" encoding="UTF-8" standalone="yes"?>
<Relationships xmlns="http://schemas.openxmlformats.org/package/2006/relationships"><Relationship Id="rId2" Type="http://schemas.microsoft.com/office/2011/relationships/chartColorStyle" Target="colors50.xml"/><Relationship Id="rId1" Type="http://schemas.microsoft.com/office/2011/relationships/chartStyle" Target="style50.xml"/></Relationships>
</file>

<file path=xl/charts/_rels/chart51.xml.rels><?xml version="1.0" encoding="UTF-8" standalone="yes"?>
<Relationships xmlns="http://schemas.openxmlformats.org/package/2006/relationships"><Relationship Id="rId2" Type="http://schemas.microsoft.com/office/2011/relationships/chartColorStyle" Target="colors51.xml"/><Relationship Id="rId1" Type="http://schemas.microsoft.com/office/2011/relationships/chartStyle" Target="style51.xml"/></Relationships>
</file>

<file path=xl/charts/_rels/chart52.xml.rels><?xml version="1.0" encoding="UTF-8" standalone="yes"?>
<Relationships xmlns="http://schemas.openxmlformats.org/package/2006/relationships"><Relationship Id="rId2" Type="http://schemas.microsoft.com/office/2011/relationships/chartColorStyle" Target="colors52.xml"/><Relationship Id="rId1" Type="http://schemas.microsoft.com/office/2011/relationships/chartStyle" Target="style52.xml"/></Relationships>
</file>

<file path=xl/charts/_rels/chart53.xml.rels><?xml version="1.0" encoding="UTF-8" standalone="yes"?>
<Relationships xmlns="http://schemas.openxmlformats.org/package/2006/relationships"><Relationship Id="rId2" Type="http://schemas.microsoft.com/office/2011/relationships/chartColorStyle" Target="colors53.xml"/><Relationship Id="rId1" Type="http://schemas.microsoft.com/office/2011/relationships/chartStyle" Target="style53.xml"/></Relationships>
</file>

<file path=xl/charts/_rels/chart54.xml.rels><?xml version="1.0" encoding="UTF-8" standalone="yes"?>
<Relationships xmlns="http://schemas.openxmlformats.org/package/2006/relationships"><Relationship Id="rId2" Type="http://schemas.microsoft.com/office/2011/relationships/chartColorStyle" Target="colors54.xml"/><Relationship Id="rId1" Type="http://schemas.microsoft.com/office/2011/relationships/chartStyle" Target="style54.xml"/></Relationships>
</file>

<file path=xl/charts/_rels/chart55.xml.rels><?xml version="1.0" encoding="UTF-8" standalone="yes"?>
<Relationships xmlns="http://schemas.openxmlformats.org/package/2006/relationships"><Relationship Id="rId2" Type="http://schemas.microsoft.com/office/2011/relationships/chartColorStyle" Target="colors55.xml"/><Relationship Id="rId1" Type="http://schemas.microsoft.com/office/2011/relationships/chartStyle" Target="style55.xml"/></Relationships>
</file>

<file path=xl/charts/_rels/chart56.xml.rels><?xml version="1.0" encoding="UTF-8" standalone="yes"?>
<Relationships xmlns="http://schemas.openxmlformats.org/package/2006/relationships"><Relationship Id="rId2" Type="http://schemas.microsoft.com/office/2011/relationships/chartColorStyle" Target="colors56.xml"/><Relationship Id="rId1" Type="http://schemas.microsoft.com/office/2011/relationships/chartStyle" Target="style56.xml"/></Relationships>
</file>

<file path=xl/charts/_rels/chart57.xml.rels><?xml version="1.0" encoding="UTF-8" standalone="yes"?>
<Relationships xmlns="http://schemas.openxmlformats.org/package/2006/relationships"><Relationship Id="rId2" Type="http://schemas.microsoft.com/office/2011/relationships/chartColorStyle" Target="colors57.xml"/><Relationship Id="rId1" Type="http://schemas.microsoft.com/office/2011/relationships/chartStyle" Target="style57.xml"/></Relationships>
</file>

<file path=xl/charts/_rels/chart58.xml.rels><?xml version="1.0" encoding="UTF-8" standalone="yes"?>
<Relationships xmlns="http://schemas.openxmlformats.org/package/2006/relationships"><Relationship Id="rId2" Type="http://schemas.microsoft.com/office/2011/relationships/chartColorStyle" Target="colors58.xml"/><Relationship Id="rId1" Type="http://schemas.microsoft.com/office/2011/relationships/chartStyle" Target="style58.xml"/></Relationships>
</file>

<file path=xl/charts/_rels/chart59.xml.rels><?xml version="1.0" encoding="UTF-8" standalone="yes"?>
<Relationships xmlns="http://schemas.openxmlformats.org/package/2006/relationships"><Relationship Id="rId2" Type="http://schemas.microsoft.com/office/2011/relationships/chartColorStyle" Target="colors59.xml"/><Relationship Id="rId1" Type="http://schemas.microsoft.com/office/2011/relationships/chartStyle" Target="style59.xml"/></Relationships>
</file>

<file path=xl/charts/_rels/chart60.xml.rels><?xml version="1.0" encoding="UTF-8" standalone="yes"?>
<Relationships xmlns="http://schemas.openxmlformats.org/package/2006/relationships"><Relationship Id="rId2" Type="http://schemas.microsoft.com/office/2011/relationships/chartColorStyle" Target="colors60.xml"/><Relationship Id="rId1" Type="http://schemas.microsoft.com/office/2011/relationships/chartStyle" Target="style60.xml"/></Relationships>
</file>

<file path=xl/charts/_rels/chart61.xml.rels><?xml version="1.0" encoding="UTF-8" standalone="yes"?>
<Relationships xmlns="http://schemas.openxmlformats.org/package/2006/relationships"><Relationship Id="rId2" Type="http://schemas.microsoft.com/office/2011/relationships/chartColorStyle" Target="colors61.xml"/><Relationship Id="rId1" Type="http://schemas.microsoft.com/office/2011/relationships/chartStyle" Target="style61.xml"/></Relationships>
</file>

<file path=xl/charts/_rels/chart62.xml.rels><?xml version="1.0" encoding="UTF-8" standalone="yes"?>
<Relationships xmlns="http://schemas.openxmlformats.org/package/2006/relationships"><Relationship Id="rId2" Type="http://schemas.microsoft.com/office/2011/relationships/chartColorStyle" Target="colors62.xml"/><Relationship Id="rId1" Type="http://schemas.microsoft.com/office/2011/relationships/chartStyle" Target="style62.xml"/></Relationships>
</file>

<file path=xl/charts/_rels/chart63.xml.rels><?xml version="1.0" encoding="UTF-8" standalone="yes"?>
<Relationships xmlns="http://schemas.openxmlformats.org/package/2006/relationships"><Relationship Id="rId2" Type="http://schemas.microsoft.com/office/2011/relationships/chartColorStyle" Target="colors63.xml"/><Relationship Id="rId1" Type="http://schemas.microsoft.com/office/2011/relationships/chartStyle" Target="style63.xml"/></Relationships>
</file>

<file path=xl/charts/_rels/chart64.xml.rels><?xml version="1.0" encoding="UTF-8" standalone="yes"?>
<Relationships xmlns="http://schemas.openxmlformats.org/package/2006/relationships"><Relationship Id="rId2" Type="http://schemas.microsoft.com/office/2011/relationships/chartColorStyle" Target="colors64.xml"/><Relationship Id="rId1" Type="http://schemas.microsoft.com/office/2011/relationships/chartStyle" Target="style64.xml"/></Relationships>
</file>

<file path=xl/charts/_rels/chart65.xml.rels><?xml version="1.0" encoding="UTF-8" standalone="yes"?>
<Relationships xmlns="http://schemas.openxmlformats.org/package/2006/relationships"><Relationship Id="rId2" Type="http://schemas.microsoft.com/office/2011/relationships/chartColorStyle" Target="colors65.xml"/><Relationship Id="rId1" Type="http://schemas.microsoft.com/office/2011/relationships/chartStyle" Target="style65.xml"/></Relationships>
</file>

<file path=xl/charts/_rels/chart66.xml.rels><?xml version="1.0" encoding="UTF-8" standalone="yes"?>
<Relationships xmlns="http://schemas.openxmlformats.org/package/2006/relationships"><Relationship Id="rId2" Type="http://schemas.microsoft.com/office/2011/relationships/chartColorStyle" Target="colors66.xml"/><Relationship Id="rId1" Type="http://schemas.microsoft.com/office/2011/relationships/chartStyle" Target="style66.xml"/></Relationships>
</file>

<file path=xl/charts/_rels/chart6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2.xml"/><Relationship Id="rId2" Type="http://schemas.microsoft.com/office/2011/relationships/chartColorStyle" Target="colors67.xml"/><Relationship Id="rId1" Type="http://schemas.microsoft.com/office/2011/relationships/chartStyle" Target="style67.xml"/></Relationships>
</file>

<file path=xl/charts/_rels/chart6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3.xml"/><Relationship Id="rId2" Type="http://schemas.microsoft.com/office/2011/relationships/chartColorStyle" Target="colors68.xml"/><Relationship Id="rId1" Type="http://schemas.microsoft.com/office/2011/relationships/chartStyle" Target="style68.xml"/></Relationships>
</file>

<file path=xl/charts/_rels/chart6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4.xml"/><Relationship Id="rId2" Type="http://schemas.microsoft.com/office/2011/relationships/chartColorStyle" Target="colors69.xml"/><Relationship Id="rId1" Type="http://schemas.microsoft.com/office/2011/relationships/chartStyle" Target="style69.xml"/></Relationships>
</file>

<file path=xl/charts/_rels/chart7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5.xml"/><Relationship Id="rId2" Type="http://schemas.microsoft.com/office/2011/relationships/chartColorStyle" Target="colors70.xml"/><Relationship Id="rId1" Type="http://schemas.microsoft.com/office/2011/relationships/chartStyle" Target="style70.xml"/></Relationships>
</file>

<file path=xl/charts/_rels/chart7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6.xml"/><Relationship Id="rId2" Type="http://schemas.microsoft.com/office/2011/relationships/chartColorStyle" Target="colors71.xml"/><Relationship Id="rId1" Type="http://schemas.microsoft.com/office/2011/relationships/chartStyle" Target="style71.xml"/></Relationships>
</file>

<file path=xl/charts/_rels/chart7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7.xml"/><Relationship Id="rId2" Type="http://schemas.microsoft.com/office/2011/relationships/chartColorStyle" Target="colors72.xml"/><Relationship Id="rId1" Type="http://schemas.microsoft.com/office/2011/relationships/chartStyle" Target="style72.xml"/></Relationships>
</file>

<file path=xl/charts/_rels/chart7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9.xml"/><Relationship Id="rId2" Type="http://schemas.microsoft.com/office/2011/relationships/chartColorStyle" Target="colors73.xml"/><Relationship Id="rId1" Type="http://schemas.microsoft.com/office/2011/relationships/chartStyle" Target="style73.xml"/></Relationships>
</file>

<file path=xl/charts/_rels/chart7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0.xml"/><Relationship Id="rId2" Type="http://schemas.microsoft.com/office/2011/relationships/chartColorStyle" Target="colors74.xml"/><Relationship Id="rId1" Type="http://schemas.microsoft.com/office/2011/relationships/chartStyle" Target="style74.xml"/></Relationships>
</file>

<file path=xl/charts/_rels/chart7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1.xml"/><Relationship Id="rId2" Type="http://schemas.microsoft.com/office/2011/relationships/chartColorStyle" Target="colors75.xml"/><Relationship Id="rId1" Type="http://schemas.microsoft.com/office/2011/relationships/chartStyle" Target="style75.xml"/></Relationships>
</file>

<file path=xl/charts/_rels/chart7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2.xml"/><Relationship Id="rId2" Type="http://schemas.microsoft.com/office/2011/relationships/chartColorStyle" Target="colors76.xml"/><Relationship Id="rId1" Type="http://schemas.microsoft.com/office/2011/relationships/chartStyle" Target="style76.xml"/></Relationships>
</file>

<file path=xl/charts/_rels/chart7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3.xml"/><Relationship Id="rId2" Type="http://schemas.microsoft.com/office/2011/relationships/chartColorStyle" Target="colors77.xml"/><Relationship Id="rId1" Type="http://schemas.microsoft.com/office/2011/relationships/chartStyle" Target="style77.xml"/></Relationships>
</file>

<file path=xl/charts/_rels/chart7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4.xml"/><Relationship Id="rId2" Type="http://schemas.microsoft.com/office/2011/relationships/chartColorStyle" Target="colors78.xml"/><Relationship Id="rId1" Type="http://schemas.microsoft.com/office/2011/relationships/chartStyle" Target="style78.xml"/></Relationships>
</file>

<file path=xl/charts/_rels/chart7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5.xml"/><Relationship Id="rId2" Type="http://schemas.microsoft.com/office/2011/relationships/chartColorStyle" Target="colors79.xml"/><Relationship Id="rId1" Type="http://schemas.microsoft.com/office/2011/relationships/chartStyle" Target="style79.xml"/></Relationships>
</file>

<file path=xl/charts/_rels/chart8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6.xml"/><Relationship Id="rId2" Type="http://schemas.microsoft.com/office/2011/relationships/chartColorStyle" Target="colors80.xml"/><Relationship Id="rId1" Type="http://schemas.microsoft.com/office/2011/relationships/chartStyle" Target="style80.xml"/></Relationships>
</file>

<file path=xl/charts/_rels/chart8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8.xml"/><Relationship Id="rId2" Type="http://schemas.microsoft.com/office/2011/relationships/chartColorStyle" Target="colors81.xml"/><Relationship Id="rId1" Type="http://schemas.microsoft.com/office/2011/relationships/chartStyle" Target="style81.xml"/></Relationships>
</file>

<file path=xl/charts/_rels/chart8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9.xml"/><Relationship Id="rId2" Type="http://schemas.microsoft.com/office/2011/relationships/chartColorStyle" Target="colors82.xml"/><Relationship Id="rId1" Type="http://schemas.microsoft.com/office/2011/relationships/chartStyle" Target="style82.xml"/></Relationships>
</file>

<file path=xl/charts/_rels/chart85.xml.rels><?xml version="1.0" encoding="UTF-8" standalone="yes"?>
<Relationships xmlns="http://schemas.openxmlformats.org/package/2006/relationships"><Relationship Id="rId2" Type="http://schemas.microsoft.com/office/2011/relationships/chartColorStyle" Target="colors83.xml"/><Relationship Id="rId1" Type="http://schemas.microsoft.com/office/2011/relationships/chartStyle" Target="style83.xml"/></Relationships>
</file>

<file path=xl/charts/_rels/chart86.xml.rels><?xml version="1.0" encoding="UTF-8" standalone="yes"?>
<Relationships xmlns="http://schemas.openxmlformats.org/package/2006/relationships"><Relationship Id="rId2" Type="http://schemas.microsoft.com/office/2011/relationships/chartColorStyle" Target="colors84.xml"/><Relationship Id="rId1" Type="http://schemas.microsoft.com/office/2011/relationships/chartStyle" Target="style8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'MASTER COPY(SA)'!$A$4:$A$11</c:f>
              <c:numCache>
                <c:formatCode>General</c:formatCode>
                <c:ptCount val="8"/>
                <c:pt idx="0">
                  <c:v>4.75</c:v>
                </c:pt>
                <c:pt idx="1">
                  <c:v>2.36</c:v>
                </c:pt>
                <c:pt idx="2">
                  <c:v>1.18</c:v>
                </c:pt>
                <c:pt idx="3">
                  <c:v>0.6</c:v>
                </c:pt>
                <c:pt idx="4">
                  <c:v>0.42499999999999999</c:v>
                </c:pt>
                <c:pt idx="5">
                  <c:v>0.3</c:v>
                </c:pt>
                <c:pt idx="6">
                  <c:v>0.15</c:v>
                </c:pt>
                <c:pt idx="7">
                  <c:v>7.4999999999999997E-2</c:v>
                </c:pt>
              </c:numCache>
            </c:numRef>
          </c:xVal>
          <c:yVal>
            <c:numRef>
              <c:f>'MASTER COPY(SA)'!$E$4:$E$11</c:f>
              <c:numCache>
                <c:formatCode>General</c:formatCode>
                <c:ptCount val="8"/>
                <c:pt idx="0">
                  <c:v>92</c:v>
                </c:pt>
                <c:pt idx="1">
                  <c:v>75</c:v>
                </c:pt>
                <c:pt idx="2">
                  <c:v>55.75</c:v>
                </c:pt>
                <c:pt idx="3">
                  <c:v>38.25</c:v>
                </c:pt>
                <c:pt idx="4">
                  <c:v>25</c:v>
                </c:pt>
                <c:pt idx="5">
                  <c:v>15.5</c:v>
                </c:pt>
                <c:pt idx="6">
                  <c:v>7</c:v>
                </c:pt>
                <c:pt idx="7">
                  <c:v>1.25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0869-4E4A-A337-91BEA4C9E2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39673792"/>
        <c:axId val="939684672"/>
      </c:scatterChart>
      <c:valAx>
        <c:axId val="93967379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accent6">
                  <a:lumMod val="50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accent6">
                  <a:lumMod val="75000"/>
                </a:schemeClr>
              </a:solidFill>
              <a:round/>
            </a:ln>
            <a:effectLst>
              <a:outerShdw blurRad="50800" dist="50800" dir="5400000" sx="1000" sy="1000" algn="ctr" rotWithShape="0">
                <a:srgbClr val="000000">
                  <a:alpha val="43137"/>
                </a:srgbClr>
              </a:outerShdw>
            </a:effectLst>
          </c:spPr>
        </c:minorGridlines>
        <c:title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39684672"/>
        <c:crosses val="autoZero"/>
        <c:crossBetween val="midCat"/>
      </c:valAx>
      <c:valAx>
        <c:axId val="939684672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accent6">
                  <a:lumMod val="50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accent6">
                  <a:lumMod val="40000"/>
                  <a:lumOff val="60000"/>
                </a:schemeClr>
              </a:solidFill>
              <a:round/>
            </a:ln>
            <a:effectLst/>
          </c:spPr>
        </c:minorGridlines>
        <c:title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39673792"/>
        <c:crosses val="max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50800" dist="50800" dir="5400000" sx="1000" sy="1000" algn="ctr" rotWithShape="0">
        <a:srgbClr val="000000">
          <a:alpha val="43137"/>
        </a:srgbClr>
      </a:outerShdw>
    </a:effectLst>
  </c:spPr>
  <c:txPr>
    <a:bodyPr/>
    <a:lstStyle/>
    <a:p>
      <a:pPr>
        <a:defRPr/>
      </a:pPr>
      <a:endParaRPr lang="en-US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Proctor!$A$1</c:f>
              <c:strCache>
                <c:ptCount val="1"/>
              </c:strCache>
            </c:strRef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Proctor!$C$25:$H$25</c:f>
              <c:numCache>
                <c:formatCode>0.00</c:formatCode>
                <c:ptCount val="6"/>
                <c:pt idx="0">
                  <c:v>3.6619718309859071</c:v>
                </c:pt>
                <c:pt idx="1">
                  <c:v>6.6666666666666572</c:v>
                </c:pt>
                <c:pt idx="2">
                  <c:v>9.4841930116472835</c:v>
                </c:pt>
                <c:pt idx="3">
                  <c:v>12.162162162162163</c:v>
                </c:pt>
                <c:pt idx="4">
                  <c:v>15.755208333333368</c:v>
                </c:pt>
                <c:pt idx="5">
                  <c:v>16.870144284128767</c:v>
                </c:pt>
              </c:numCache>
            </c:numRef>
          </c:xVal>
          <c:yVal>
            <c:numRef>
              <c:f>Proctor!$C$16:$H$16</c:f>
              <c:numCache>
                <c:formatCode>0.000</c:formatCode>
                <c:ptCount val="6"/>
                <c:pt idx="0">
                  <c:v>1.687995015231238</c:v>
                </c:pt>
                <c:pt idx="1">
                  <c:v>1.7035031847133759</c:v>
                </c:pt>
                <c:pt idx="2">
                  <c:v>1.7294763130892683</c:v>
                </c:pt>
                <c:pt idx="3">
                  <c:v>1.7790438185864477</c:v>
                </c:pt>
                <c:pt idx="4">
                  <c:v>1.7291046262529279</c:v>
                </c:pt>
                <c:pt idx="5">
                  <c:v>1.7178410486266109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5-0B25-4708-BC1F-A8431C8743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39675424"/>
        <c:axId val="939674336"/>
      </c:scatterChart>
      <c:valAx>
        <c:axId val="939675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OMC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39674336"/>
        <c:crosses val="autoZero"/>
        <c:crossBetween val="midCat"/>
      </c:valAx>
      <c:valAx>
        <c:axId val="9396743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MDD (gm/cc)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396754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'J DST'!$I$38</c:f>
              <c:strCache>
                <c:ptCount val="1"/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7.8648293963254588E-3"/>
                  <c:y val="-0.1569288614009753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'J DST'!$C$37:$C$39</c:f>
              <c:numCache>
                <c:formatCode>General</c:formatCode>
                <c:ptCount val="3"/>
                <c:pt idx="0">
                  <c:v>0.5</c:v>
                </c:pt>
                <c:pt idx="1">
                  <c:v>1</c:v>
                </c:pt>
                <c:pt idx="2">
                  <c:v>1.5</c:v>
                </c:pt>
              </c:numCache>
            </c:numRef>
          </c:xVal>
          <c:yVal>
            <c:numRef>
              <c:f>'J DST'!$D$37:$D$39</c:f>
              <c:numCache>
                <c:formatCode>0.000</c:formatCode>
                <c:ptCount val="3"/>
                <c:pt idx="0">
                  <c:v>0.89958333333333351</c:v>
                </c:pt>
                <c:pt idx="1">
                  <c:v>1.0544848484848486</c:v>
                </c:pt>
                <c:pt idx="2">
                  <c:v>1.4401246105919006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A4BA-4BD6-AD33-AC40366C52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39677600"/>
        <c:axId val="939686304"/>
      </c:scatterChart>
      <c:valAx>
        <c:axId val="9396776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NORMAL</a:t>
                </a:r>
                <a:r>
                  <a:rPr lang="en-US" b="1" baseline="0"/>
                  <a:t> STRESS</a:t>
                </a:r>
                <a:endParaRPr lang="en-US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39686304"/>
        <c:crosses val="autoZero"/>
        <c:crossBetween val="midCat"/>
      </c:valAx>
      <c:valAx>
        <c:axId val="9396863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algn="ctr" rtl="0">
                  <a:defRPr lang="en-US" sz="1000" b="1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1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rPr>
                  <a:t>SHEAR STRESS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algn="ctr" rtl="0">
                <a:defRPr lang="en-US" sz="1000" b="1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396776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'J DST'!$I$38</c:f>
              <c:strCache>
                <c:ptCount val="1"/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7.8648293963254588E-3"/>
                  <c:y val="-0.1569288614009753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'J DST'!$C$78:$C$80</c:f>
              <c:numCache>
                <c:formatCode>General</c:formatCode>
                <c:ptCount val="3"/>
                <c:pt idx="0">
                  <c:v>0.5</c:v>
                </c:pt>
                <c:pt idx="1">
                  <c:v>1</c:v>
                </c:pt>
                <c:pt idx="2">
                  <c:v>1.5</c:v>
                </c:pt>
              </c:numCache>
            </c:numRef>
          </c:xVal>
          <c:yVal>
            <c:numRef>
              <c:f>'J DST'!$D$78:$D$80</c:f>
              <c:numCache>
                <c:formatCode>0.000</c:formatCode>
                <c:ptCount val="3"/>
                <c:pt idx="0">
                  <c:v>0.68049844236760137</c:v>
                </c:pt>
                <c:pt idx="1">
                  <c:v>0.88446428571428581</c:v>
                </c:pt>
                <c:pt idx="2">
                  <c:v>1.4217610062893085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0982-46A3-841C-7A79FACB5B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39679232"/>
        <c:axId val="939671072"/>
      </c:scatterChart>
      <c:valAx>
        <c:axId val="9396792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NORMAL</a:t>
                </a:r>
                <a:r>
                  <a:rPr lang="en-US" b="1" baseline="0"/>
                  <a:t> STRESS</a:t>
                </a:r>
                <a:endParaRPr lang="en-US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39671072"/>
        <c:crosses val="autoZero"/>
        <c:crossBetween val="midCat"/>
      </c:valAx>
      <c:valAx>
        <c:axId val="9396710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algn="ctr" rtl="0">
                  <a:defRPr lang="en-US" sz="1000" b="1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1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rPr>
                  <a:t>SHEAR STRESS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algn="ctr" rtl="0">
                <a:defRPr lang="en-US" sz="1000" b="1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396792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'J DST'!$I$38</c:f>
              <c:strCache>
                <c:ptCount val="1"/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7.8648293963254588E-3"/>
                  <c:y val="-0.1569288614009753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'J DST'!$C$131:$C$133</c:f>
              <c:numCache>
                <c:formatCode>General</c:formatCode>
                <c:ptCount val="3"/>
                <c:pt idx="0">
                  <c:v>0.5</c:v>
                </c:pt>
                <c:pt idx="1">
                  <c:v>1</c:v>
                </c:pt>
                <c:pt idx="2">
                  <c:v>1.5</c:v>
                </c:pt>
              </c:numCache>
            </c:numRef>
          </c:xVal>
          <c:yVal>
            <c:numRef>
              <c:f>'J DST'!$D$131:$D$133</c:f>
              <c:numCache>
                <c:formatCode>0.000</c:formatCode>
                <c:ptCount val="3"/>
                <c:pt idx="0">
                  <c:v>0.40355140186915894</c:v>
                </c:pt>
                <c:pt idx="1">
                  <c:v>0.60036363636363643</c:v>
                </c:pt>
                <c:pt idx="2">
                  <c:v>1.0847916666666668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A9CB-40A9-B216-356A4F2B9B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39579504"/>
        <c:axId val="939578960"/>
      </c:scatterChart>
      <c:valAx>
        <c:axId val="9395795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NORMAL</a:t>
                </a:r>
                <a:r>
                  <a:rPr lang="en-US" b="1" baseline="0"/>
                  <a:t> STRESS</a:t>
                </a:r>
                <a:endParaRPr lang="en-US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39578960"/>
        <c:crosses val="autoZero"/>
        <c:crossBetween val="midCat"/>
      </c:valAx>
      <c:valAx>
        <c:axId val="9395789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algn="ctr" rtl="0">
                  <a:defRPr lang="en-US" sz="1000" b="1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1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rPr>
                  <a:t>SHEAR STRESS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algn="ctr" rtl="0">
                <a:defRPr lang="en-US" sz="1000" b="1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395795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35094347185397"/>
          <c:y val="5.2194543297746143E-2"/>
          <c:w val="0.82160394815039584"/>
          <c:h val="0.61279496520430887"/>
        </c:manualLayout>
      </c:layout>
      <c:scatterChart>
        <c:scatterStyle val="smoothMarker"/>
        <c:varyColors val="0"/>
        <c:ser>
          <c:idx val="3"/>
          <c:order val="0"/>
          <c:tx>
            <c:strRef>
              <c:f>'J CBR'!$D$1</c:f>
              <c:strCache>
                <c:ptCount val="1"/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'J CBR'!$C$8:$C$20</c:f>
              <c:numCache>
                <c:formatCode>General</c:formatCode>
                <c:ptCount val="13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</c:numCache>
            </c:numRef>
          </c:xVal>
          <c:yVal>
            <c:numRef>
              <c:f>'J CBR'!$E$8:$E$20</c:f>
              <c:numCache>
                <c:formatCode>0.000</c:formatCode>
                <c:ptCount val="13"/>
                <c:pt idx="0">
                  <c:v>0</c:v>
                </c:pt>
                <c:pt idx="1">
                  <c:v>14.478</c:v>
                </c:pt>
                <c:pt idx="2">
                  <c:v>30.225999999999999</c:v>
                </c:pt>
                <c:pt idx="3">
                  <c:v>46.99</c:v>
                </c:pt>
                <c:pt idx="4">
                  <c:v>63.5</c:v>
                </c:pt>
                <c:pt idx="5">
                  <c:v>83.566000000000003</c:v>
                </c:pt>
                <c:pt idx="6">
                  <c:v>103.63200000000001</c:v>
                </c:pt>
                <c:pt idx="7">
                  <c:v>122.428</c:v>
                </c:pt>
                <c:pt idx="8">
                  <c:v>140.97</c:v>
                </c:pt>
                <c:pt idx="9">
                  <c:v>157.73400000000001</c:v>
                </c:pt>
                <c:pt idx="10">
                  <c:v>173.73599999999999</c:v>
                </c:pt>
                <c:pt idx="11">
                  <c:v>188.46799999999999</c:v>
                </c:pt>
                <c:pt idx="12">
                  <c:v>204.47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0236-4E61-A4CD-131A0DF131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5935936"/>
        <c:axId val="1105929408"/>
      </c:scatterChart>
      <c:valAx>
        <c:axId val="11059359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rgbClr val="00B0F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rgbClr val="00B0F0"/>
                    </a:solidFill>
                  </a:rPr>
                  <a:t>penetration in mm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rgbClr val="00B0F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5929408"/>
        <c:crosses val="autoZero"/>
        <c:crossBetween val="midCat"/>
        <c:majorUnit val="0.5"/>
      </c:valAx>
      <c:valAx>
        <c:axId val="1105929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rgbClr val="00B0F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rgbClr val="00B0F0"/>
                    </a:solidFill>
                  </a:rPr>
                  <a:t>load on piston (kg)</a:t>
                </a:r>
              </a:p>
            </c:rich>
          </c:tx>
          <c:layout>
            <c:manualLayout>
              <c:xMode val="edge"/>
              <c:yMode val="edge"/>
              <c:x val="9.2205391848678864E-3"/>
              <c:y val="0.1727646347468973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rgbClr val="00B0F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593593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13241691844364745"/>
          <c:y val="0.83726519873678318"/>
          <c:w val="0.74660676693150718"/>
          <c:h val="0.1340458631454822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rgbClr val="00B05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25400" cap="flat" cmpd="sng" algn="ctr">
      <a:solidFill>
        <a:schemeClr val="dk1"/>
      </a:solidFill>
      <a:prstDash val="solid"/>
      <a:round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35094347185397"/>
          <c:y val="5.2194543297746143E-2"/>
          <c:w val="0.82160394815039584"/>
          <c:h val="0.61279496520430887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'J CBR'!$A$3</c:f>
              <c:strCache>
                <c:ptCount val="1"/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'J CBR'!$C$8:$C$20</c:f>
              <c:numCache>
                <c:formatCode>General</c:formatCode>
                <c:ptCount val="13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</c:numCache>
            </c:numRef>
          </c:xVal>
          <c:yVal>
            <c:numRef>
              <c:f>'J CBR'!$G$8:$G$20</c:f>
              <c:numCache>
                <c:formatCode>0.000</c:formatCode>
                <c:ptCount val="13"/>
                <c:pt idx="0">
                  <c:v>0</c:v>
                </c:pt>
                <c:pt idx="1">
                  <c:v>8.3819999999999997</c:v>
                </c:pt>
                <c:pt idx="2">
                  <c:v>13.208</c:v>
                </c:pt>
                <c:pt idx="3">
                  <c:v>17.78</c:v>
                </c:pt>
                <c:pt idx="4">
                  <c:v>22.352</c:v>
                </c:pt>
                <c:pt idx="5">
                  <c:v>27.178000000000001</c:v>
                </c:pt>
                <c:pt idx="6">
                  <c:v>31.496000000000002</c:v>
                </c:pt>
                <c:pt idx="7">
                  <c:v>35.814</c:v>
                </c:pt>
                <c:pt idx="8">
                  <c:v>40.131999999999998</c:v>
                </c:pt>
                <c:pt idx="9">
                  <c:v>43.688000000000002</c:v>
                </c:pt>
                <c:pt idx="10">
                  <c:v>48.006</c:v>
                </c:pt>
                <c:pt idx="11">
                  <c:v>51.816000000000003</c:v>
                </c:pt>
                <c:pt idx="12">
                  <c:v>55.88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6E1E-4112-9336-4EF014BB6B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5935392"/>
        <c:axId val="1105936480"/>
      </c:scatterChart>
      <c:valAx>
        <c:axId val="11059353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rgbClr val="00B0F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rgbClr val="00B0F0"/>
                    </a:solidFill>
                  </a:rPr>
                  <a:t>penetration in mm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rgbClr val="00B0F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5936480"/>
        <c:crosses val="autoZero"/>
        <c:crossBetween val="midCat"/>
        <c:majorUnit val="0.5"/>
      </c:valAx>
      <c:valAx>
        <c:axId val="11059364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rgbClr val="00B0F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rgbClr val="00B0F0"/>
                    </a:solidFill>
                  </a:rPr>
                  <a:t>load on piston (kg)</a:t>
                </a:r>
              </a:p>
            </c:rich>
          </c:tx>
          <c:layout>
            <c:manualLayout>
              <c:xMode val="edge"/>
              <c:yMode val="edge"/>
              <c:x val="9.2205391848678864E-3"/>
              <c:y val="0.1727646347468973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rgbClr val="00B0F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5935392"/>
        <c:crosses val="autoZero"/>
        <c:crossBetween val="midCat"/>
      </c:valAx>
      <c:spPr>
        <a:noFill/>
        <a:ln w="25400">
          <a:noFill/>
        </a:ln>
        <a:effectLst/>
      </c:spPr>
    </c:plotArea>
    <c:legend>
      <c:legendPos val="r"/>
      <c:layout>
        <c:manualLayout>
          <c:xMode val="edge"/>
          <c:yMode val="edge"/>
          <c:x val="0.13241695491733163"/>
          <c:y val="0.83726524056835916"/>
          <c:w val="0.80092765974530222"/>
          <c:h val="0.1627348625321197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rgbClr val="00B05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25400" cap="flat" cmpd="sng" algn="ctr">
      <a:solidFill>
        <a:schemeClr val="dk1"/>
      </a:solidFill>
      <a:prstDash val="solid"/>
      <a:round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35094347185397"/>
          <c:y val="5.2194543297746143E-2"/>
          <c:w val="0.82160394815039584"/>
          <c:h val="0.61279496520430887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'J CBR'!$A$4</c:f>
              <c:strCache>
                <c:ptCount val="1"/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'J CBR'!$C$8:$C$20</c:f>
              <c:numCache>
                <c:formatCode>General</c:formatCode>
                <c:ptCount val="13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</c:numCache>
            </c:numRef>
          </c:xVal>
          <c:yVal>
            <c:numRef>
              <c:f>'J CBR'!$I$8:$I$20</c:f>
              <c:numCache>
                <c:formatCode>0.000</c:formatCode>
                <c:ptCount val="13"/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4219-4BCF-8387-1FF98D3939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5928320"/>
        <c:axId val="1105927232"/>
      </c:scatterChart>
      <c:valAx>
        <c:axId val="11059283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rgbClr val="00B0F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rgbClr val="00B0F0"/>
                    </a:solidFill>
                  </a:rPr>
                  <a:t>penetration in mm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rgbClr val="00B0F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5927232"/>
        <c:crosses val="autoZero"/>
        <c:crossBetween val="midCat"/>
        <c:majorUnit val="0.5"/>
      </c:valAx>
      <c:valAx>
        <c:axId val="11059272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rgbClr val="00B0F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rgbClr val="00B0F0"/>
                    </a:solidFill>
                  </a:rPr>
                  <a:t>load on piston (kg)</a:t>
                </a:r>
              </a:p>
            </c:rich>
          </c:tx>
          <c:layout>
            <c:manualLayout>
              <c:xMode val="edge"/>
              <c:yMode val="edge"/>
              <c:x val="9.2205391848678864E-3"/>
              <c:y val="0.1727646347468973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rgbClr val="00B0F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592832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13241691844364745"/>
          <c:y val="0.83726519873678318"/>
          <c:w val="0.80092765974530222"/>
          <c:h val="0.1627348625321197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rgbClr val="00B05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25400" cap="flat" cmpd="sng" algn="ctr">
      <a:solidFill>
        <a:schemeClr val="dk1"/>
      </a:solidFill>
      <a:prstDash val="solid"/>
      <a:round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35094347185397"/>
          <c:y val="5.2194543297746143E-2"/>
          <c:w val="0.82160394815039584"/>
          <c:h val="0.61279496520430887"/>
        </c:manualLayout>
      </c:layout>
      <c:scatterChart>
        <c:scatterStyle val="smoothMarker"/>
        <c:varyColors val="0"/>
        <c:ser>
          <c:idx val="3"/>
          <c:order val="0"/>
          <c:tx>
            <c:v>FINE SAND 90% SOAKED CONDITION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'[1]FINE (2)'!$C$26:$C$40</c:f>
              <c:numCache>
                <c:formatCode>General</c:formatCode>
                <c:ptCount val="15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  <c:pt idx="13">
                  <c:v>6.5</c:v>
                </c:pt>
                <c:pt idx="14">
                  <c:v>7</c:v>
                </c:pt>
              </c:numCache>
            </c:numRef>
          </c:xVal>
          <c:yVal>
            <c:numRef>
              <c:f>'[1]FINE (2)'!$F$26:$F$38</c:f>
              <c:numCache>
                <c:formatCode>General</c:formatCode>
                <c:ptCount val="13"/>
                <c:pt idx="0">
                  <c:v>0</c:v>
                </c:pt>
                <c:pt idx="1">
                  <c:v>22.2</c:v>
                </c:pt>
                <c:pt idx="2">
                  <c:v>38.85</c:v>
                </c:pt>
                <c:pt idx="3">
                  <c:v>52.725000000000001</c:v>
                </c:pt>
                <c:pt idx="4">
                  <c:v>59.662500000000001</c:v>
                </c:pt>
                <c:pt idx="5">
                  <c:v>66.599999999999994</c:v>
                </c:pt>
                <c:pt idx="6">
                  <c:v>69.375</c:v>
                </c:pt>
                <c:pt idx="7">
                  <c:v>72.149999999999991</c:v>
                </c:pt>
                <c:pt idx="8">
                  <c:v>69.375</c:v>
                </c:pt>
                <c:pt idx="9">
                  <c:v>58.274999999999999</c:v>
                </c:pt>
                <c:pt idx="10">
                  <c:v>55.5</c:v>
                </c:pt>
                <c:pt idx="11">
                  <c:v>52.725000000000001</c:v>
                </c:pt>
                <c:pt idx="12">
                  <c:v>49.949999999999996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C8E8-4057-901C-27E772CDD1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5938112"/>
        <c:axId val="1105938656"/>
      </c:scatterChart>
      <c:valAx>
        <c:axId val="11059381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rgbClr val="00B0F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rgbClr val="00B0F0"/>
                    </a:solidFill>
                  </a:rPr>
                  <a:t>penetration in mm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rgbClr val="00B0F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5938656"/>
        <c:crosses val="autoZero"/>
        <c:crossBetween val="midCat"/>
        <c:majorUnit val="0.5"/>
      </c:valAx>
      <c:valAx>
        <c:axId val="11059386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rgbClr val="00B0F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rgbClr val="00B0F0"/>
                    </a:solidFill>
                  </a:rPr>
                  <a:t>load on piston (kg)</a:t>
                </a:r>
              </a:p>
            </c:rich>
          </c:tx>
          <c:layout>
            <c:manualLayout>
              <c:xMode val="edge"/>
              <c:yMode val="edge"/>
              <c:x val="9.2205391848678864E-3"/>
              <c:y val="0.1727646347468973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rgbClr val="00B0F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593811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13241691844364745"/>
          <c:y val="0.83726519873678318"/>
          <c:w val="0.74660676693150718"/>
          <c:h val="0.1340458631454822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rgbClr val="00B05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25400" cap="flat" cmpd="sng" algn="ctr">
      <a:solidFill>
        <a:schemeClr val="dk1"/>
      </a:solidFill>
      <a:prstDash val="solid"/>
      <a:round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35094347185397"/>
          <c:y val="5.2194543297746143E-2"/>
          <c:w val="0.82160394815039584"/>
          <c:h val="0.61279496520430887"/>
        </c:manualLayout>
      </c:layout>
      <c:scatterChart>
        <c:scatterStyle val="smoothMarker"/>
        <c:varyColors val="0"/>
        <c:ser>
          <c:idx val="3"/>
          <c:order val="0"/>
          <c:tx>
            <c:v>FINE SAND 70% SOAKED CONDITION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'[1]FINE (2)'!$C$26:$C$40</c:f>
              <c:numCache>
                <c:formatCode>General</c:formatCode>
                <c:ptCount val="15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  <c:pt idx="13">
                  <c:v>6.5</c:v>
                </c:pt>
                <c:pt idx="14">
                  <c:v>7</c:v>
                </c:pt>
              </c:numCache>
            </c:numRef>
          </c:xVal>
          <c:yVal>
            <c:numRef>
              <c:f>'[1]FINE (2)'!$I$26:$I$38</c:f>
              <c:numCache>
                <c:formatCode>General</c:formatCode>
                <c:ptCount val="13"/>
                <c:pt idx="0">
                  <c:v>0</c:v>
                </c:pt>
                <c:pt idx="1">
                  <c:v>2.7749999999999999</c:v>
                </c:pt>
                <c:pt idx="2">
                  <c:v>13.875</c:v>
                </c:pt>
                <c:pt idx="3">
                  <c:v>24.974999999999998</c:v>
                </c:pt>
                <c:pt idx="4">
                  <c:v>33.299999999999997</c:v>
                </c:pt>
                <c:pt idx="5">
                  <c:v>41.625</c:v>
                </c:pt>
                <c:pt idx="6">
                  <c:v>52.725000000000001</c:v>
                </c:pt>
                <c:pt idx="7">
                  <c:v>58.274999999999999</c:v>
                </c:pt>
                <c:pt idx="8">
                  <c:v>55.5</c:v>
                </c:pt>
                <c:pt idx="9">
                  <c:v>52.725000000000001</c:v>
                </c:pt>
                <c:pt idx="10">
                  <c:v>52.725000000000001</c:v>
                </c:pt>
                <c:pt idx="11">
                  <c:v>49.949999999999996</c:v>
                </c:pt>
                <c:pt idx="12">
                  <c:v>47.174999999999997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6A05-4076-95A7-711E42E05A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5927776"/>
        <c:axId val="1105926144"/>
      </c:scatterChart>
      <c:valAx>
        <c:axId val="11059277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rgbClr val="00B0F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rgbClr val="00B0F0"/>
                    </a:solidFill>
                  </a:rPr>
                  <a:t>penetration in mm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rgbClr val="00B0F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5926144"/>
        <c:crosses val="autoZero"/>
        <c:crossBetween val="midCat"/>
        <c:majorUnit val="0.5"/>
      </c:valAx>
      <c:valAx>
        <c:axId val="11059261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rgbClr val="00B0F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rgbClr val="00B0F0"/>
                    </a:solidFill>
                  </a:rPr>
                  <a:t>load on piston (kg)</a:t>
                </a:r>
              </a:p>
            </c:rich>
          </c:tx>
          <c:layout>
            <c:manualLayout>
              <c:xMode val="edge"/>
              <c:yMode val="edge"/>
              <c:x val="9.2205391848678864E-3"/>
              <c:y val="0.1727646347468973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rgbClr val="00B0F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5927776"/>
        <c:crosses val="autoZero"/>
        <c:crossBetween val="midCat"/>
        <c:majorUnit val="10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13241691844364745"/>
          <c:y val="0.83726519873678318"/>
          <c:w val="0.74660676693150718"/>
          <c:h val="0.1340458631454822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rgbClr val="00B05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25400" cap="flat" cmpd="sng" algn="ctr">
      <a:solidFill>
        <a:schemeClr val="dk1"/>
      </a:solidFill>
      <a:prstDash val="solid"/>
      <a:round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35094347185397"/>
          <c:y val="5.2194543297746143E-2"/>
          <c:w val="0.82160394815039584"/>
          <c:h val="0.61279496520430887"/>
        </c:manualLayout>
      </c:layout>
      <c:scatterChart>
        <c:scatterStyle val="smoothMarker"/>
        <c:varyColors val="0"/>
        <c:ser>
          <c:idx val="3"/>
          <c:order val="0"/>
          <c:tx>
            <c:v>FINE SAND 50% SOAKED CONDITION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'[1]FINE (2)'!$C$26:$C$40</c:f>
              <c:numCache>
                <c:formatCode>General</c:formatCode>
                <c:ptCount val="15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  <c:pt idx="13">
                  <c:v>6.5</c:v>
                </c:pt>
                <c:pt idx="14">
                  <c:v>7</c:v>
                </c:pt>
              </c:numCache>
            </c:numRef>
          </c:xVal>
          <c:yVal>
            <c:numRef>
              <c:f>'[1]FINE (2)'!$L$26:$L$38</c:f>
              <c:numCache>
                <c:formatCode>General</c:formatCode>
                <c:ptCount val="13"/>
                <c:pt idx="0">
                  <c:v>0</c:v>
                </c:pt>
                <c:pt idx="1">
                  <c:v>2.7749999999999999</c:v>
                </c:pt>
                <c:pt idx="2">
                  <c:v>5.55</c:v>
                </c:pt>
                <c:pt idx="3">
                  <c:v>11.1</c:v>
                </c:pt>
                <c:pt idx="4">
                  <c:v>19.425000000000001</c:v>
                </c:pt>
                <c:pt idx="5">
                  <c:v>27.75</c:v>
                </c:pt>
                <c:pt idx="6">
                  <c:v>36.074999999999996</c:v>
                </c:pt>
                <c:pt idx="7">
                  <c:v>44.4</c:v>
                </c:pt>
                <c:pt idx="8">
                  <c:v>49.949999999999996</c:v>
                </c:pt>
                <c:pt idx="9">
                  <c:v>55.5</c:v>
                </c:pt>
                <c:pt idx="10">
                  <c:v>63.824999999999996</c:v>
                </c:pt>
                <c:pt idx="11">
                  <c:v>69.375</c:v>
                </c:pt>
                <c:pt idx="12">
                  <c:v>72.149999999999991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97AB-46EE-8EFF-1F5BE0EB3E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5930496"/>
        <c:axId val="1105933760"/>
      </c:scatterChart>
      <c:valAx>
        <c:axId val="11059304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rgbClr val="00B0F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rgbClr val="00B0F0"/>
                    </a:solidFill>
                  </a:rPr>
                  <a:t>penetration in mm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rgbClr val="00B0F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5933760"/>
        <c:crosses val="autoZero"/>
        <c:crossBetween val="midCat"/>
        <c:majorUnit val="0.5"/>
      </c:valAx>
      <c:valAx>
        <c:axId val="11059337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rgbClr val="00B0F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rgbClr val="00B0F0"/>
                    </a:solidFill>
                  </a:rPr>
                  <a:t>load on piston (kg)</a:t>
                </a:r>
              </a:p>
            </c:rich>
          </c:tx>
          <c:layout>
            <c:manualLayout>
              <c:xMode val="edge"/>
              <c:yMode val="edge"/>
              <c:x val="9.2205391848678864E-3"/>
              <c:y val="0.1727646347468973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rgbClr val="00B0F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593049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13241691844364745"/>
          <c:y val="0.83726519873678318"/>
          <c:w val="0.74660676693150718"/>
          <c:h val="0.1340458631454822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rgbClr val="00B05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25400" cap="flat" cmpd="sng" algn="ctr">
      <a:solidFill>
        <a:schemeClr val="dk1"/>
      </a:solidFill>
      <a:prstDash val="solid"/>
      <a:round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35094347185397"/>
          <c:y val="5.2194543297746143E-2"/>
          <c:w val="0.82160394815039584"/>
          <c:h val="0.61279496520430887"/>
        </c:manualLayout>
      </c:layout>
      <c:scatterChart>
        <c:scatterStyle val="smoothMarker"/>
        <c:varyColors val="0"/>
        <c:ser>
          <c:idx val="3"/>
          <c:order val="0"/>
          <c:tx>
            <c:v>FINE SAND 50% SOAKED CONDITION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'[1]FINE (2)'!$C$26:$C$40</c:f>
              <c:numCache>
                <c:formatCode>General</c:formatCode>
                <c:ptCount val="15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  <c:pt idx="13">
                  <c:v>6.5</c:v>
                </c:pt>
                <c:pt idx="14">
                  <c:v>7</c:v>
                </c:pt>
              </c:numCache>
            </c:numRef>
          </c:xVal>
          <c:yVal>
            <c:numRef>
              <c:f>'[1]FINE (2)'!$L$26:$L$38</c:f>
              <c:numCache>
                <c:formatCode>General</c:formatCode>
                <c:ptCount val="13"/>
                <c:pt idx="0">
                  <c:v>0</c:v>
                </c:pt>
                <c:pt idx="1">
                  <c:v>2.7749999999999999</c:v>
                </c:pt>
                <c:pt idx="2">
                  <c:v>5.55</c:v>
                </c:pt>
                <c:pt idx="3">
                  <c:v>11.1</c:v>
                </c:pt>
                <c:pt idx="4">
                  <c:v>19.425000000000001</c:v>
                </c:pt>
                <c:pt idx="5">
                  <c:v>27.75</c:v>
                </c:pt>
                <c:pt idx="6">
                  <c:v>36.074999999999996</c:v>
                </c:pt>
                <c:pt idx="7">
                  <c:v>44.4</c:v>
                </c:pt>
                <c:pt idx="8">
                  <c:v>49.949999999999996</c:v>
                </c:pt>
                <c:pt idx="9">
                  <c:v>55.5</c:v>
                </c:pt>
                <c:pt idx="10">
                  <c:v>63.824999999999996</c:v>
                </c:pt>
                <c:pt idx="11">
                  <c:v>69.375</c:v>
                </c:pt>
                <c:pt idx="12">
                  <c:v>72.149999999999991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6BA7-4D69-9CA7-A3E1198D76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5932128"/>
        <c:axId val="1105940832"/>
      </c:scatterChart>
      <c:valAx>
        <c:axId val="11059321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rgbClr val="00B0F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rgbClr val="00B0F0"/>
                    </a:solidFill>
                  </a:rPr>
                  <a:t>penetration in mm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rgbClr val="00B0F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5940832"/>
        <c:crosses val="autoZero"/>
        <c:crossBetween val="midCat"/>
        <c:majorUnit val="0.5"/>
      </c:valAx>
      <c:valAx>
        <c:axId val="11059408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rgbClr val="00B0F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rgbClr val="00B0F0"/>
                    </a:solidFill>
                  </a:rPr>
                  <a:t>load on piston (kg)</a:t>
                </a:r>
              </a:p>
            </c:rich>
          </c:tx>
          <c:layout>
            <c:manualLayout>
              <c:xMode val="edge"/>
              <c:yMode val="edge"/>
              <c:x val="9.2205391848678864E-3"/>
              <c:y val="0.1727646347468973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rgbClr val="00B0F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59321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13241691844364745"/>
          <c:y val="0.83726519873678318"/>
          <c:w val="0.74660676693150718"/>
          <c:h val="0.1340458631454822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rgbClr val="00B05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25400" cap="flat" cmpd="sng" algn="ctr">
      <a:solidFill>
        <a:schemeClr val="dk1"/>
      </a:solidFill>
      <a:prstDash val="solid"/>
      <a:round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'Trial sheet'!$Y$36</c:f>
              <c:strCache>
                <c:ptCount val="1"/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intercept val="0"/>
            <c:dispRSqr val="0"/>
            <c:dispEq val="1"/>
            <c:trendlineLbl>
              <c:layout>
                <c:manualLayout>
                  <c:x val="2.170384951881015E-3"/>
                  <c:y val="-0.1376786905935479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'Trial sheet'!$C$82:$C$85</c:f>
              <c:numCache>
                <c:formatCode>General</c:formatCode>
                <c:ptCount val="4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</c:numCache>
            </c:numRef>
          </c:xVal>
          <c:yVal>
            <c:numRef>
              <c:f>'Trial sheet'!$D$82:$D$85</c:f>
              <c:numCache>
                <c:formatCode>0.000</c:formatCode>
                <c:ptCount val="4"/>
                <c:pt idx="0" formatCode="General">
                  <c:v>0</c:v>
                </c:pt>
                <c:pt idx="1">
                  <c:v>0.43818713450292396</c:v>
                </c:pt>
                <c:pt idx="2">
                  <c:v>0.8540935672514619</c:v>
                </c:pt>
                <c:pt idx="3">
                  <c:v>1.1763421828908553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5FE2-4E29-9C1C-CF77A50E8B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7474336"/>
        <c:axId val="1107475424"/>
      </c:scatterChart>
      <c:valAx>
        <c:axId val="11074743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NORMAL</a:t>
                </a:r>
                <a:r>
                  <a:rPr lang="en-US" b="1" baseline="0"/>
                  <a:t> STRESS</a:t>
                </a:r>
                <a:endParaRPr lang="en-US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7475424"/>
        <c:crosses val="autoZero"/>
        <c:crossBetween val="midCat"/>
      </c:valAx>
      <c:valAx>
        <c:axId val="11074754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algn="ctr" rtl="0">
                  <a:defRPr lang="en-US" sz="1000" b="1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1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rPr>
                  <a:t>SHEAR STRESS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algn="ctr" rtl="0">
                <a:defRPr lang="en-US" sz="1000" b="1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74743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'Trial sheet'!$B$22</c:f>
              <c:strCache>
                <c:ptCount val="1"/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9.2556867891513562E-3"/>
                  <c:y val="-0.13807086614173228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'Trial sheet'!$C$36:$C$39</c:f>
              <c:numCache>
                <c:formatCode>General</c:formatCode>
                <c:ptCount val="4"/>
                <c:pt idx="0">
                  <c:v>0</c:v>
                </c:pt>
                <c:pt idx="1">
                  <c:v>0.65</c:v>
                </c:pt>
                <c:pt idx="2">
                  <c:v>1.1499999999999999</c:v>
                </c:pt>
                <c:pt idx="3">
                  <c:v>1.65</c:v>
                </c:pt>
              </c:numCache>
            </c:numRef>
          </c:xVal>
          <c:yVal>
            <c:numRef>
              <c:f>'Trial sheet'!$D$36:$D$39</c:f>
              <c:numCache>
                <c:formatCode>0.000</c:formatCode>
                <c:ptCount val="4"/>
                <c:pt idx="0" formatCode="General">
                  <c:v>0</c:v>
                </c:pt>
                <c:pt idx="1">
                  <c:v>0.79513043478260881</c:v>
                </c:pt>
                <c:pt idx="2">
                  <c:v>1.2105847953216373</c:v>
                </c:pt>
                <c:pt idx="3">
                  <c:v>1.4835398230088495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D8C7-4ED8-B206-93CA42ECFD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7469440"/>
        <c:axId val="1107469984"/>
      </c:scatterChart>
      <c:valAx>
        <c:axId val="11074694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7469984"/>
        <c:crosses val="autoZero"/>
        <c:crossBetween val="midCat"/>
      </c:valAx>
      <c:valAx>
        <c:axId val="1107469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746944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25400" cap="flat" cmpd="dbl" algn="ctr">
              <a:solidFill>
                <a:srgbClr val="00B050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tx1"/>
              </a:solidFill>
              <a:ln w="34925" cap="flat" cmpd="dbl" algn="ctr">
                <a:solidFill>
                  <a:srgbClr val="00B050"/>
                </a:solidFill>
                <a:round/>
              </a:ln>
              <a:effectLst/>
            </c:spPr>
          </c:marker>
          <c:xVal>
            <c:numRef>
              <c:f>'Sieve Analysis'!$A$4:$A$11</c:f>
              <c:numCache>
                <c:formatCode>0.000</c:formatCode>
                <c:ptCount val="8"/>
                <c:pt idx="0">
                  <c:v>4.75</c:v>
                </c:pt>
                <c:pt idx="1">
                  <c:v>2.36</c:v>
                </c:pt>
                <c:pt idx="2">
                  <c:v>1.18</c:v>
                </c:pt>
                <c:pt idx="3">
                  <c:v>0.6</c:v>
                </c:pt>
                <c:pt idx="4">
                  <c:v>0.42499999999999999</c:v>
                </c:pt>
                <c:pt idx="5">
                  <c:v>0.3</c:v>
                </c:pt>
                <c:pt idx="6">
                  <c:v>0.15</c:v>
                </c:pt>
                <c:pt idx="7">
                  <c:v>7.4999999999999997E-2</c:v>
                </c:pt>
              </c:numCache>
            </c:numRef>
          </c:xVal>
          <c:yVal>
            <c:numRef>
              <c:f>'Sieve Analysis'!$E$4:$E$11</c:f>
              <c:numCache>
                <c:formatCode>0.00</c:formatCode>
                <c:ptCount val="8"/>
                <c:pt idx="0">
                  <c:v>90.1</c:v>
                </c:pt>
                <c:pt idx="1">
                  <c:v>83.75</c:v>
                </c:pt>
                <c:pt idx="2">
                  <c:v>52.599999999999994</c:v>
                </c:pt>
                <c:pt idx="3">
                  <c:v>24.399999999999991</c:v>
                </c:pt>
                <c:pt idx="4">
                  <c:v>7.0749999999999886</c:v>
                </c:pt>
                <c:pt idx="5">
                  <c:v>1.3499999999999943</c:v>
                </c:pt>
                <c:pt idx="6">
                  <c:v>0.5</c:v>
                </c:pt>
                <c:pt idx="7">
                  <c:v>0.125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E7F3-4AF6-A29F-8758930F41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7473792"/>
        <c:axId val="1107471616"/>
      </c:scatterChart>
      <c:valAx>
        <c:axId val="110747379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Partical Size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7471616"/>
        <c:crosses val="autoZero"/>
        <c:crossBetween val="midCat"/>
      </c:valAx>
      <c:valAx>
        <c:axId val="1107471616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Percentage Fines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7473792"/>
        <c:crosses val="max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 P DST'!$Y$36</c:f>
              <c:strCache>
                <c:ptCount val="1"/>
              </c:strCache>
            </c:strRef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trendline>
            <c:spPr>
              <a:ln w="25400" cap="rnd">
                <a:solidFill>
                  <a:schemeClr val="accent1">
                    <a:alpha val="50000"/>
                  </a:schemeClr>
                </a:solidFill>
              </a:ln>
              <a:effectLst/>
            </c:spPr>
            <c:trendlineType val="linear"/>
            <c:dispRSqr val="0"/>
            <c:dispEq val="0"/>
          </c:trendline>
          <c:trendline>
            <c:spPr>
              <a:ln w="25400" cap="rnd">
                <a:solidFill>
                  <a:schemeClr val="accent1">
                    <a:alpha val="50000"/>
                  </a:schemeClr>
                </a:solidFill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-9.0807113841060328E-4"/>
                  <c:y val="-0.16595951120491795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900" b="0" i="0" u="none" strike="noStrike" kern="1200" baseline="0">
                        <a:solidFill>
                          <a:schemeClr val="lt1">
                            <a:lumMod val="7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baseline="0"/>
                      <a:t>y = 0.6801x </a:t>
                    </a:r>
                    <a:endParaRPr lang="en-US"/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lt1">
                          <a:lumMod val="7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 P DST'!$C$39:$C$42</c:f>
              <c:numCache>
                <c:formatCode>General</c:formatCode>
                <c:ptCount val="4"/>
                <c:pt idx="0">
                  <c:v>0</c:v>
                </c:pt>
                <c:pt idx="1">
                  <c:v>0.65</c:v>
                </c:pt>
                <c:pt idx="2">
                  <c:v>1.1499999999999999</c:v>
                </c:pt>
                <c:pt idx="3">
                  <c:v>1.65</c:v>
                </c:pt>
              </c:numCache>
            </c:numRef>
          </c:xVal>
          <c:yVal>
            <c:numRef>
              <c:f>' P DST'!$D$39:$D$42</c:f>
              <c:numCache>
                <c:formatCode>0.000</c:formatCode>
                <c:ptCount val="4"/>
                <c:pt idx="0" formatCode="General">
                  <c:v>0</c:v>
                </c:pt>
                <c:pt idx="1">
                  <c:v>0.58898550724637677</c:v>
                </c:pt>
                <c:pt idx="2">
                  <c:v>0.82438596491228056</c:v>
                </c:pt>
                <c:pt idx="3">
                  <c:v>1.146371681415929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C0C1-4517-A960-9ACCAF21DE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7475968"/>
        <c:axId val="1152809552"/>
      </c:scatterChart>
      <c:valAx>
        <c:axId val="11074759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NORMAL STRESS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2809552"/>
        <c:crosses val="autoZero"/>
        <c:crossBetween val="midCat"/>
      </c:valAx>
      <c:valAx>
        <c:axId val="11528095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SHEAR STRESS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74759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 P DST'!$Y$36</c:f>
              <c:strCache>
                <c:ptCount val="1"/>
              </c:strCache>
            </c:strRef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25400" cap="rnd">
                <a:solidFill>
                  <a:schemeClr val="accent1">
                    <a:alpha val="50000"/>
                  </a:schemeClr>
                </a:solidFill>
              </a:ln>
              <a:effectLst/>
            </c:spPr>
            <c:trendlineType val="linear"/>
            <c:dispRSqr val="0"/>
            <c:dispEq val="0"/>
          </c:trendline>
          <c:trendline>
            <c:spPr>
              <a:ln w="25400" cap="rnd">
                <a:solidFill>
                  <a:schemeClr val="accent1">
                    <a:alpha val="50000"/>
                  </a:schemeClr>
                </a:solidFill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3.1235773951492577E-2"/>
                  <c:y val="-0.14975543314698123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900" b="0" i="0" u="none" strike="noStrike" kern="1200" baseline="0">
                        <a:solidFill>
                          <a:schemeClr val="lt1">
                            <a:lumMod val="7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baseline="0"/>
                      <a:t>y = 0.9031x </a:t>
                    </a:r>
                    <a:endParaRPr lang="en-US"/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lt1">
                          <a:lumMod val="7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 P DST'!$C$81:$C$84</c:f>
              <c:numCache>
                <c:formatCode>General</c:formatCode>
                <c:ptCount val="4"/>
                <c:pt idx="0">
                  <c:v>0</c:v>
                </c:pt>
                <c:pt idx="1">
                  <c:v>0.65</c:v>
                </c:pt>
                <c:pt idx="2">
                  <c:v>1.1499999999999999</c:v>
                </c:pt>
                <c:pt idx="3">
                  <c:v>1.65</c:v>
                </c:pt>
              </c:numCache>
            </c:numRef>
          </c:xVal>
          <c:yVal>
            <c:numRef>
              <c:f>' P DST'!$D$81:$D$84</c:f>
              <c:numCache>
                <c:formatCode>0.000</c:formatCode>
                <c:ptCount val="4"/>
                <c:pt idx="0" formatCode="General">
                  <c:v>0</c:v>
                </c:pt>
                <c:pt idx="1">
                  <c:v>0.79513043478260881</c:v>
                </c:pt>
                <c:pt idx="2">
                  <c:v>1.2105847953216373</c:v>
                </c:pt>
                <c:pt idx="3">
                  <c:v>1.4835398230088495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F7C1-4846-86DE-AF66E9AF1E03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1152812816"/>
        <c:axId val="1152807376"/>
      </c:scatterChart>
      <c:valAx>
        <c:axId val="11528128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NORMAL STRESS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2807376"/>
        <c:crosses val="autoZero"/>
        <c:crossBetween val="midCat"/>
      </c:valAx>
      <c:valAx>
        <c:axId val="1152807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SHEAR STRESS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28128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 P DST'!$Y$36</c:f>
              <c:strCache>
                <c:ptCount val="1"/>
              </c:strCache>
            </c:strRef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trendline>
            <c:spPr>
              <a:ln w="25400" cap="rnd">
                <a:solidFill>
                  <a:schemeClr val="accent1">
                    <a:alpha val="50000"/>
                  </a:schemeClr>
                </a:solidFill>
              </a:ln>
              <a:effectLst/>
            </c:spPr>
            <c:trendlineType val="linear"/>
            <c:dispRSqr val="0"/>
            <c:dispEq val="0"/>
          </c:trendline>
          <c:trendline>
            <c:spPr>
              <a:ln w="25400" cap="rnd">
                <a:solidFill>
                  <a:schemeClr val="accent1">
                    <a:alpha val="50000"/>
                  </a:schemeClr>
                </a:solidFill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2.138791779658248E-2"/>
                  <c:y val="-0.12342309254614441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900" b="0" i="0" u="none" strike="noStrike" kern="1200" baseline="0">
                        <a:solidFill>
                          <a:schemeClr val="lt1">
                            <a:lumMod val="7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baseline="0"/>
                      <a:t>y = 1.0218x</a:t>
                    </a:r>
                    <a:endParaRPr lang="en-US"/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lt1">
                          <a:lumMod val="7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 P DST'!$C$122:$C$125</c:f>
              <c:numCache>
                <c:formatCode>General</c:formatCode>
                <c:ptCount val="4"/>
                <c:pt idx="0">
                  <c:v>0</c:v>
                </c:pt>
                <c:pt idx="1">
                  <c:v>0.65</c:v>
                </c:pt>
                <c:pt idx="2">
                  <c:v>1.1499999999999999</c:v>
                </c:pt>
                <c:pt idx="3">
                  <c:v>1.65</c:v>
                </c:pt>
              </c:numCache>
            </c:numRef>
          </c:xVal>
          <c:yVal>
            <c:numRef>
              <c:f>' P DST'!$D$122:$D$125</c:f>
              <c:numCache>
                <c:formatCode>0.000</c:formatCode>
                <c:ptCount val="4"/>
                <c:pt idx="0" formatCode="General">
                  <c:v>0</c:v>
                </c:pt>
                <c:pt idx="1">
                  <c:v>0.86894736842105258</c:v>
                </c:pt>
                <c:pt idx="2">
                  <c:v>1.388830409356725</c:v>
                </c:pt>
                <c:pt idx="3">
                  <c:v>1.6630952380952384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CACC-4C35-9E52-654E54E5F2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2804112"/>
        <c:axId val="1152813904"/>
      </c:scatterChart>
      <c:valAx>
        <c:axId val="11528041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NORMAL STRESS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2813904"/>
        <c:crosses val="autoZero"/>
        <c:crossBetween val="midCat"/>
      </c:valAx>
      <c:valAx>
        <c:axId val="1152813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SHEAR STRESS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28041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'Pull-out(A)'!$A$1</c:f>
              <c:strCache>
                <c:ptCount val="1"/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'Pull-out(A)'!$L$10:$L$12</c:f>
              <c:numCache>
                <c:formatCode>0.00</c:formatCode>
                <c:ptCount val="3"/>
                <c:pt idx="0">
                  <c:v>0.84657900216368842</c:v>
                </c:pt>
                <c:pt idx="1">
                  <c:v>2.8342828666779312</c:v>
                </c:pt>
                <c:pt idx="2">
                  <c:v>9.4188343236594214</c:v>
                </c:pt>
              </c:numCache>
            </c:numRef>
          </c:xVal>
          <c:yVal>
            <c:numRef>
              <c:f>'Pull-out(A)'!$H$10:$H$12</c:f>
              <c:numCache>
                <c:formatCode>General</c:formatCode>
                <c:ptCount val="3"/>
                <c:pt idx="0">
                  <c:v>0.3</c:v>
                </c:pt>
                <c:pt idx="1">
                  <c:v>0.5</c:v>
                </c:pt>
                <c:pt idx="2">
                  <c:v>0.8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E48C-4518-B966-0387F5E83891}"/>
            </c:ext>
          </c:extLst>
        </c:ser>
        <c:ser>
          <c:idx val="1"/>
          <c:order val="1"/>
          <c:tx>
            <c:strRef>
              <c:f>'Pull-out(A)'!$A$1</c:f>
              <c:strCache>
                <c:ptCount val="1"/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'Pull-out(A)'!$L$13:$L$15</c:f>
              <c:numCache>
                <c:formatCode>0.00</c:formatCode>
                <c:ptCount val="3"/>
                <c:pt idx="0">
                  <c:v>1.5950537595668268</c:v>
                </c:pt>
                <c:pt idx="1">
                  <c:v>4.5263794150199823</c:v>
                </c:pt>
                <c:pt idx="2">
                  <c:v>13.193321487415071</c:v>
                </c:pt>
              </c:numCache>
            </c:numRef>
          </c:xVal>
          <c:yVal>
            <c:numRef>
              <c:f>'Pull-out(A)'!$H$13:$H$15</c:f>
              <c:numCache>
                <c:formatCode>General</c:formatCode>
                <c:ptCount val="3"/>
                <c:pt idx="0">
                  <c:v>0.3</c:v>
                </c:pt>
                <c:pt idx="1">
                  <c:v>0.5</c:v>
                </c:pt>
                <c:pt idx="2">
                  <c:v>0.8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E48C-4518-B966-0387F5E838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2805744"/>
        <c:axId val="1152806288"/>
      </c:scatterChart>
      <c:valAx>
        <c:axId val="11528057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</a:t>
                </a:r>
                <a:r>
                  <a:rPr lang="en-US" baseline="0"/>
                  <a:t> Depth (m)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2806288"/>
        <c:crosses val="autoZero"/>
        <c:crossBetween val="midCat"/>
      </c:valAx>
      <c:valAx>
        <c:axId val="11528062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</a:t>
                </a:r>
                <a:r>
                  <a:rPr lang="en-US" baseline="0"/>
                  <a:t> Load (kN)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28057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strRef>
              <c:f>'Pull-out(A)'!$A$1</c:f>
              <c:strCache>
                <c:ptCount val="1"/>
              </c:strCache>
            </c:strRef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'Pull-out(A)'!$L$10:$L$12</c:f>
              <c:numCache>
                <c:formatCode>0.00</c:formatCode>
                <c:ptCount val="3"/>
                <c:pt idx="0">
                  <c:v>0.84657900216368842</c:v>
                </c:pt>
                <c:pt idx="1">
                  <c:v>2.8342828666779312</c:v>
                </c:pt>
                <c:pt idx="2">
                  <c:v>9.4188343236594214</c:v>
                </c:pt>
              </c:numCache>
            </c:numRef>
          </c:xVal>
          <c:yVal>
            <c:numRef>
              <c:f>'Pull-out(A)'!$I$10:$I$12</c:f>
              <c:numCache>
                <c:formatCode>0.00</c:formatCode>
                <c:ptCount val="3"/>
                <c:pt idx="0">
                  <c:v>2</c:v>
                </c:pt>
                <c:pt idx="1">
                  <c:v>3.3333333333333335</c:v>
                </c:pt>
                <c:pt idx="2">
                  <c:v>5.3333333333333339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DE17-4BC3-8C67-2D72768782B2}"/>
            </c:ext>
          </c:extLst>
        </c:ser>
        <c:ser>
          <c:idx val="1"/>
          <c:order val="1"/>
          <c:tx>
            <c:strRef>
              <c:f>'Pull-out(A)'!$A$1</c:f>
              <c:strCache>
                <c:ptCount val="1"/>
              </c:strCache>
            </c:strRef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'Pull-out(A)'!$L$13:$L$15</c:f>
              <c:numCache>
                <c:formatCode>0.00</c:formatCode>
                <c:ptCount val="3"/>
                <c:pt idx="0">
                  <c:v>1.5950537595668268</c:v>
                </c:pt>
                <c:pt idx="1">
                  <c:v>4.5263794150199823</c:v>
                </c:pt>
                <c:pt idx="2">
                  <c:v>13.193321487415071</c:v>
                </c:pt>
              </c:numCache>
            </c:numRef>
          </c:xVal>
          <c:yVal>
            <c:numRef>
              <c:f>'Pull-out(A)'!$I$13:$I$15</c:f>
              <c:numCache>
                <c:formatCode>0.00</c:formatCode>
                <c:ptCount val="3"/>
                <c:pt idx="0">
                  <c:v>1</c:v>
                </c:pt>
                <c:pt idx="1">
                  <c:v>1.6666666666666667</c:v>
                </c:pt>
                <c:pt idx="2">
                  <c:v>2.666666666666667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DE17-4BC3-8C67-2D72768782B2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1152810640"/>
        <c:axId val="1152811184"/>
      </c:scatterChart>
      <c:valAx>
        <c:axId val="11528106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2811184"/>
        <c:crosses val="autoZero"/>
        <c:crossBetween val="midCat"/>
      </c:valAx>
      <c:valAx>
        <c:axId val="11528111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 (kN)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281064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'Pull-out(A)'!$A$1</c:f>
              <c:strCache>
                <c:ptCount val="1"/>
              </c:strCache>
            </c:strRef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'Pull-out(A)'!$L$27:$L$29</c:f>
              <c:numCache>
                <c:formatCode>0.00</c:formatCode>
                <c:ptCount val="3"/>
                <c:pt idx="0">
                  <c:v>0.52042507638601998</c:v>
                </c:pt>
                <c:pt idx="1">
                  <c:v>1.5649119948048364</c:v>
                </c:pt>
                <c:pt idx="2">
                  <c:v>4.7592559519667388</c:v>
                </c:pt>
              </c:numCache>
            </c:numRef>
          </c:xVal>
          <c:yVal>
            <c:numRef>
              <c:f>'Pull-out(A)'!$I$27:$I$29</c:f>
              <c:numCache>
                <c:formatCode>0.00</c:formatCode>
                <c:ptCount val="3"/>
                <c:pt idx="0">
                  <c:v>2</c:v>
                </c:pt>
                <c:pt idx="1">
                  <c:v>3.3333333333333335</c:v>
                </c:pt>
                <c:pt idx="2">
                  <c:v>5.3333333333333339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12F8-4EF9-A102-1C3F6F3EEDDE}"/>
            </c:ext>
          </c:extLst>
        </c:ser>
        <c:ser>
          <c:idx val="1"/>
          <c:order val="1"/>
          <c:tx>
            <c:strRef>
              <c:f>'Pull-out(A)'!$A$1</c:f>
              <c:strCache>
                <c:ptCount val="1"/>
              </c:strCache>
            </c:strRef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'Pull-out(A)'!$L$30:$L$32</c:f>
              <c:numCache>
                <c:formatCode>0.00</c:formatCode>
                <c:ptCount val="3"/>
                <c:pt idx="0">
                  <c:v>1.1313207901564581</c:v>
                </c:pt>
                <c:pt idx="1">
                  <c:v>2.8930695330560545</c:v>
                </c:pt>
                <c:pt idx="2">
                  <c:v>7.628303249889858</c:v>
                </c:pt>
              </c:numCache>
            </c:numRef>
          </c:xVal>
          <c:yVal>
            <c:numRef>
              <c:f>'Pull-out(A)'!$I$30:$I$32</c:f>
              <c:numCache>
                <c:formatCode>0.00</c:formatCode>
                <c:ptCount val="3"/>
                <c:pt idx="0">
                  <c:v>1</c:v>
                </c:pt>
                <c:pt idx="1">
                  <c:v>1.6666666666666667</c:v>
                </c:pt>
                <c:pt idx="2">
                  <c:v>2.666666666666667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12F8-4EF9-A102-1C3F6F3EEDDE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1152814448"/>
        <c:axId val="1152803024"/>
      </c:scatterChart>
      <c:valAx>
        <c:axId val="11528144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2803024"/>
        <c:crosses val="autoZero"/>
        <c:crossBetween val="midCat"/>
      </c:valAx>
      <c:valAx>
        <c:axId val="1152803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 (kN)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281444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'Pull-out(A)'!$A$1</c:f>
              <c:strCache>
                <c:ptCount val="1"/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'Pull-out(A)'!$L$27:$L$29</c:f>
              <c:numCache>
                <c:formatCode>0.00</c:formatCode>
                <c:ptCount val="3"/>
                <c:pt idx="0">
                  <c:v>0.52042507638601998</c:v>
                </c:pt>
                <c:pt idx="1">
                  <c:v>1.5649119948048364</c:v>
                </c:pt>
                <c:pt idx="2">
                  <c:v>4.7592559519667388</c:v>
                </c:pt>
              </c:numCache>
            </c:numRef>
          </c:xVal>
          <c:yVal>
            <c:numRef>
              <c:f>'Pull-out(A)'!$H$27:$H$29</c:f>
              <c:numCache>
                <c:formatCode>General</c:formatCode>
                <c:ptCount val="3"/>
                <c:pt idx="0">
                  <c:v>0.3</c:v>
                </c:pt>
                <c:pt idx="1">
                  <c:v>0.5</c:v>
                </c:pt>
                <c:pt idx="2">
                  <c:v>0.8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D189-4B3A-8BD6-848D4B900446}"/>
            </c:ext>
          </c:extLst>
        </c:ser>
        <c:ser>
          <c:idx val="1"/>
          <c:order val="1"/>
          <c:tx>
            <c:strRef>
              <c:f>'Pull-out(A)'!$A$1</c:f>
              <c:strCache>
                <c:ptCount val="1"/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'Pull-out(A)'!$L$30:$L$32</c:f>
              <c:numCache>
                <c:formatCode>0.00</c:formatCode>
                <c:ptCount val="3"/>
                <c:pt idx="0">
                  <c:v>1.1313207901564581</c:v>
                </c:pt>
                <c:pt idx="1">
                  <c:v>2.8930695330560545</c:v>
                </c:pt>
                <c:pt idx="2">
                  <c:v>7.628303249889858</c:v>
                </c:pt>
              </c:numCache>
            </c:numRef>
          </c:xVal>
          <c:yVal>
            <c:numRef>
              <c:f>'Pull-out(A)'!$H$30:$H$32</c:f>
              <c:numCache>
                <c:formatCode>General</c:formatCode>
                <c:ptCount val="3"/>
                <c:pt idx="0">
                  <c:v>0.3</c:v>
                </c:pt>
                <c:pt idx="1">
                  <c:v>0.5</c:v>
                </c:pt>
                <c:pt idx="2">
                  <c:v>0.8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D189-4B3A-8BD6-848D4B9004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2811728"/>
        <c:axId val="1152805200"/>
      </c:scatterChart>
      <c:valAx>
        <c:axId val="11528117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</a:t>
                </a:r>
                <a:r>
                  <a:rPr lang="en-US" baseline="0"/>
                  <a:t> Depth (m)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2805200"/>
        <c:crosses val="autoZero"/>
        <c:crossBetween val="midCat"/>
      </c:valAx>
      <c:valAx>
        <c:axId val="11528052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</a:t>
                </a:r>
                <a:r>
                  <a:rPr lang="en-US" baseline="0"/>
                  <a:t> Load (kN)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28117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strRef>
              <c:f>'Pull-out(A)'!$A$1</c:f>
              <c:strCache>
                <c:ptCount val="1"/>
              </c:strCache>
            </c:strRef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'Pull-out(A)'!$L$10:$L$12</c:f>
              <c:numCache>
                <c:formatCode>0.00</c:formatCode>
                <c:ptCount val="3"/>
                <c:pt idx="0">
                  <c:v>0.84657900216368842</c:v>
                </c:pt>
                <c:pt idx="1">
                  <c:v>2.8342828666779312</c:v>
                </c:pt>
                <c:pt idx="2">
                  <c:v>9.4188343236594214</c:v>
                </c:pt>
              </c:numCache>
            </c:numRef>
          </c:xVal>
          <c:yVal>
            <c:numRef>
              <c:f>'Pull-out(A)'!$I$10:$I$12</c:f>
              <c:numCache>
                <c:formatCode>0.00</c:formatCode>
                <c:ptCount val="3"/>
                <c:pt idx="0">
                  <c:v>2</c:v>
                </c:pt>
                <c:pt idx="1">
                  <c:v>3.3333333333333335</c:v>
                </c:pt>
                <c:pt idx="2">
                  <c:v>5.3333333333333339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2F5A-49BB-AD83-075CC4934034}"/>
            </c:ext>
          </c:extLst>
        </c:ser>
        <c:ser>
          <c:idx val="1"/>
          <c:order val="1"/>
          <c:tx>
            <c:strRef>
              <c:f>'Pull-out(A)'!$A$1</c:f>
              <c:strCache>
                <c:ptCount val="1"/>
              </c:strCache>
            </c:strRef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'Pull-out(A)'!$L$13:$L$15</c:f>
              <c:numCache>
                <c:formatCode>0.00</c:formatCode>
                <c:ptCount val="3"/>
                <c:pt idx="0">
                  <c:v>1.5950537595668268</c:v>
                </c:pt>
                <c:pt idx="1">
                  <c:v>4.5263794150199823</c:v>
                </c:pt>
                <c:pt idx="2">
                  <c:v>13.193321487415071</c:v>
                </c:pt>
              </c:numCache>
            </c:numRef>
          </c:xVal>
          <c:yVal>
            <c:numRef>
              <c:f>'Pull-out(A)'!$I$13:$I$15</c:f>
              <c:numCache>
                <c:formatCode>0.00</c:formatCode>
                <c:ptCount val="3"/>
                <c:pt idx="0">
                  <c:v>1</c:v>
                </c:pt>
                <c:pt idx="1">
                  <c:v>1.6666666666666667</c:v>
                </c:pt>
                <c:pt idx="2">
                  <c:v>2.666666666666667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2F5A-49BB-AD83-075CC4934034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1152799216"/>
        <c:axId val="1152800304"/>
      </c:scatterChart>
      <c:valAx>
        <c:axId val="11527992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2800304"/>
        <c:crosses val="autoZero"/>
        <c:crossBetween val="midCat"/>
      </c:valAx>
      <c:valAx>
        <c:axId val="11528003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 (kN)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27992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'Pull-out(A)'!$A$1</c:f>
              <c:strCache>
                <c:ptCount val="1"/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'Pull-out(A)'!$L$10:$L$12</c:f>
              <c:numCache>
                <c:formatCode>0.00</c:formatCode>
                <c:ptCount val="3"/>
                <c:pt idx="0">
                  <c:v>0.84657900216368842</c:v>
                </c:pt>
                <c:pt idx="1">
                  <c:v>2.8342828666779312</c:v>
                </c:pt>
                <c:pt idx="2">
                  <c:v>9.4188343236594214</c:v>
                </c:pt>
              </c:numCache>
            </c:numRef>
          </c:xVal>
          <c:yVal>
            <c:numRef>
              <c:f>'Pull-out(A)'!$H$10:$H$12</c:f>
              <c:numCache>
                <c:formatCode>General</c:formatCode>
                <c:ptCount val="3"/>
                <c:pt idx="0">
                  <c:v>0.3</c:v>
                </c:pt>
                <c:pt idx="1">
                  <c:v>0.5</c:v>
                </c:pt>
                <c:pt idx="2">
                  <c:v>0.8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F5F3-4460-AB92-9C440CA3C232}"/>
            </c:ext>
          </c:extLst>
        </c:ser>
        <c:ser>
          <c:idx val="1"/>
          <c:order val="1"/>
          <c:tx>
            <c:strRef>
              <c:f>'Pull-out(A)'!$A$1</c:f>
              <c:strCache>
                <c:ptCount val="1"/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'Pull-out(A)'!$L$13:$L$15</c:f>
              <c:numCache>
                <c:formatCode>0.00</c:formatCode>
                <c:ptCount val="3"/>
                <c:pt idx="0">
                  <c:v>1.5950537595668268</c:v>
                </c:pt>
                <c:pt idx="1">
                  <c:v>4.5263794150199823</c:v>
                </c:pt>
                <c:pt idx="2">
                  <c:v>13.193321487415071</c:v>
                </c:pt>
              </c:numCache>
            </c:numRef>
          </c:xVal>
          <c:yVal>
            <c:numRef>
              <c:f>'Pull-out(A)'!$H$13:$H$15</c:f>
              <c:numCache>
                <c:formatCode>General</c:formatCode>
                <c:ptCount val="3"/>
                <c:pt idx="0">
                  <c:v>0.3</c:v>
                </c:pt>
                <c:pt idx="1">
                  <c:v>0.5</c:v>
                </c:pt>
                <c:pt idx="2">
                  <c:v>0.8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F5F3-4460-AB92-9C440CA3C2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3955856"/>
        <c:axId val="1153948240"/>
      </c:scatterChart>
      <c:valAx>
        <c:axId val="11539558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</a:t>
                </a:r>
                <a:r>
                  <a:rPr lang="en-US" baseline="0"/>
                  <a:t> Depth (m)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3948240"/>
        <c:crosses val="autoZero"/>
        <c:crossBetween val="midCat"/>
      </c:valAx>
      <c:valAx>
        <c:axId val="1153948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</a:t>
                </a:r>
                <a:r>
                  <a:rPr lang="en-US" baseline="0"/>
                  <a:t> Load (kN)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39558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0.15,0.3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'Pull-out(E)'!$U$14:$U$22</c:f>
              <c:numCache>
                <c:formatCode>0.00</c:formatCode>
                <c:ptCount val="9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</c:numCache>
            </c:numRef>
          </c:xVal>
          <c:yVal>
            <c:numRef>
              <c:f>'Pull-out(E)'!$W$14:$W$22</c:f>
              <c:numCache>
                <c:formatCode>0.00</c:formatCode>
                <c:ptCount val="9"/>
                <c:pt idx="0">
                  <c:v>0</c:v>
                </c:pt>
                <c:pt idx="1">
                  <c:v>5.55</c:v>
                </c:pt>
                <c:pt idx="2">
                  <c:v>16.649999999999999</c:v>
                </c:pt>
                <c:pt idx="3">
                  <c:v>27.75</c:v>
                </c:pt>
                <c:pt idx="4">
                  <c:v>33.299999999999997</c:v>
                </c:pt>
                <c:pt idx="5">
                  <c:v>38.85</c:v>
                </c:pt>
                <c:pt idx="6">
                  <c:v>44.4</c:v>
                </c:pt>
                <c:pt idx="7">
                  <c:v>49.949999999999996</c:v>
                </c:pt>
                <c:pt idx="8">
                  <c:v>49.949999999999996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C515-46ED-AD0B-B6E86253E2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3943888"/>
        <c:axId val="1153941168"/>
      </c:scatterChart>
      <c:valAx>
        <c:axId val="11539438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/>
                  <a:t>DISPLACEMENT</a:t>
                </a:r>
                <a:r>
                  <a:rPr lang="en-US"/>
                  <a:t>,</a:t>
                </a:r>
                <a:r>
                  <a:rPr lang="en-US" baseline="0"/>
                  <a:t> cm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3941168"/>
        <c:crosses val="autoZero"/>
        <c:crossBetween val="midCat"/>
      </c:valAx>
      <c:valAx>
        <c:axId val="1153941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</a:t>
                </a:r>
                <a:r>
                  <a:rPr lang="en-US" baseline="0"/>
                  <a:t> LOAD, kg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39438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0.15,0.5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'Pull-out(E)'!$AA$14:$AA$38</c:f>
              <c:numCache>
                <c:formatCode>0.00</c:formatCode>
                <c:ptCount val="25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</c:numCache>
            </c:numRef>
          </c:xVal>
          <c:yVal>
            <c:numRef>
              <c:f>'Pull-out(E)'!$AC$14:$AC$38</c:f>
              <c:numCache>
                <c:formatCode>0.00</c:formatCode>
                <c:ptCount val="25"/>
                <c:pt idx="0">
                  <c:v>0</c:v>
                </c:pt>
                <c:pt idx="1">
                  <c:v>11.1</c:v>
                </c:pt>
                <c:pt idx="2">
                  <c:v>22.2</c:v>
                </c:pt>
                <c:pt idx="3">
                  <c:v>61.05</c:v>
                </c:pt>
                <c:pt idx="4">
                  <c:v>72.149999999999991</c:v>
                </c:pt>
                <c:pt idx="5">
                  <c:v>88.8</c:v>
                </c:pt>
                <c:pt idx="6">
                  <c:v>99.899999999999991</c:v>
                </c:pt>
                <c:pt idx="7">
                  <c:v>105.45</c:v>
                </c:pt>
                <c:pt idx="8">
                  <c:v>116.55</c:v>
                </c:pt>
                <c:pt idx="9">
                  <c:v>122.1</c:v>
                </c:pt>
                <c:pt idx="10">
                  <c:v>122.1</c:v>
                </c:pt>
                <c:pt idx="11">
                  <c:v>127.64999999999999</c:v>
                </c:pt>
                <c:pt idx="12">
                  <c:v>127.64999999999999</c:v>
                </c:pt>
                <c:pt idx="13">
                  <c:v>133.19999999999999</c:v>
                </c:pt>
                <c:pt idx="14">
                  <c:v>138.75</c:v>
                </c:pt>
                <c:pt idx="15">
                  <c:v>138.75</c:v>
                </c:pt>
                <c:pt idx="16">
                  <c:v>138.75</c:v>
                </c:pt>
                <c:pt idx="17">
                  <c:v>144.29999999999998</c:v>
                </c:pt>
                <c:pt idx="18">
                  <c:v>144.29999999999998</c:v>
                </c:pt>
                <c:pt idx="19">
                  <c:v>149.85</c:v>
                </c:pt>
                <c:pt idx="20">
                  <c:v>149.85</c:v>
                </c:pt>
                <c:pt idx="21">
                  <c:v>149.85</c:v>
                </c:pt>
                <c:pt idx="22">
                  <c:v>149.85</c:v>
                </c:pt>
                <c:pt idx="23">
                  <c:v>155.4</c:v>
                </c:pt>
                <c:pt idx="24">
                  <c:v>155.4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A3F9-487F-9F17-6D9AE5D964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3954224"/>
        <c:axId val="1153941712"/>
      </c:scatterChart>
      <c:valAx>
        <c:axId val="11539542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/>
                  <a:t>DISPLACEMENT</a:t>
                </a:r>
                <a:r>
                  <a:rPr lang="en-US"/>
                  <a:t>,</a:t>
                </a:r>
                <a:r>
                  <a:rPr lang="en-US" baseline="0"/>
                  <a:t> cm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3941712"/>
        <c:crosses val="autoZero"/>
        <c:crossBetween val="midCat"/>
      </c:valAx>
      <c:valAx>
        <c:axId val="11539417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</a:t>
                </a:r>
                <a:r>
                  <a:rPr lang="en-US" baseline="0"/>
                  <a:t> LOAD, kg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39542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0.15,0.8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'Pull-out(E)'!$AG$14:$AG$98</c:f>
              <c:numCache>
                <c:formatCode>0.00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0.55000000000000004</c:v>
                </c:pt>
                <c:pt idx="29">
                  <c:v>0.6</c:v>
                </c:pt>
                <c:pt idx="30">
                  <c:v>0.65</c:v>
                </c:pt>
                <c:pt idx="31">
                  <c:v>0.70000000000000007</c:v>
                </c:pt>
                <c:pt idx="32">
                  <c:v>0.75</c:v>
                </c:pt>
                <c:pt idx="33">
                  <c:v>0.8</c:v>
                </c:pt>
                <c:pt idx="34">
                  <c:v>0.85</c:v>
                </c:pt>
                <c:pt idx="35">
                  <c:v>0.9</c:v>
                </c:pt>
                <c:pt idx="36">
                  <c:v>0.95000000000000007</c:v>
                </c:pt>
                <c:pt idx="37">
                  <c:v>0.96</c:v>
                </c:pt>
                <c:pt idx="38">
                  <c:v>0.98</c:v>
                </c:pt>
                <c:pt idx="39">
                  <c:v>1</c:v>
                </c:pt>
                <c:pt idx="40">
                  <c:v>1.05</c:v>
                </c:pt>
                <c:pt idx="41">
                  <c:v>1.1000000000000001</c:v>
                </c:pt>
                <c:pt idx="42">
                  <c:v>1.1500000000000001</c:v>
                </c:pt>
                <c:pt idx="43">
                  <c:v>1.2</c:v>
                </c:pt>
                <c:pt idx="44">
                  <c:v>1.25</c:v>
                </c:pt>
                <c:pt idx="45">
                  <c:v>1.3</c:v>
                </c:pt>
                <c:pt idx="46">
                  <c:v>1.35</c:v>
                </c:pt>
                <c:pt idx="47">
                  <c:v>1.4000000000000001</c:v>
                </c:pt>
                <c:pt idx="48">
                  <c:v>1.45</c:v>
                </c:pt>
                <c:pt idx="49">
                  <c:v>1.46</c:v>
                </c:pt>
                <c:pt idx="50">
                  <c:v>1.48</c:v>
                </c:pt>
              </c:numCache>
            </c:numRef>
          </c:xVal>
          <c:yVal>
            <c:numRef>
              <c:f>'Pull-out(E)'!$AI$14:$AI$98</c:f>
              <c:numCache>
                <c:formatCode>0.00</c:formatCode>
                <c:ptCount val="51"/>
                <c:pt idx="0">
                  <c:v>0</c:v>
                </c:pt>
                <c:pt idx="1">
                  <c:v>38.85</c:v>
                </c:pt>
                <c:pt idx="2">
                  <c:v>49.949999999999996</c:v>
                </c:pt>
                <c:pt idx="3">
                  <c:v>77.7</c:v>
                </c:pt>
                <c:pt idx="4">
                  <c:v>94.35</c:v>
                </c:pt>
                <c:pt idx="5">
                  <c:v>111</c:v>
                </c:pt>
                <c:pt idx="6">
                  <c:v>122.1</c:v>
                </c:pt>
                <c:pt idx="7">
                  <c:v>133.19999999999999</c:v>
                </c:pt>
                <c:pt idx="8">
                  <c:v>149.85</c:v>
                </c:pt>
                <c:pt idx="9">
                  <c:v>155.4</c:v>
                </c:pt>
                <c:pt idx="10">
                  <c:v>166.5</c:v>
                </c:pt>
                <c:pt idx="11">
                  <c:v>177.6</c:v>
                </c:pt>
                <c:pt idx="12">
                  <c:v>188.7</c:v>
                </c:pt>
                <c:pt idx="13">
                  <c:v>199.79999999999998</c:v>
                </c:pt>
                <c:pt idx="14">
                  <c:v>210.9</c:v>
                </c:pt>
                <c:pt idx="15">
                  <c:v>222</c:v>
                </c:pt>
                <c:pt idx="16">
                  <c:v>227.54999999999998</c:v>
                </c:pt>
                <c:pt idx="17">
                  <c:v>238.65</c:v>
                </c:pt>
                <c:pt idx="18">
                  <c:v>244.2</c:v>
                </c:pt>
                <c:pt idx="19">
                  <c:v>249.75</c:v>
                </c:pt>
                <c:pt idx="20">
                  <c:v>255.29999999999998</c:v>
                </c:pt>
                <c:pt idx="21">
                  <c:v>266.39999999999998</c:v>
                </c:pt>
                <c:pt idx="22">
                  <c:v>271.95</c:v>
                </c:pt>
                <c:pt idx="23">
                  <c:v>277.5</c:v>
                </c:pt>
                <c:pt idx="24">
                  <c:v>283.05</c:v>
                </c:pt>
                <c:pt idx="25">
                  <c:v>288.59999999999997</c:v>
                </c:pt>
                <c:pt idx="26">
                  <c:v>294.14999999999998</c:v>
                </c:pt>
                <c:pt idx="27">
                  <c:v>299.7</c:v>
                </c:pt>
                <c:pt idx="28">
                  <c:v>299.7</c:v>
                </c:pt>
                <c:pt idx="29">
                  <c:v>310.8</c:v>
                </c:pt>
                <c:pt idx="30">
                  <c:v>321.89999999999998</c:v>
                </c:pt>
                <c:pt idx="31">
                  <c:v>327.45</c:v>
                </c:pt>
                <c:pt idx="32">
                  <c:v>333</c:v>
                </c:pt>
                <c:pt idx="33">
                  <c:v>344.09999999999997</c:v>
                </c:pt>
                <c:pt idx="34">
                  <c:v>349.65</c:v>
                </c:pt>
                <c:pt idx="35">
                  <c:v>355.2</c:v>
                </c:pt>
                <c:pt idx="36">
                  <c:v>360.75</c:v>
                </c:pt>
                <c:pt idx="37">
                  <c:v>360.75</c:v>
                </c:pt>
                <c:pt idx="38">
                  <c:v>360.75</c:v>
                </c:pt>
                <c:pt idx="39">
                  <c:v>366.3</c:v>
                </c:pt>
                <c:pt idx="40">
                  <c:v>366.3</c:v>
                </c:pt>
                <c:pt idx="41">
                  <c:v>377.4</c:v>
                </c:pt>
                <c:pt idx="42">
                  <c:v>382.95</c:v>
                </c:pt>
                <c:pt idx="43">
                  <c:v>388.5</c:v>
                </c:pt>
                <c:pt idx="44">
                  <c:v>394.05</c:v>
                </c:pt>
                <c:pt idx="45">
                  <c:v>399.59999999999997</c:v>
                </c:pt>
                <c:pt idx="46">
                  <c:v>405.15</c:v>
                </c:pt>
                <c:pt idx="47">
                  <c:v>410.7</c:v>
                </c:pt>
                <c:pt idx="48">
                  <c:v>421.8</c:v>
                </c:pt>
                <c:pt idx="49">
                  <c:v>427.34999999999997</c:v>
                </c:pt>
                <c:pt idx="50">
                  <c:v>421.8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5822-45C0-A54B-42C65587B1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3944432"/>
        <c:axId val="1153942256"/>
      </c:scatterChart>
      <c:valAx>
        <c:axId val="11539444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/>
                  <a:t>DISPLACEMENT</a:t>
                </a:r>
                <a:r>
                  <a:rPr lang="en-US"/>
                  <a:t>,</a:t>
                </a:r>
                <a:r>
                  <a:rPr lang="en-US" baseline="0"/>
                  <a:t> cm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3942256"/>
        <c:crosses val="autoZero"/>
        <c:crossBetween val="midCat"/>
      </c:valAx>
      <c:valAx>
        <c:axId val="11539422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</a:t>
                </a:r>
                <a:r>
                  <a:rPr lang="en-US" baseline="0"/>
                  <a:t> LOAD, kg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39444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0.15,0.3,60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'Pull-out(E)'!$U$115:$U$124</c:f>
              <c:numCache>
                <c:formatCode>0.00</c:formatCode>
                <c:ptCount val="10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</c:numCache>
            </c:numRef>
          </c:xVal>
          <c:yVal>
            <c:numRef>
              <c:f>'Pull-out(E)'!$W$115:$W$124</c:f>
              <c:numCache>
                <c:formatCode>0.00</c:formatCode>
                <c:ptCount val="10"/>
                <c:pt idx="0">
                  <c:v>0</c:v>
                </c:pt>
                <c:pt idx="1">
                  <c:v>5.55</c:v>
                </c:pt>
                <c:pt idx="2">
                  <c:v>22.2</c:v>
                </c:pt>
                <c:pt idx="3">
                  <c:v>33.299999999999997</c:v>
                </c:pt>
                <c:pt idx="4">
                  <c:v>44.4</c:v>
                </c:pt>
                <c:pt idx="5">
                  <c:v>55.5</c:v>
                </c:pt>
                <c:pt idx="6">
                  <c:v>55.5</c:v>
                </c:pt>
                <c:pt idx="7">
                  <c:v>55.5</c:v>
                </c:pt>
                <c:pt idx="8">
                  <c:v>61.05</c:v>
                </c:pt>
                <c:pt idx="9">
                  <c:v>61.05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5D07-460B-AB19-FEBA4EDE55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3946608"/>
        <c:axId val="1153948784"/>
      </c:scatterChart>
      <c:valAx>
        <c:axId val="11539466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/>
                  <a:t>DISPLACEMENT</a:t>
                </a:r>
                <a:r>
                  <a:rPr lang="en-US"/>
                  <a:t>,</a:t>
                </a:r>
                <a:r>
                  <a:rPr lang="en-US" baseline="0"/>
                  <a:t> cm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3948784"/>
        <c:crosses val="autoZero"/>
        <c:crossBetween val="midCat"/>
      </c:valAx>
      <c:valAx>
        <c:axId val="11539487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</a:t>
                </a:r>
                <a:r>
                  <a:rPr lang="en-US" baseline="0"/>
                  <a:t> LOAD, kg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39466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0.15,0.5,60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'Pull-out(E)'!$AA$115:$AA$140</c:f>
              <c:numCache>
                <c:formatCode>0.00</c:formatCode>
                <c:ptCount val="26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</c:numCache>
            </c:numRef>
          </c:xVal>
          <c:yVal>
            <c:numRef>
              <c:f>'Pull-out(E)'!$AC$115:$AC$140</c:f>
              <c:numCache>
                <c:formatCode>0.00</c:formatCode>
                <c:ptCount val="26"/>
                <c:pt idx="0">
                  <c:v>0</c:v>
                </c:pt>
                <c:pt idx="1">
                  <c:v>16.649999999999999</c:v>
                </c:pt>
                <c:pt idx="2">
                  <c:v>49.949999999999996</c:v>
                </c:pt>
                <c:pt idx="3">
                  <c:v>83.25</c:v>
                </c:pt>
                <c:pt idx="4">
                  <c:v>94.35</c:v>
                </c:pt>
                <c:pt idx="5">
                  <c:v>99.899999999999991</c:v>
                </c:pt>
                <c:pt idx="6">
                  <c:v>111</c:v>
                </c:pt>
                <c:pt idx="7">
                  <c:v>122.1</c:v>
                </c:pt>
                <c:pt idx="8">
                  <c:v>133.19999999999999</c:v>
                </c:pt>
                <c:pt idx="9">
                  <c:v>138.75</c:v>
                </c:pt>
                <c:pt idx="10">
                  <c:v>144.29999999999998</c:v>
                </c:pt>
                <c:pt idx="11">
                  <c:v>149.85</c:v>
                </c:pt>
                <c:pt idx="12">
                  <c:v>155.4</c:v>
                </c:pt>
                <c:pt idx="13">
                  <c:v>160.94999999999999</c:v>
                </c:pt>
                <c:pt idx="14">
                  <c:v>160.94999999999999</c:v>
                </c:pt>
                <c:pt idx="15">
                  <c:v>166.5</c:v>
                </c:pt>
                <c:pt idx="16">
                  <c:v>166.5</c:v>
                </c:pt>
                <c:pt idx="17">
                  <c:v>166.5</c:v>
                </c:pt>
                <c:pt idx="18">
                  <c:v>172.04999999999998</c:v>
                </c:pt>
                <c:pt idx="19">
                  <c:v>177.6</c:v>
                </c:pt>
                <c:pt idx="20">
                  <c:v>177.6</c:v>
                </c:pt>
                <c:pt idx="21">
                  <c:v>183.15</c:v>
                </c:pt>
                <c:pt idx="22">
                  <c:v>188.7</c:v>
                </c:pt>
                <c:pt idx="23">
                  <c:v>194.25</c:v>
                </c:pt>
                <c:pt idx="24">
                  <c:v>194.25</c:v>
                </c:pt>
                <c:pt idx="25">
                  <c:v>194.25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19C6-4F0B-B5C3-6D16D0934B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3953136"/>
        <c:axId val="1153949328"/>
      </c:scatterChart>
      <c:valAx>
        <c:axId val="11539531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/>
                  <a:t>DISPLACEMENT</a:t>
                </a:r>
                <a:r>
                  <a:rPr lang="en-US"/>
                  <a:t>,</a:t>
                </a:r>
                <a:r>
                  <a:rPr lang="en-US" baseline="0"/>
                  <a:t> cm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3949328"/>
        <c:crosses val="autoZero"/>
        <c:crossBetween val="midCat"/>
      </c:valAx>
      <c:valAx>
        <c:axId val="11539493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</a:t>
                </a:r>
                <a:r>
                  <a:rPr lang="en-US" baseline="0"/>
                  <a:t> LOAD, kg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39531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0.15,0.8,60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'Pull-out(E)'!$AG$115:$AG$208</c:f>
              <c:numCache>
                <c:formatCode>0.00</c:formatCode>
                <c:ptCount val="92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0.55000000000000004</c:v>
                </c:pt>
                <c:pt idx="29">
                  <c:v>0.56000000000000005</c:v>
                </c:pt>
                <c:pt idx="30">
                  <c:v>0.57999999999999996</c:v>
                </c:pt>
                <c:pt idx="31">
                  <c:v>0.6</c:v>
                </c:pt>
                <c:pt idx="32">
                  <c:v>0.62</c:v>
                </c:pt>
                <c:pt idx="33">
                  <c:v>0.64</c:v>
                </c:pt>
                <c:pt idx="34">
                  <c:v>0.65</c:v>
                </c:pt>
                <c:pt idx="35">
                  <c:v>0.66</c:v>
                </c:pt>
                <c:pt idx="36">
                  <c:v>0.68</c:v>
                </c:pt>
                <c:pt idx="37">
                  <c:v>0.70000000000000007</c:v>
                </c:pt>
                <c:pt idx="38">
                  <c:v>0.75</c:v>
                </c:pt>
                <c:pt idx="39">
                  <c:v>0.76</c:v>
                </c:pt>
                <c:pt idx="40">
                  <c:v>0.78</c:v>
                </c:pt>
                <c:pt idx="41">
                  <c:v>0.8</c:v>
                </c:pt>
                <c:pt idx="42">
                  <c:v>0.82000000000000006</c:v>
                </c:pt>
                <c:pt idx="43">
                  <c:v>0.84</c:v>
                </c:pt>
                <c:pt idx="44">
                  <c:v>0.85</c:v>
                </c:pt>
                <c:pt idx="45">
                  <c:v>0.86</c:v>
                </c:pt>
                <c:pt idx="46">
                  <c:v>0.88</c:v>
                </c:pt>
                <c:pt idx="47">
                  <c:v>0.9</c:v>
                </c:pt>
                <c:pt idx="48">
                  <c:v>0.92</c:v>
                </c:pt>
                <c:pt idx="49">
                  <c:v>0.94000000000000006</c:v>
                </c:pt>
                <c:pt idx="50">
                  <c:v>0.95000000000000007</c:v>
                </c:pt>
                <c:pt idx="51">
                  <c:v>0.96</c:v>
                </c:pt>
                <c:pt idx="52">
                  <c:v>0.98</c:v>
                </c:pt>
                <c:pt idx="53">
                  <c:v>1</c:v>
                </c:pt>
                <c:pt idx="54">
                  <c:v>1.02</c:v>
                </c:pt>
                <c:pt idx="55">
                  <c:v>1.04</c:v>
                </c:pt>
                <c:pt idx="56">
                  <c:v>1.05</c:v>
                </c:pt>
                <c:pt idx="57">
                  <c:v>1.06</c:v>
                </c:pt>
                <c:pt idx="58">
                  <c:v>1.08</c:v>
                </c:pt>
                <c:pt idx="59">
                  <c:v>1.1000000000000001</c:v>
                </c:pt>
                <c:pt idx="60">
                  <c:v>1.1200000000000001</c:v>
                </c:pt>
                <c:pt idx="61">
                  <c:v>1.1400000000000001</c:v>
                </c:pt>
                <c:pt idx="62">
                  <c:v>1.1500000000000001</c:v>
                </c:pt>
                <c:pt idx="63">
                  <c:v>1.1599999999999999</c:v>
                </c:pt>
                <c:pt idx="64">
                  <c:v>1.18</c:v>
                </c:pt>
                <c:pt idx="65">
                  <c:v>1.2</c:v>
                </c:pt>
                <c:pt idx="66">
                  <c:v>1.22</c:v>
                </c:pt>
                <c:pt idx="67">
                  <c:v>1.24</c:v>
                </c:pt>
                <c:pt idx="68">
                  <c:v>1.25</c:v>
                </c:pt>
                <c:pt idx="69">
                  <c:v>1.26</c:v>
                </c:pt>
                <c:pt idx="70">
                  <c:v>1.28</c:v>
                </c:pt>
                <c:pt idx="71">
                  <c:v>1.3</c:v>
                </c:pt>
                <c:pt idx="72">
                  <c:v>1.32</c:v>
                </c:pt>
                <c:pt idx="73">
                  <c:v>1.34</c:v>
                </c:pt>
                <c:pt idx="74">
                  <c:v>1.35</c:v>
                </c:pt>
                <c:pt idx="75">
                  <c:v>1.36</c:v>
                </c:pt>
                <c:pt idx="76">
                  <c:v>1.3800000000000001</c:v>
                </c:pt>
                <c:pt idx="77">
                  <c:v>1.4000000000000001</c:v>
                </c:pt>
                <c:pt idx="78">
                  <c:v>1.42</c:v>
                </c:pt>
                <c:pt idx="79">
                  <c:v>1.44</c:v>
                </c:pt>
                <c:pt idx="80">
                  <c:v>1.45</c:v>
                </c:pt>
                <c:pt idx="81">
                  <c:v>1.46</c:v>
                </c:pt>
                <c:pt idx="82">
                  <c:v>1.48</c:v>
                </c:pt>
                <c:pt idx="83">
                  <c:v>1.5</c:v>
                </c:pt>
                <c:pt idx="84">
                  <c:v>1.52</c:v>
                </c:pt>
                <c:pt idx="85">
                  <c:v>1.54</c:v>
                </c:pt>
                <c:pt idx="86">
                  <c:v>1.55</c:v>
                </c:pt>
                <c:pt idx="87">
                  <c:v>1.56</c:v>
                </c:pt>
                <c:pt idx="88">
                  <c:v>1.58</c:v>
                </c:pt>
                <c:pt idx="89">
                  <c:v>1.6</c:v>
                </c:pt>
                <c:pt idx="90">
                  <c:v>1.62</c:v>
                </c:pt>
                <c:pt idx="91">
                  <c:v>1.6400000000000001</c:v>
                </c:pt>
              </c:numCache>
            </c:numRef>
          </c:xVal>
          <c:yVal>
            <c:numRef>
              <c:f>'Pull-out(E)'!$AI$115:$AI$208</c:f>
              <c:numCache>
                <c:formatCode>0.00</c:formatCode>
                <c:ptCount val="92"/>
                <c:pt idx="0">
                  <c:v>0</c:v>
                </c:pt>
                <c:pt idx="1">
                  <c:v>66.599999999999994</c:v>
                </c:pt>
                <c:pt idx="2">
                  <c:v>122.1</c:v>
                </c:pt>
                <c:pt idx="3">
                  <c:v>194.25</c:v>
                </c:pt>
                <c:pt idx="4">
                  <c:v>249.75</c:v>
                </c:pt>
                <c:pt idx="5">
                  <c:v>299.7</c:v>
                </c:pt>
                <c:pt idx="6">
                  <c:v>333</c:v>
                </c:pt>
                <c:pt idx="7">
                  <c:v>360.75</c:v>
                </c:pt>
                <c:pt idx="8">
                  <c:v>388.5</c:v>
                </c:pt>
                <c:pt idx="9">
                  <c:v>410.7</c:v>
                </c:pt>
                <c:pt idx="10">
                  <c:v>427.34999999999997</c:v>
                </c:pt>
                <c:pt idx="11">
                  <c:v>444</c:v>
                </c:pt>
                <c:pt idx="12">
                  <c:v>466.2</c:v>
                </c:pt>
                <c:pt idx="13">
                  <c:v>477.3</c:v>
                </c:pt>
                <c:pt idx="14">
                  <c:v>493.95</c:v>
                </c:pt>
                <c:pt idx="15">
                  <c:v>505.05</c:v>
                </c:pt>
                <c:pt idx="16">
                  <c:v>510.59999999999997</c:v>
                </c:pt>
                <c:pt idx="17">
                  <c:v>521.69999999999993</c:v>
                </c:pt>
                <c:pt idx="18">
                  <c:v>532.79999999999995</c:v>
                </c:pt>
                <c:pt idx="19">
                  <c:v>543.9</c:v>
                </c:pt>
                <c:pt idx="20">
                  <c:v>549.44999999999993</c:v>
                </c:pt>
                <c:pt idx="21">
                  <c:v>555</c:v>
                </c:pt>
                <c:pt idx="22">
                  <c:v>560.54999999999995</c:v>
                </c:pt>
                <c:pt idx="23">
                  <c:v>571.65</c:v>
                </c:pt>
                <c:pt idx="24">
                  <c:v>577.19999999999993</c:v>
                </c:pt>
                <c:pt idx="25">
                  <c:v>582.75</c:v>
                </c:pt>
                <c:pt idx="26">
                  <c:v>588.29999999999995</c:v>
                </c:pt>
                <c:pt idx="27">
                  <c:v>593.85</c:v>
                </c:pt>
                <c:pt idx="28">
                  <c:v>593.85</c:v>
                </c:pt>
                <c:pt idx="29">
                  <c:v>599.4</c:v>
                </c:pt>
                <c:pt idx="30">
                  <c:v>604.94999999999993</c:v>
                </c:pt>
                <c:pt idx="31">
                  <c:v>610.5</c:v>
                </c:pt>
                <c:pt idx="32">
                  <c:v>616.04999999999995</c:v>
                </c:pt>
                <c:pt idx="33">
                  <c:v>621.6</c:v>
                </c:pt>
                <c:pt idx="34">
                  <c:v>621.6</c:v>
                </c:pt>
                <c:pt idx="35">
                  <c:v>621.6</c:v>
                </c:pt>
                <c:pt idx="36">
                  <c:v>621.6</c:v>
                </c:pt>
                <c:pt idx="37">
                  <c:v>627.15</c:v>
                </c:pt>
                <c:pt idx="38">
                  <c:v>632.69999999999993</c:v>
                </c:pt>
                <c:pt idx="39">
                  <c:v>638.25</c:v>
                </c:pt>
                <c:pt idx="40">
                  <c:v>638.25</c:v>
                </c:pt>
                <c:pt idx="41">
                  <c:v>643.79999999999995</c:v>
                </c:pt>
                <c:pt idx="42">
                  <c:v>643.79999999999995</c:v>
                </c:pt>
                <c:pt idx="43">
                  <c:v>649.35</c:v>
                </c:pt>
                <c:pt idx="44">
                  <c:v>649.35</c:v>
                </c:pt>
                <c:pt idx="45">
                  <c:v>649.35</c:v>
                </c:pt>
                <c:pt idx="46">
                  <c:v>654.9</c:v>
                </c:pt>
                <c:pt idx="47">
                  <c:v>654.9</c:v>
                </c:pt>
                <c:pt idx="48">
                  <c:v>654.9</c:v>
                </c:pt>
                <c:pt idx="49">
                  <c:v>660.44999999999993</c:v>
                </c:pt>
                <c:pt idx="50">
                  <c:v>660.44999999999993</c:v>
                </c:pt>
                <c:pt idx="51">
                  <c:v>660.44999999999993</c:v>
                </c:pt>
                <c:pt idx="52">
                  <c:v>666</c:v>
                </c:pt>
                <c:pt idx="53">
                  <c:v>666</c:v>
                </c:pt>
                <c:pt idx="54">
                  <c:v>666</c:v>
                </c:pt>
                <c:pt idx="55">
                  <c:v>666</c:v>
                </c:pt>
                <c:pt idx="56">
                  <c:v>666</c:v>
                </c:pt>
                <c:pt idx="57">
                  <c:v>671.55</c:v>
                </c:pt>
                <c:pt idx="58">
                  <c:v>671.55</c:v>
                </c:pt>
                <c:pt idx="59">
                  <c:v>671.55</c:v>
                </c:pt>
                <c:pt idx="60">
                  <c:v>671.55</c:v>
                </c:pt>
                <c:pt idx="61">
                  <c:v>677.1</c:v>
                </c:pt>
                <c:pt idx="62">
                  <c:v>677.1</c:v>
                </c:pt>
                <c:pt idx="63">
                  <c:v>677.1</c:v>
                </c:pt>
                <c:pt idx="64">
                  <c:v>677.1</c:v>
                </c:pt>
                <c:pt idx="65">
                  <c:v>682.65</c:v>
                </c:pt>
                <c:pt idx="66">
                  <c:v>682.65</c:v>
                </c:pt>
                <c:pt idx="67">
                  <c:v>682.65</c:v>
                </c:pt>
                <c:pt idx="68">
                  <c:v>688.19999999999993</c:v>
                </c:pt>
                <c:pt idx="69">
                  <c:v>688.19999999999993</c:v>
                </c:pt>
                <c:pt idx="70">
                  <c:v>688.19999999999993</c:v>
                </c:pt>
                <c:pt idx="71">
                  <c:v>693.75</c:v>
                </c:pt>
                <c:pt idx="72">
                  <c:v>693.75</c:v>
                </c:pt>
                <c:pt idx="73">
                  <c:v>693.75</c:v>
                </c:pt>
                <c:pt idx="74">
                  <c:v>693.75</c:v>
                </c:pt>
                <c:pt idx="75">
                  <c:v>699.3</c:v>
                </c:pt>
                <c:pt idx="76">
                  <c:v>699.3</c:v>
                </c:pt>
                <c:pt idx="77">
                  <c:v>699.3</c:v>
                </c:pt>
                <c:pt idx="78">
                  <c:v>704.85</c:v>
                </c:pt>
                <c:pt idx="79">
                  <c:v>704.85</c:v>
                </c:pt>
                <c:pt idx="80">
                  <c:v>704.85</c:v>
                </c:pt>
                <c:pt idx="81">
                  <c:v>704.85</c:v>
                </c:pt>
                <c:pt idx="82">
                  <c:v>710.4</c:v>
                </c:pt>
                <c:pt idx="83">
                  <c:v>710.4</c:v>
                </c:pt>
                <c:pt idx="84">
                  <c:v>710.4</c:v>
                </c:pt>
                <c:pt idx="85">
                  <c:v>715.94999999999993</c:v>
                </c:pt>
                <c:pt idx="86">
                  <c:v>715.94999999999993</c:v>
                </c:pt>
                <c:pt idx="87">
                  <c:v>715.94999999999993</c:v>
                </c:pt>
                <c:pt idx="88">
                  <c:v>715.94999999999993</c:v>
                </c:pt>
                <c:pt idx="89">
                  <c:v>721.5</c:v>
                </c:pt>
                <c:pt idx="90">
                  <c:v>721.5</c:v>
                </c:pt>
                <c:pt idx="91">
                  <c:v>721.5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A11C-41B4-BEBD-41F79F2B41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3953680"/>
        <c:axId val="1153947152"/>
      </c:scatterChart>
      <c:valAx>
        <c:axId val="11539536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/>
                  <a:t>DISPLACEMENT</a:t>
                </a:r>
                <a:r>
                  <a:rPr lang="en-US"/>
                  <a:t>,</a:t>
                </a:r>
                <a:r>
                  <a:rPr lang="en-US" baseline="0"/>
                  <a:t> cm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3947152"/>
        <c:crosses val="autoZero"/>
        <c:crossBetween val="midCat"/>
      </c:valAx>
      <c:valAx>
        <c:axId val="1153947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</a:t>
                </a:r>
                <a:r>
                  <a:rPr lang="en-US" baseline="0"/>
                  <a:t> LOAD, kg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39536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0.15,0.3,80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'Pull-out(E)'!$U$226:$U$238</c:f>
              <c:numCache>
                <c:formatCode>0.00</c:formatCode>
                <c:ptCount val="13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</c:numCache>
            </c:numRef>
          </c:xVal>
          <c:yVal>
            <c:numRef>
              <c:f>'Pull-out(E)'!$W$226:$W$238</c:f>
              <c:numCache>
                <c:formatCode>0.00</c:formatCode>
                <c:ptCount val="13"/>
                <c:pt idx="0">
                  <c:v>0</c:v>
                </c:pt>
                <c:pt idx="1">
                  <c:v>11.1</c:v>
                </c:pt>
                <c:pt idx="2">
                  <c:v>33.299999999999997</c:v>
                </c:pt>
                <c:pt idx="3">
                  <c:v>44.4</c:v>
                </c:pt>
                <c:pt idx="4">
                  <c:v>49.949999999999996</c:v>
                </c:pt>
                <c:pt idx="5">
                  <c:v>55.5</c:v>
                </c:pt>
                <c:pt idx="6">
                  <c:v>55.5</c:v>
                </c:pt>
                <c:pt idx="7">
                  <c:v>55.5</c:v>
                </c:pt>
                <c:pt idx="8">
                  <c:v>61.05</c:v>
                </c:pt>
                <c:pt idx="9">
                  <c:v>61.05</c:v>
                </c:pt>
                <c:pt idx="10">
                  <c:v>66.599999999999994</c:v>
                </c:pt>
                <c:pt idx="11">
                  <c:v>66.599999999999994</c:v>
                </c:pt>
                <c:pt idx="12">
                  <c:v>66.599999999999994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0B23-4FB2-80CD-BA0C01956C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4379136"/>
        <c:axId val="1154390016"/>
      </c:scatterChart>
      <c:valAx>
        <c:axId val="11543791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/>
                  <a:t>DISPLACEMENT</a:t>
                </a:r>
                <a:r>
                  <a:rPr lang="en-US"/>
                  <a:t>,</a:t>
                </a:r>
                <a:r>
                  <a:rPr lang="en-US" baseline="0"/>
                  <a:t> cm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4390016"/>
        <c:crosses val="autoZero"/>
        <c:crossBetween val="midCat"/>
      </c:valAx>
      <c:valAx>
        <c:axId val="1154390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</a:t>
                </a:r>
                <a:r>
                  <a:rPr lang="en-US" baseline="0"/>
                  <a:t> LOAD, kg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43791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0.15,0.5,80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'Pull-out(E)'!$AA$226:$AA$252</c:f>
              <c:numCache>
                <c:formatCode>0.00</c:formatCode>
                <c:ptCount val="27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</c:numCache>
            </c:numRef>
          </c:xVal>
          <c:yVal>
            <c:numRef>
              <c:f>'Pull-out(E)'!$AC$226:$AC$252</c:f>
              <c:numCache>
                <c:formatCode>0.00</c:formatCode>
                <c:ptCount val="27"/>
                <c:pt idx="0">
                  <c:v>0</c:v>
                </c:pt>
                <c:pt idx="1">
                  <c:v>49.949999999999996</c:v>
                </c:pt>
                <c:pt idx="2">
                  <c:v>105.45</c:v>
                </c:pt>
                <c:pt idx="3">
                  <c:v>149.85</c:v>
                </c:pt>
                <c:pt idx="4">
                  <c:v>160.94999999999999</c:v>
                </c:pt>
                <c:pt idx="5">
                  <c:v>172.04999999999998</c:v>
                </c:pt>
                <c:pt idx="6">
                  <c:v>183.15</c:v>
                </c:pt>
                <c:pt idx="7">
                  <c:v>188.7</c:v>
                </c:pt>
                <c:pt idx="8">
                  <c:v>194.25</c:v>
                </c:pt>
                <c:pt idx="9">
                  <c:v>199.79999999999998</c:v>
                </c:pt>
                <c:pt idx="10">
                  <c:v>199.79999999999998</c:v>
                </c:pt>
                <c:pt idx="11">
                  <c:v>205.35</c:v>
                </c:pt>
                <c:pt idx="12">
                  <c:v>210.9</c:v>
                </c:pt>
                <c:pt idx="13">
                  <c:v>216.45</c:v>
                </c:pt>
                <c:pt idx="14">
                  <c:v>216.45</c:v>
                </c:pt>
                <c:pt idx="15">
                  <c:v>222</c:v>
                </c:pt>
                <c:pt idx="16">
                  <c:v>222</c:v>
                </c:pt>
                <c:pt idx="17">
                  <c:v>227.54999999999998</c:v>
                </c:pt>
                <c:pt idx="18">
                  <c:v>227.54999999999998</c:v>
                </c:pt>
                <c:pt idx="19">
                  <c:v>233.1</c:v>
                </c:pt>
                <c:pt idx="20">
                  <c:v>233.1</c:v>
                </c:pt>
                <c:pt idx="21">
                  <c:v>233.1</c:v>
                </c:pt>
                <c:pt idx="22">
                  <c:v>238.65</c:v>
                </c:pt>
                <c:pt idx="23">
                  <c:v>238.65</c:v>
                </c:pt>
                <c:pt idx="24">
                  <c:v>244.2</c:v>
                </c:pt>
                <c:pt idx="25">
                  <c:v>244.2</c:v>
                </c:pt>
                <c:pt idx="26">
                  <c:v>244.2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ABBA-440C-974C-DCCB503D73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4390560"/>
        <c:axId val="1154377504"/>
      </c:scatterChart>
      <c:valAx>
        <c:axId val="11543905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/>
                  <a:t>DISPLACEMENT</a:t>
                </a:r>
                <a:r>
                  <a:rPr lang="en-US"/>
                  <a:t>,</a:t>
                </a:r>
                <a:r>
                  <a:rPr lang="en-US" baseline="0"/>
                  <a:t> cm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4377504"/>
        <c:crosses val="autoZero"/>
        <c:crossBetween val="midCat"/>
      </c:valAx>
      <c:valAx>
        <c:axId val="11543775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</a:t>
                </a:r>
                <a:r>
                  <a:rPr lang="en-US" baseline="0"/>
                  <a:t> LOAD, kg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439056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0.15,0.8,80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'Pull-out(E)'!$AG$226:$AG$325</c:f>
              <c:numCache>
                <c:formatCode>0.00</c:formatCode>
                <c:ptCount val="77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0.55000000000000004</c:v>
                </c:pt>
                <c:pt idx="29">
                  <c:v>0.56000000000000005</c:v>
                </c:pt>
                <c:pt idx="30">
                  <c:v>0.57999999999999996</c:v>
                </c:pt>
                <c:pt idx="31">
                  <c:v>0.6</c:v>
                </c:pt>
                <c:pt idx="32">
                  <c:v>0.62</c:v>
                </c:pt>
                <c:pt idx="33">
                  <c:v>0.64</c:v>
                </c:pt>
                <c:pt idx="34">
                  <c:v>0.65</c:v>
                </c:pt>
                <c:pt idx="35">
                  <c:v>0.66</c:v>
                </c:pt>
                <c:pt idx="36">
                  <c:v>0.68</c:v>
                </c:pt>
                <c:pt idx="37">
                  <c:v>0.70000000000000007</c:v>
                </c:pt>
                <c:pt idx="38">
                  <c:v>0.72</c:v>
                </c:pt>
                <c:pt idx="39">
                  <c:v>0.74</c:v>
                </c:pt>
                <c:pt idx="40">
                  <c:v>0.75</c:v>
                </c:pt>
                <c:pt idx="41">
                  <c:v>0.76</c:v>
                </c:pt>
                <c:pt idx="42">
                  <c:v>0.78</c:v>
                </c:pt>
                <c:pt idx="43">
                  <c:v>0.8</c:v>
                </c:pt>
                <c:pt idx="44">
                  <c:v>0.82000000000000006</c:v>
                </c:pt>
                <c:pt idx="45">
                  <c:v>0.84</c:v>
                </c:pt>
                <c:pt idx="46">
                  <c:v>0.85</c:v>
                </c:pt>
                <c:pt idx="47">
                  <c:v>0.86</c:v>
                </c:pt>
                <c:pt idx="48">
                  <c:v>0.88</c:v>
                </c:pt>
                <c:pt idx="49">
                  <c:v>0.9</c:v>
                </c:pt>
                <c:pt idx="50">
                  <c:v>0.92</c:v>
                </c:pt>
                <c:pt idx="51">
                  <c:v>0.94000000000000006</c:v>
                </c:pt>
                <c:pt idx="52">
                  <c:v>0.95000000000000007</c:v>
                </c:pt>
                <c:pt idx="53">
                  <c:v>0.96</c:v>
                </c:pt>
                <c:pt idx="54">
                  <c:v>0.98</c:v>
                </c:pt>
                <c:pt idx="55">
                  <c:v>1</c:v>
                </c:pt>
                <c:pt idx="56">
                  <c:v>1.02</c:v>
                </c:pt>
                <c:pt idx="57">
                  <c:v>1.04</c:v>
                </c:pt>
                <c:pt idx="58">
                  <c:v>1.05</c:v>
                </c:pt>
                <c:pt idx="59">
                  <c:v>1.06</c:v>
                </c:pt>
                <c:pt idx="60">
                  <c:v>1.08</c:v>
                </c:pt>
                <c:pt idx="61">
                  <c:v>1.1000000000000001</c:v>
                </c:pt>
                <c:pt idx="62">
                  <c:v>1.1500000000000001</c:v>
                </c:pt>
                <c:pt idx="63">
                  <c:v>1.2</c:v>
                </c:pt>
                <c:pt idx="64">
                  <c:v>1.25</c:v>
                </c:pt>
                <c:pt idx="65">
                  <c:v>1.3</c:v>
                </c:pt>
                <c:pt idx="66">
                  <c:v>1.35</c:v>
                </c:pt>
                <c:pt idx="67">
                  <c:v>1.4000000000000001</c:v>
                </c:pt>
                <c:pt idx="68">
                  <c:v>1.45</c:v>
                </c:pt>
                <c:pt idx="69">
                  <c:v>1.5</c:v>
                </c:pt>
                <c:pt idx="70">
                  <c:v>1.55</c:v>
                </c:pt>
                <c:pt idx="71">
                  <c:v>1.6</c:v>
                </c:pt>
                <c:pt idx="72">
                  <c:v>1.6500000000000001</c:v>
                </c:pt>
                <c:pt idx="73">
                  <c:v>1.7</c:v>
                </c:pt>
                <c:pt idx="74">
                  <c:v>1.72</c:v>
                </c:pt>
                <c:pt idx="75">
                  <c:v>1.74</c:v>
                </c:pt>
                <c:pt idx="76">
                  <c:v>1.75</c:v>
                </c:pt>
              </c:numCache>
            </c:numRef>
          </c:xVal>
          <c:yVal>
            <c:numRef>
              <c:f>'Pull-out(E)'!$AI$226:$AI$325</c:f>
              <c:numCache>
                <c:formatCode>0.00</c:formatCode>
                <c:ptCount val="77"/>
                <c:pt idx="0">
                  <c:v>0</c:v>
                </c:pt>
                <c:pt idx="1">
                  <c:v>61.05</c:v>
                </c:pt>
                <c:pt idx="2">
                  <c:v>105.45</c:v>
                </c:pt>
                <c:pt idx="3">
                  <c:v>210.9</c:v>
                </c:pt>
                <c:pt idx="4">
                  <c:v>244.2</c:v>
                </c:pt>
                <c:pt idx="5">
                  <c:v>310.8</c:v>
                </c:pt>
                <c:pt idx="6">
                  <c:v>349.65</c:v>
                </c:pt>
                <c:pt idx="7">
                  <c:v>388.5</c:v>
                </c:pt>
                <c:pt idx="8">
                  <c:v>449.55</c:v>
                </c:pt>
                <c:pt idx="9">
                  <c:v>482.84999999999997</c:v>
                </c:pt>
                <c:pt idx="10">
                  <c:v>510.59999999999997</c:v>
                </c:pt>
                <c:pt idx="11">
                  <c:v>532.79999999999995</c:v>
                </c:pt>
                <c:pt idx="12">
                  <c:v>566.1</c:v>
                </c:pt>
                <c:pt idx="13">
                  <c:v>593.85</c:v>
                </c:pt>
                <c:pt idx="14">
                  <c:v>610.5</c:v>
                </c:pt>
                <c:pt idx="15">
                  <c:v>632.69999999999993</c:v>
                </c:pt>
                <c:pt idx="16">
                  <c:v>643.79999999999995</c:v>
                </c:pt>
                <c:pt idx="17">
                  <c:v>666</c:v>
                </c:pt>
                <c:pt idx="18">
                  <c:v>682.65</c:v>
                </c:pt>
                <c:pt idx="19">
                  <c:v>699.3</c:v>
                </c:pt>
                <c:pt idx="20">
                  <c:v>710.4</c:v>
                </c:pt>
                <c:pt idx="21">
                  <c:v>727.05</c:v>
                </c:pt>
                <c:pt idx="22">
                  <c:v>743.69999999999993</c:v>
                </c:pt>
                <c:pt idx="23">
                  <c:v>754.8</c:v>
                </c:pt>
                <c:pt idx="24">
                  <c:v>760.35</c:v>
                </c:pt>
                <c:pt idx="25">
                  <c:v>771.44999999999993</c:v>
                </c:pt>
                <c:pt idx="26">
                  <c:v>782.55</c:v>
                </c:pt>
                <c:pt idx="27">
                  <c:v>793.65</c:v>
                </c:pt>
                <c:pt idx="28">
                  <c:v>793.65</c:v>
                </c:pt>
                <c:pt idx="29">
                  <c:v>799.19999999999993</c:v>
                </c:pt>
                <c:pt idx="30">
                  <c:v>804.75</c:v>
                </c:pt>
                <c:pt idx="31">
                  <c:v>810.3</c:v>
                </c:pt>
                <c:pt idx="32">
                  <c:v>821.4</c:v>
                </c:pt>
                <c:pt idx="33">
                  <c:v>826.94999999999993</c:v>
                </c:pt>
                <c:pt idx="34">
                  <c:v>826.94999999999993</c:v>
                </c:pt>
                <c:pt idx="35">
                  <c:v>832.5</c:v>
                </c:pt>
                <c:pt idx="36">
                  <c:v>843.6</c:v>
                </c:pt>
                <c:pt idx="37">
                  <c:v>854.69999999999993</c:v>
                </c:pt>
                <c:pt idx="38">
                  <c:v>854.69999999999993</c:v>
                </c:pt>
                <c:pt idx="39">
                  <c:v>860.25</c:v>
                </c:pt>
                <c:pt idx="40">
                  <c:v>860.25</c:v>
                </c:pt>
                <c:pt idx="41">
                  <c:v>865.8</c:v>
                </c:pt>
                <c:pt idx="42">
                  <c:v>871.35</c:v>
                </c:pt>
                <c:pt idx="43">
                  <c:v>876.9</c:v>
                </c:pt>
                <c:pt idx="44">
                  <c:v>876.9</c:v>
                </c:pt>
                <c:pt idx="45">
                  <c:v>882.44999999999993</c:v>
                </c:pt>
                <c:pt idx="46">
                  <c:v>882.44999999999993</c:v>
                </c:pt>
                <c:pt idx="47">
                  <c:v>888</c:v>
                </c:pt>
                <c:pt idx="48">
                  <c:v>899.1</c:v>
                </c:pt>
                <c:pt idx="49">
                  <c:v>904.65</c:v>
                </c:pt>
                <c:pt idx="50">
                  <c:v>915.75</c:v>
                </c:pt>
                <c:pt idx="51">
                  <c:v>915.75</c:v>
                </c:pt>
                <c:pt idx="52">
                  <c:v>915.75</c:v>
                </c:pt>
                <c:pt idx="53">
                  <c:v>921.3</c:v>
                </c:pt>
                <c:pt idx="54">
                  <c:v>921.3</c:v>
                </c:pt>
                <c:pt idx="55">
                  <c:v>926.85</c:v>
                </c:pt>
                <c:pt idx="56">
                  <c:v>926.85</c:v>
                </c:pt>
                <c:pt idx="57">
                  <c:v>932.4</c:v>
                </c:pt>
                <c:pt idx="58">
                  <c:v>932.4</c:v>
                </c:pt>
                <c:pt idx="59">
                  <c:v>937.94999999999993</c:v>
                </c:pt>
                <c:pt idx="60">
                  <c:v>943.5</c:v>
                </c:pt>
                <c:pt idx="61">
                  <c:v>943.5</c:v>
                </c:pt>
                <c:pt idx="62">
                  <c:v>954.6</c:v>
                </c:pt>
                <c:pt idx="63">
                  <c:v>971.25</c:v>
                </c:pt>
                <c:pt idx="64">
                  <c:v>976.8</c:v>
                </c:pt>
                <c:pt idx="65">
                  <c:v>976.8</c:v>
                </c:pt>
                <c:pt idx="66">
                  <c:v>982.35</c:v>
                </c:pt>
                <c:pt idx="67">
                  <c:v>987.9</c:v>
                </c:pt>
                <c:pt idx="68">
                  <c:v>987.9</c:v>
                </c:pt>
                <c:pt idx="69">
                  <c:v>993.44999999999993</c:v>
                </c:pt>
                <c:pt idx="70">
                  <c:v>993.44999999999993</c:v>
                </c:pt>
                <c:pt idx="71">
                  <c:v>999</c:v>
                </c:pt>
                <c:pt idx="72">
                  <c:v>1004.55</c:v>
                </c:pt>
                <c:pt idx="73">
                  <c:v>1004.55</c:v>
                </c:pt>
                <c:pt idx="74">
                  <c:v>1010.1</c:v>
                </c:pt>
                <c:pt idx="75">
                  <c:v>1010.1</c:v>
                </c:pt>
                <c:pt idx="76">
                  <c:v>1010.1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23EE-4A36-AAC9-F83D4F6A2D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4386752"/>
        <c:axId val="1154380768"/>
      </c:scatterChart>
      <c:valAx>
        <c:axId val="11543867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/>
                  <a:t>DISPLACEMENT</a:t>
                </a:r>
                <a:r>
                  <a:rPr lang="en-US"/>
                  <a:t>,</a:t>
                </a:r>
                <a:r>
                  <a:rPr lang="en-US" baseline="0"/>
                  <a:t> cm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4380768"/>
        <c:crosses val="autoZero"/>
        <c:crossBetween val="midCat"/>
      </c:valAx>
      <c:valAx>
        <c:axId val="11543807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</a:t>
                </a:r>
                <a:r>
                  <a:rPr lang="en-US" baseline="0"/>
                  <a:t> LOAD, kg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43867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0.30,0.3,35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'Pull-out(E)'!$C$14:$C$21</c:f>
              <c:numCache>
                <c:formatCode>0.00</c:formatCode>
                <c:ptCount val="8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</c:numCache>
            </c:numRef>
          </c:xVal>
          <c:yVal>
            <c:numRef>
              <c:f>'Pull-out(E)'!$E$14:$E$21</c:f>
              <c:numCache>
                <c:formatCode>0.00</c:formatCode>
                <c:ptCount val="8"/>
                <c:pt idx="0">
                  <c:v>0</c:v>
                </c:pt>
                <c:pt idx="1">
                  <c:v>38.85</c:v>
                </c:pt>
                <c:pt idx="2">
                  <c:v>66.599999999999994</c:v>
                </c:pt>
                <c:pt idx="3">
                  <c:v>105.45</c:v>
                </c:pt>
                <c:pt idx="4">
                  <c:v>105.45</c:v>
                </c:pt>
                <c:pt idx="5">
                  <c:v>111</c:v>
                </c:pt>
                <c:pt idx="6">
                  <c:v>111</c:v>
                </c:pt>
                <c:pt idx="7">
                  <c:v>111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1F6F-41B8-92F2-EFBC313FC2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4375872"/>
        <c:axId val="1154378048"/>
      </c:scatterChart>
      <c:valAx>
        <c:axId val="11543758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/>
                  <a:t>DISPLACEMENT</a:t>
                </a:r>
                <a:r>
                  <a:rPr lang="en-US"/>
                  <a:t>,</a:t>
                </a:r>
                <a:r>
                  <a:rPr lang="en-US" baseline="0"/>
                  <a:t> cm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4378048"/>
        <c:crosses val="autoZero"/>
        <c:crossBetween val="midCat"/>
      </c:valAx>
      <c:valAx>
        <c:axId val="1154378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</a:t>
                </a:r>
                <a:r>
                  <a:rPr lang="en-US" baseline="0"/>
                  <a:t> LOAD, kg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437587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0.30,0.5,35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'Pull-out(E)'!$I$14:$I$37</c:f>
              <c:numCache>
                <c:formatCode>0.00</c:formatCode>
                <c:ptCount val="24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</c:numCache>
            </c:numRef>
          </c:xVal>
          <c:yVal>
            <c:numRef>
              <c:f>'Pull-out(E)'!$K$14:$K$37</c:f>
              <c:numCache>
                <c:formatCode>0.00</c:formatCode>
                <c:ptCount val="24"/>
                <c:pt idx="0">
                  <c:v>0</c:v>
                </c:pt>
                <c:pt idx="1">
                  <c:v>44.4</c:v>
                </c:pt>
                <c:pt idx="2">
                  <c:v>77.7</c:v>
                </c:pt>
                <c:pt idx="3">
                  <c:v>149.85</c:v>
                </c:pt>
                <c:pt idx="4">
                  <c:v>199.79999999999998</c:v>
                </c:pt>
                <c:pt idx="5">
                  <c:v>222</c:v>
                </c:pt>
                <c:pt idx="6">
                  <c:v>227.54999999999998</c:v>
                </c:pt>
                <c:pt idx="7">
                  <c:v>238.65</c:v>
                </c:pt>
                <c:pt idx="8">
                  <c:v>249.75</c:v>
                </c:pt>
                <c:pt idx="9">
                  <c:v>249.75</c:v>
                </c:pt>
                <c:pt idx="10">
                  <c:v>255.29999999999998</c:v>
                </c:pt>
                <c:pt idx="11">
                  <c:v>255.29999999999998</c:v>
                </c:pt>
                <c:pt idx="12">
                  <c:v>260.84999999999997</c:v>
                </c:pt>
                <c:pt idx="13">
                  <c:v>266.39999999999998</c:v>
                </c:pt>
                <c:pt idx="14">
                  <c:v>266.39999999999998</c:v>
                </c:pt>
                <c:pt idx="15">
                  <c:v>266.39999999999998</c:v>
                </c:pt>
                <c:pt idx="16">
                  <c:v>271.95</c:v>
                </c:pt>
                <c:pt idx="17">
                  <c:v>271.95</c:v>
                </c:pt>
                <c:pt idx="18">
                  <c:v>277.5</c:v>
                </c:pt>
                <c:pt idx="19">
                  <c:v>277.5</c:v>
                </c:pt>
                <c:pt idx="20">
                  <c:v>283.05</c:v>
                </c:pt>
                <c:pt idx="21">
                  <c:v>283.05</c:v>
                </c:pt>
                <c:pt idx="22">
                  <c:v>288.59999999999997</c:v>
                </c:pt>
                <c:pt idx="23">
                  <c:v>288.59999999999997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EB09-4067-B32E-B913B4CD4F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4381856"/>
        <c:axId val="1154384576"/>
      </c:scatterChart>
      <c:valAx>
        <c:axId val="11543818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/>
                  <a:t>DISPLACEMENT</a:t>
                </a:r>
                <a:r>
                  <a:rPr lang="en-US"/>
                  <a:t>,</a:t>
                </a:r>
                <a:r>
                  <a:rPr lang="en-US" baseline="0"/>
                  <a:t> cm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4384576"/>
        <c:crosses val="autoZero"/>
        <c:crossBetween val="midCat"/>
      </c:valAx>
      <c:valAx>
        <c:axId val="1154384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</a:t>
                </a:r>
                <a:r>
                  <a:rPr lang="en-US" baseline="0"/>
                  <a:t> LOAD, kg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43818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0.30,0.8,35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'Pull-out(E)'!$O$14:$O$69</c:f>
              <c:numCache>
                <c:formatCode>0.00</c:formatCode>
                <c:ptCount val="40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0.55000000000000004</c:v>
                </c:pt>
                <c:pt idx="29">
                  <c:v>0.6</c:v>
                </c:pt>
                <c:pt idx="30">
                  <c:v>0.65</c:v>
                </c:pt>
                <c:pt idx="31">
                  <c:v>0.70000000000000007</c:v>
                </c:pt>
                <c:pt idx="32">
                  <c:v>0.75</c:v>
                </c:pt>
                <c:pt idx="33">
                  <c:v>0.8</c:v>
                </c:pt>
                <c:pt idx="34">
                  <c:v>0.85</c:v>
                </c:pt>
                <c:pt idx="35">
                  <c:v>0.9</c:v>
                </c:pt>
                <c:pt idx="36">
                  <c:v>0.95000000000000007</c:v>
                </c:pt>
                <c:pt idx="37">
                  <c:v>0.96</c:v>
                </c:pt>
                <c:pt idx="38">
                  <c:v>0.98</c:v>
                </c:pt>
                <c:pt idx="39">
                  <c:v>1</c:v>
                </c:pt>
              </c:numCache>
            </c:numRef>
          </c:xVal>
          <c:yVal>
            <c:numRef>
              <c:f>'Pull-out(E)'!$Q$14:$Q$69</c:f>
              <c:numCache>
                <c:formatCode>0.00</c:formatCode>
                <c:ptCount val="40"/>
                <c:pt idx="0">
                  <c:v>0</c:v>
                </c:pt>
                <c:pt idx="1">
                  <c:v>88.8</c:v>
                </c:pt>
                <c:pt idx="2">
                  <c:v>305.25</c:v>
                </c:pt>
                <c:pt idx="3">
                  <c:v>349.65</c:v>
                </c:pt>
                <c:pt idx="4">
                  <c:v>399.59999999999997</c:v>
                </c:pt>
                <c:pt idx="5">
                  <c:v>427.34999999999997</c:v>
                </c:pt>
                <c:pt idx="6">
                  <c:v>444</c:v>
                </c:pt>
                <c:pt idx="7">
                  <c:v>460.65</c:v>
                </c:pt>
                <c:pt idx="8">
                  <c:v>471.75</c:v>
                </c:pt>
                <c:pt idx="9">
                  <c:v>488.4</c:v>
                </c:pt>
                <c:pt idx="10">
                  <c:v>499.5</c:v>
                </c:pt>
                <c:pt idx="11">
                  <c:v>510.59999999999997</c:v>
                </c:pt>
                <c:pt idx="12">
                  <c:v>521.69999999999993</c:v>
                </c:pt>
                <c:pt idx="13">
                  <c:v>527.25</c:v>
                </c:pt>
                <c:pt idx="14">
                  <c:v>538.35</c:v>
                </c:pt>
                <c:pt idx="15">
                  <c:v>549.44999999999993</c:v>
                </c:pt>
                <c:pt idx="16">
                  <c:v>560.54999999999995</c:v>
                </c:pt>
                <c:pt idx="17">
                  <c:v>566.1</c:v>
                </c:pt>
                <c:pt idx="18">
                  <c:v>571.65</c:v>
                </c:pt>
                <c:pt idx="19">
                  <c:v>582.75</c:v>
                </c:pt>
                <c:pt idx="20">
                  <c:v>588.29999999999995</c:v>
                </c:pt>
                <c:pt idx="21">
                  <c:v>593.85</c:v>
                </c:pt>
                <c:pt idx="22">
                  <c:v>593.85</c:v>
                </c:pt>
                <c:pt idx="23">
                  <c:v>604.94999999999993</c:v>
                </c:pt>
                <c:pt idx="24">
                  <c:v>610.5</c:v>
                </c:pt>
                <c:pt idx="25">
                  <c:v>610.5</c:v>
                </c:pt>
                <c:pt idx="26">
                  <c:v>616.04999999999995</c:v>
                </c:pt>
                <c:pt idx="27">
                  <c:v>621.6</c:v>
                </c:pt>
                <c:pt idx="28">
                  <c:v>621.6</c:v>
                </c:pt>
                <c:pt idx="29">
                  <c:v>638.25</c:v>
                </c:pt>
                <c:pt idx="30">
                  <c:v>643.79999999999995</c:v>
                </c:pt>
                <c:pt idx="31">
                  <c:v>654.9</c:v>
                </c:pt>
                <c:pt idx="32">
                  <c:v>660.44999999999993</c:v>
                </c:pt>
                <c:pt idx="33">
                  <c:v>666</c:v>
                </c:pt>
                <c:pt idx="34">
                  <c:v>671.55</c:v>
                </c:pt>
                <c:pt idx="35">
                  <c:v>682.65</c:v>
                </c:pt>
                <c:pt idx="36">
                  <c:v>688.19999999999993</c:v>
                </c:pt>
                <c:pt idx="37">
                  <c:v>693.75</c:v>
                </c:pt>
                <c:pt idx="38">
                  <c:v>699.3</c:v>
                </c:pt>
                <c:pt idx="39">
                  <c:v>693.75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B340-4CD9-AC91-DEB8595E3A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4386208"/>
        <c:axId val="1154388928"/>
      </c:scatterChart>
      <c:valAx>
        <c:axId val="11543862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/>
                  <a:t>DISPLACEMENT</a:t>
                </a:r>
                <a:r>
                  <a:rPr lang="en-US"/>
                  <a:t>,</a:t>
                </a:r>
                <a:r>
                  <a:rPr lang="en-US" baseline="0"/>
                  <a:t> cm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4388928"/>
        <c:crosses val="autoZero"/>
        <c:crossBetween val="midCat"/>
      </c:valAx>
      <c:valAx>
        <c:axId val="1154388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</a:t>
                </a:r>
                <a:r>
                  <a:rPr lang="en-US" baseline="0"/>
                  <a:t> LOAD, kg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43862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0.30,0.3,60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'Pull-out(E)'!$C$115:$C$123</c:f>
              <c:numCache>
                <c:formatCode>0.00</c:formatCode>
                <c:ptCount val="9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</c:numCache>
            </c:numRef>
          </c:xVal>
          <c:yVal>
            <c:numRef>
              <c:f>'Pull-out(E)'!$E$115:$E$123</c:f>
              <c:numCache>
                <c:formatCode>0.00</c:formatCode>
                <c:ptCount val="9"/>
                <c:pt idx="0">
                  <c:v>0</c:v>
                </c:pt>
                <c:pt idx="1">
                  <c:v>44.4</c:v>
                </c:pt>
                <c:pt idx="2">
                  <c:v>72.149999999999991</c:v>
                </c:pt>
                <c:pt idx="3">
                  <c:v>116.55</c:v>
                </c:pt>
                <c:pt idx="4">
                  <c:v>116.55</c:v>
                </c:pt>
                <c:pt idx="5">
                  <c:v>122.1</c:v>
                </c:pt>
                <c:pt idx="6">
                  <c:v>127.64999999999999</c:v>
                </c:pt>
                <c:pt idx="7">
                  <c:v>133.19999999999999</c:v>
                </c:pt>
                <c:pt idx="8">
                  <c:v>133.19999999999999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8BB2-4C5D-B9F7-EBAE98FA6B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4375328"/>
        <c:axId val="1154376416"/>
      </c:scatterChart>
      <c:valAx>
        <c:axId val="11543753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/>
                  <a:t>DISPLACEMENT</a:t>
                </a:r>
                <a:r>
                  <a:rPr lang="en-US"/>
                  <a:t>,</a:t>
                </a:r>
                <a:r>
                  <a:rPr lang="en-US" baseline="0"/>
                  <a:t> cm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4376416"/>
        <c:crosses val="autoZero"/>
        <c:crossBetween val="midCat"/>
      </c:valAx>
      <c:valAx>
        <c:axId val="1154376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</a:t>
                </a:r>
                <a:r>
                  <a:rPr lang="en-US" baseline="0"/>
                  <a:t> LOAD, kg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43753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0.30,0.5,60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'Pull-out(E)'!$I$115:$I$140</c:f>
              <c:numCache>
                <c:formatCode>0.00</c:formatCode>
                <c:ptCount val="26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</c:numCache>
            </c:numRef>
          </c:xVal>
          <c:yVal>
            <c:numRef>
              <c:f>'Pull-out(E)'!$K$115:$K$140</c:f>
              <c:numCache>
                <c:formatCode>0.00</c:formatCode>
                <c:ptCount val="26"/>
                <c:pt idx="0">
                  <c:v>0</c:v>
                </c:pt>
                <c:pt idx="1">
                  <c:v>49.949999999999996</c:v>
                </c:pt>
                <c:pt idx="2">
                  <c:v>83.25</c:v>
                </c:pt>
                <c:pt idx="3">
                  <c:v>160.94999999999999</c:v>
                </c:pt>
                <c:pt idx="4">
                  <c:v>199.79999999999998</c:v>
                </c:pt>
                <c:pt idx="5">
                  <c:v>227.54999999999998</c:v>
                </c:pt>
                <c:pt idx="6">
                  <c:v>238.65</c:v>
                </c:pt>
                <c:pt idx="7">
                  <c:v>249.75</c:v>
                </c:pt>
                <c:pt idx="8">
                  <c:v>260.84999999999997</c:v>
                </c:pt>
                <c:pt idx="9">
                  <c:v>271.95</c:v>
                </c:pt>
                <c:pt idx="10">
                  <c:v>277.5</c:v>
                </c:pt>
                <c:pt idx="11">
                  <c:v>283.05</c:v>
                </c:pt>
                <c:pt idx="12">
                  <c:v>288.59999999999997</c:v>
                </c:pt>
                <c:pt idx="13">
                  <c:v>294.14999999999998</c:v>
                </c:pt>
                <c:pt idx="14">
                  <c:v>294.14999999999998</c:v>
                </c:pt>
                <c:pt idx="15">
                  <c:v>299.7</c:v>
                </c:pt>
                <c:pt idx="16">
                  <c:v>305.25</c:v>
                </c:pt>
                <c:pt idx="17">
                  <c:v>305.25</c:v>
                </c:pt>
                <c:pt idx="18">
                  <c:v>305.25</c:v>
                </c:pt>
                <c:pt idx="19">
                  <c:v>305.25</c:v>
                </c:pt>
                <c:pt idx="20">
                  <c:v>310.8</c:v>
                </c:pt>
                <c:pt idx="21">
                  <c:v>310.8</c:v>
                </c:pt>
                <c:pt idx="22">
                  <c:v>316.34999999999997</c:v>
                </c:pt>
                <c:pt idx="23">
                  <c:v>321.89999999999998</c:v>
                </c:pt>
                <c:pt idx="24">
                  <c:v>321.89999999999998</c:v>
                </c:pt>
                <c:pt idx="25">
                  <c:v>316.34999999999997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E425-4809-864B-BEC4FDA083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4993328"/>
        <c:axId val="1154992784"/>
      </c:scatterChart>
      <c:valAx>
        <c:axId val="11549933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/>
                  <a:t>DISPLACEMENT</a:t>
                </a:r>
                <a:r>
                  <a:rPr lang="en-US"/>
                  <a:t>,</a:t>
                </a:r>
                <a:r>
                  <a:rPr lang="en-US" baseline="0"/>
                  <a:t> cm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4992784"/>
        <c:crosses val="autoZero"/>
        <c:crossBetween val="midCat"/>
      </c:valAx>
      <c:valAx>
        <c:axId val="11549927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</a:t>
                </a:r>
                <a:r>
                  <a:rPr lang="en-US" baseline="0"/>
                  <a:t> LOAD, kg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49933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0.30,0.8,60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'Pull-out(E)'!$O$115:$O$171</c:f>
              <c:numCache>
                <c:formatCode>0.00</c:formatCode>
                <c:ptCount val="55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0.55000000000000004</c:v>
                </c:pt>
                <c:pt idx="29">
                  <c:v>0.56000000000000005</c:v>
                </c:pt>
                <c:pt idx="30">
                  <c:v>0.57999999999999996</c:v>
                </c:pt>
                <c:pt idx="31">
                  <c:v>0.6</c:v>
                </c:pt>
                <c:pt idx="32">
                  <c:v>0.62</c:v>
                </c:pt>
                <c:pt idx="33">
                  <c:v>0.64</c:v>
                </c:pt>
                <c:pt idx="34">
                  <c:v>0.65</c:v>
                </c:pt>
                <c:pt idx="35">
                  <c:v>0.66</c:v>
                </c:pt>
                <c:pt idx="36">
                  <c:v>0.68</c:v>
                </c:pt>
                <c:pt idx="37">
                  <c:v>0.70000000000000007</c:v>
                </c:pt>
                <c:pt idx="38">
                  <c:v>0.75</c:v>
                </c:pt>
                <c:pt idx="39">
                  <c:v>0.76</c:v>
                </c:pt>
                <c:pt idx="40">
                  <c:v>0.78</c:v>
                </c:pt>
                <c:pt idx="41">
                  <c:v>0.8</c:v>
                </c:pt>
                <c:pt idx="42">
                  <c:v>0.82000000000000006</c:v>
                </c:pt>
                <c:pt idx="43">
                  <c:v>0.84</c:v>
                </c:pt>
                <c:pt idx="44">
                  <c:v>0.85</c:v>
                </c:pt>
                <c:pt idx="45">
                  <c:v>0.86</c:v>
                </c:pt>
                <c:pt idx="46">
                  <c:v>0.88</c:v>
                </c:pt>
                <c:pt idx="47">
                  <c:v>0.9</c:v>
                </c:pt>
                <c:pt idx="48">
                  <c:v>0.92</c:v>
                </c:pt>
                <c:pt idx="49">
                  <c:v>0.94000000000000006</c:v>
                </c:pt>
                <c:pt idx="50">
                  <c:v>0.95000000000000007</c:v>
                </c:pt>
                <c:pt idx="51">
                  <c:v>0.96</c:v>
                </c:pt>
                <c:pt idx="52">
                  <c:v>0.98</c:v>
                </c:pt>
                <c:pt idx="53">
                  <c:v>1</c:v>
                </c:pt>
                <c:pt idx="54">
                  <c:v>1.02</c:v>
                </c:pt>
              </c:numCache>
            </c:numRef>
          </c:xVal>
          <c:yVal>
            <c:numRef>
              <c:f>'Pull-out(E)'!$Q$115:$Q$171</c:f>
              <c:numCache>
                <c:formatCode>0.00</c:formatCode>
                <c:ptCount val="55"/>
                <c:pt idx="0">
                  <c:v>0</c:v>
                </c:pt>
                <c:pt idx="1">
                  <c:v>105.45</c:v>
                </c:pt>
                <c:pt idx="2">
                  <c:v>338.55</c:v>
                </c:pt>
                <c:pt idx="3">
                  <c:v>505.05</c:v>
                </c:pt>
                <c:pt idx="4">
                  <c:v>543.9</c:v>
                </c:pt>
                <c:pt idx="5">
                  <c:v>582.75</c:v>
                </c:pt>
                <c:pt idx="6">
                  <c:v>616.04999999999995</c:v>
                </c:pt>
                <c:pt idx="7">
                  <c:v>649.35</c:v>
                </c:pt>
                <c:pt idx="8">
                  <c:v>688.19999999999993</c:v>
                </c:pt>
                <c:pt idx="9">
                  <c:v>721.5</c:v>
                </c:pt>
                <c:pt idx="10">
                  <c:v>738.15</c:v>
                </c:pt>
                <c:pt idx="11">
                  <c:v>749.25</c:v>
                </c:pt>
                <c:pt idx="12">
                  <c:v>765.9</c:v>
                </c:pt>
                <c:pt idx="13">
                  <c:v>777</c:v>
                </c:pt>
                <c:pt idx="14">
                  <c:v>788.1</c:v>
                </c:pt>
                <c:pt idx="15">
                  <c:v>793.65</c:v>
                </c:pt>
                <c:pt idx="16">
                  <c:v>799.19999999999993</c:v>
                </c:pt>
                <c:pt idx="17">
                  <c:v>810.3</c:v>
                </c:pt>
                <c:pt idx="18">
                  <c:v>815.85</c:v>
                </c:pt>
                <c:pt idx="19">
                  <c:v>832.5</c:v>
                </c:pt>
                <c:pt idx="20">
                  <c:v>838.05</c:v>
                </c:pt>
                <c:pt idx="21">
                  <c:v>843.6</c:v>
                </c:pt>
                <c:pt idx="22">
                  <c:v>849.15</c:v>
                </c:pt>
                <c:pt idx="23">
                  <c:v>854.69999999999993</c:v>
                </c:pt>
                <c:pt idx="24">
                  <c:v>854.69999999999993</c:v>
                </c:pt>
                <c:pt idx="25">
                  <c:v>860.25</c:v>
                </c:pt>
                <c:pt idx="26">
                  <c:v>860.25</c:v>
                </c:pt>
                <c:pt idx="27">
                  <c:v>865.8</c:v>
                </c:pt>
                <c:pt idx="28">
                  <c:v>865.8</c:v>
                </c:pt>
                <c:pt idx="29">
                  <c:v>871.35</c:v>
                </c:pt>
                <c:pt idx="30">
                  <c:v>871.35</c:v>
                </c:pt>
                <c:pt idx="31">
                  <c:v>876.9</c:v>
                </c:pt>
                <c:pt idx="32">
                  <c:v>876.9</c:v>
                </c:pt>
                <c:pt idx="33">
                  <c:v>876.9</c:v>
                </c:pt>
                <c:pt idx="34">
                  <c:v>882.44999999999993</c:v>
                </c:pt>
                <c:pt idx="35">
                  <c:v>882.44999999999993</c:v>
                </c:pt>
                <c:pt idx="36">
                  <c:v>888</c:v>
                </c:pt>
                <c:pt idx="37">
                  <c:v>888</c:v>
                </c:pt>
                <c:pt idx="38">
                  <c:v>893.55</c:v>
                </c:pt>
                <c:pt idx="39">
                  <c:v>893.55</c:v>
                </c:pt>
                <c:pt idx="40">
                  <c:v>893.55</c:v>
                </c:pt>
                <c:pt idx="41">
                  <c:v>899.1</c:v>
                </c:pt>
                <c:pt idx="42">
                  <c:v>899.1</c:v>
                </c:pt>
                <c:pt idx="43">
                  <c:v>899.1</c:v>
                </c:pt>
                <c:pt idx="44">
                  <c:v>899.1</c:v>
                </c:pt>
                <c:pt idx="45">
                  <c:v>904.65</c:v>
                </c:pt>
                <c:pt idx="46">
                  <c:v>904.65</c:v>
                </c:pt>
                <c:pt idx="47">
                  <c:v>904.65</c:v>
                </c:pt>
                <c:pt idx="48">
                  <c:v>904.65</c:v>
                </c:pt>
                <c:pt idx="49">
                  <c:v>910.19999999999993</c:v>
                </c:pt>
                <c:pt idx="50">
                  <c:v>910.19999999999993</c:v>
                </c:pt>
                <c:pt idx="51">
                  <c:v>910.19999999999993</c:v>
                </c:pt>
                <c:pt idx="52">
                  <c:v>915.75</c:v>
                </c:pt>
                <c:pt idx="53">
                  <c:v>915.75</c:v>
                </c:pt>
                <c:pt idx="54">
                  <c:v>915.75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2841-4A79-80A4-9A5003D528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4993872"/>
        <c:axId val="1154986256"/>
      </c:scatterChart>
      <c:valAx>
        <c:axId val="11549938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/>
                  <a:t>DISPLACEMENT</a:t>
                </a:r>
                <a:r>
                  <a:rPr lang="en-US"/>
                  <a:t>,</a:t>
                </a:r>
                <a:r>
                  <a:rPr lang="en-US" baseline="0"/>
                  <a:t> cm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4986256"/>
        <c:crosses val="autoZero"/>
        <c:crossBetween val="midCat"/>
      </c:valAx>
      <c:valAx>
        <c:axId val="11549862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</a:t>
                </a:r>
                <a:r>
                  <a:rPr lang="en-US" baseline="0"/>
                  <a:t> LOAD, kg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499387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0.30,0.3,80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'Pull-out(E)'!$C$226:$C$237</c:f>
              <c:numCache>
                <c:formatCode>0.00</c:formatCode>
                <c:ptCount val="12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</c:numCache>
            </c:numRef>
          </c:xVal>
          <c:yVal>
            <c:numRef>
              <c:f>'Pull-out(E)'!$E$226:$E$237</c:f>
              <c:numCache>
                <c:formatCode>0.00</c:formatCode>
                <c:ptCount val="12"/>
                <c:pt idx="0">
                  <c:v>0</c:v>
                </c:pt>
                <c:pt idx="1">
                  <c:v>55.5</c:v>
                </c:pt>
                <c:pt idx="2">
                  <c:v>77.7</c:v>
                </c:pt>
                <c:pt idx="3">
                  <c:v>116.55</c:v>
                </c:pt>
                <c:pt idx="4">
                  <c:v>122.1</c:v>
                </c:pt>
                <c:pt idx="5">
                  <c:v>122.1</c:v>
                </c:pt>
                <c:pt idx="6">
                  <c:v>127.64999999999999</c:v>
                </c:pt>
                <c:pt idx="7">
                  <c:v>133.19999999999999</c:v>
                </c:pt>
                <c:pt idx="8">
                  <c:v>138.75</c:v>
                </c:pt>
                <c:pt idx="9">
                  <c:v>144.29999999999998</c:v>
                </c:pt>
                <c:pt idx="10">
                  <c:v>144.29999999999998</c:v>
                </c:pt>
                <c:pt idx="11">
                  <c:v>144.29999999999998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5AB6-4B83-B276-765DB4F45F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4997680"/>
        <c:axId val="1154990608"/>
      </c:scatterChart>
      <c:valAx>
        <c:axId val="11549976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/>
                  <a:t>DISPLACEMENT</a:t>
                </a:r>
                <a:r>
                  <a:rPr lang="en-US"/>
                  <a:t>,</a:t>
                </a:r>
                <a:r>
                  <a:rPr lang="en-US" baseline="0"/>
                  <a:t> cm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4990608"/>
        <c:crosses val="autoZero"/>
        <c:crossBetween val="midCat"/>
      </c:valAx>
      <c:valAx>
        <c:axId val="1154990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</a:t>
                </a:r>
                <a:r>
                  <a:rPr lang="en-US" baseline="0"/>
                  <a:t> LOAD, kg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49976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0.30,0.5,80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'Pull-out(E)'!$I$226:$I$251</c:f>
              <c:numCache>
                <c:formatCode>0.00</c:formatCode>
                <c:ptCount val="26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</c:numCache>
            </c:numRef>
          </c:xVal>
          <c:yVal>
            <c:numRef>
              <c:f>'Pull-out(E)'!$K$226:$K$251</c:f>
              <c:numCache>
                <c:formatCode>0.00</c:formatCode>
                <c:ptCount val="26"/>
                <c:pt idx="0">
                  <c:v>0</c:v>
                </c:pt>
                <c:pt idx="1">
                  <c:v>66.599999999999994</c:v>
                </c:pt>
                <c:pt idx="2">
                  <c:v>105.45</c:v>
                </c:pt>
                <c:pt idx="3">
                  <c:v>172.04999999999998</c:v>
                </c:pt>
                <c:pt idx="4">
                  <c:v>222</c:v>
                </c:pt>
                <c:pt idx="5">
                  <c:v>277.5</c:v>
                </c:pt>
                <c:pt idx="6">
                  <c:v>305.25</c:v>
                </c:pt>
                <c:pt idx="7">
                  <c:v>321.89999999999998</c:v>
                </c:pt>
                <c:pt idx="8">
                  <c:v>338.55</c:v>
                </c:pt>
                <c:pt idx="9">
                  <c:v>349.65</c:v>
                </c:pt>
                <c:pt idx="10">
                  <c:v>360.75</c:v>
                </c:pt>
                <c:pt idx="11">
                  <c:v>366.3</c:v>
                </c:pt>
                <c:pt idx="12">
                  <c:v>371.84999999999997</c:v>
                </c:pt>
                <c:pt idx="13">
                  <c:v>382.95</c:v>
                </c:pt>
                <c:pt idx="14">
                  <c:v>388.5</c:v>
                </c:pt>
                <c:pt idx="15">
                  <c:v>388.5</c:v>
                </c:pt>
                <c:pt idx="16">
                  <c:v>394.05</c:v>
                </c:pt>
                <c:pt idx="17">
                  <c:v>394.05</c:v>
                </c:pt>
                <c:pt idx="18">
                  <c:v>399.59999999999997</c:v>
                </c:pt>
                <c:pt idx="19">
                  <c:v>399.59999999999997</c:v>
                </c:pt>
                <c:pt idx="20">
                  <c:v>399.59999999999997</c:v>
                </c:pt>
                <c:pt idx="21">
                  <c:v>405.15</c:v>
                </c:pt>
                <c:pt idx="22">
                  <c:v>405.15</c:v>
                </c:pt>
                <c:pt idx="23">
                  <c:v>410.7</c:v>
                </c:pt>
                <c:pt idx="24">
                  <c:v>410.7</c:v>
                </c:pt>
                <c:pt idx="25">
                  <c:v>410.7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12A6-4209-89F9-D589AEE709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4997136"/>
        <c:axId val="1154994960"/>
      </c:scatterChart>
      <c:valAx>
        <c:axId val="11549971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/>
                  <a:t>DISPLACEMENT</a:t>
                </a:r>
                <a:r>
                  <a:rPr lang="en-US"/>
                  <a:t>,</a:t>
                </a:r>
                <a:r>
                  <a:rPr lang="en-US" baseline="0"/>
                  <a:t> cm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4994960"/>
        <c:crosses val="autoZero"/>
        <c:crossBetween val="midCat"/>
      </c:valAx>
      <c:valAx>
        <c:axId val="11549949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</a:t>
                </a:r>
                <a:r>
                  <a:rPr lang="en-US" baseline="0"/>
                  <a:t> LOAD, kg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49971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0.30,0.8,80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'Pull-out(E)'!$O$226:$O$285</c:f>
              <c:numCache>
                <c:formatCode>0.00</c:formatCode>
                <c:ptCount val="60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0.55000000000000004</c:v>
                </c:pt>
                <c:pt idx="29">
                  <c:v>0.56000000000000005</c:v>
                </c:pt>
                <c:pt idx="30">
                  <c:v>0.57999999999999996</c:v>
                </c:pt>
                <c:pt idx="31">
                  <c:v>0.6</c:v>
                </c:pt>
                <c:pt idx="32">
                  <c:v>0.62</c:v>
                </c:pt>
                <c:pt idx="33">
                  <c:v>0.64</c:v>
                </c:pt>
                <c:pt idx="34">
                  <c:v>0.65</c:v>
                </c:pt>
                <c:pt idx="35">
                  <c:v>0.66</c:v>
                </c:pt>
                <c:pt idx="36">
                  <c:v>0.68</c:v>
                </c:pt>
                <c:pt idx="37">
                  <c:v>0.70000000000000007</c:v>
                </c:pt>
                <c:pt idx="38">
                  <c:v>0.72</c:v>
                </c:pt>
                <c:pt idx="39">
                  <c:v>0.74</c:v>
                </c:pt>
                <c:pt idx="40">
                  <c:v>0.75</c:v>
                </c:pt>
                <c:pt idx="41">
                  <c:v>0.76</c:v>
                </c:pt>
                <c:pt idx="42">
                  <c:v>0.78</c:v>
                </c:pt>
                <c:pt idx="43">
                  <c:v>0.8</c:v>
                </c:pt>
                <c:pt idx="44">
                  <c:v>0.82000000000000006</c:v>
                </c:pt>
                <c:pt idx="45">
                  <c:v>0.84</c:v>
                </c:pt>
                <c:pt idx="46">
                  <c:v>0.85</c:v>
                </c:pt>
                <c:pt idx="47">
                  <c:v>0.86</c:v>
                </c:pt>
                <c:pt idx="48">
                  <c:v>0.88</c:v>
                </c:pt>
                <c:pt idx="49">
                  <c:v>0.9</c:v>
                </c:pt>
                <c:pt idx="50">
                  <c:v>0.92</c:v>
                </c:pt>
                <c:pt idx="51">
                  <c:v>0.94000000000000006</c:v>
                </c:pt>
                <c:pt idx="52">
                  <c:v>0.96</c:v>
                </c:pt>
                <c:pt idx="53">
                  <c:v>0.98</c:v>
                </c:pt>
                <c:pt idx="54">
                  <c:v>1</c:v>
                </c:pt>
                <c:pt idx="55">
                  <c:v>1.02</c:v>
                </c:pt>
                <c:pt idx="56">
                  <c:v>1.04</c:v>
                </c:pt>
                <c:pt idx="57">
                  <c:v>1.05</c:v>
                </c:pt>
                <c:pt idx="58">
                  <c:v>1.06</c:v>
                </c:pt>
                <c:pt idx="59">
                  <c:v>1.08</c:v>
                </c:pt>
              </c:numCache>
            </c:numRef>
          </c:xVal>
          <c:yVal>
            <c:numRef>
              <c:f>'Pull-out(E)'!$Q$226:$Q$285</c:f>
              <c:numCache>
                <c:formatCode>0.00</c:formatCode>
                <c:ptCount val="60"/>
                <c:pt idx="0">
                  <c:v>0</c:v>
                </c:pt>
                <c:pt idx="1">
                  <c:v>116.55</c:v>
                </c:pt>
                <c:pt idx="2">
                  <c:v>344.09999999999997</c:v>
                </c:pt>
                <c:pt idx="3">
                  <c:v>599.4</c:v>
                </c:pt>
                <c:pt idx="4">
                  <c:v>649.35</c:v>
                </c:pt>
                <c:pt idx="5">
                  <c:v>771.44999999999993</c:v>
                </c:pt>
                <c:pt idx="6">
                  <c:v>871.35</c:v>
                </c:pt>
                <c:pt idx="7">
                  <c:v>915.75</c:v>
                </c:pt>
                <c:pt idx="8">
                  <c:v>976.8</c:v>
                </c:pt>
                <c:pt idx="9">
                  <c:v>1015.65</c:v>
                </c:pt>
                <c:pt idx="10">
                  <c:v>1043.3999999999999</c:v>
                </c:pt>
                <c:pt idx="11">
                  <c:v>1060.05</c:v>
                </c:pt>
                <c:pt idx="12">
                  <c:v>1082.25</c:v>
                </c:pt>
                <c:pt idx="13">
                  <c:v>1098.8999999999999</c:v>
                </c:pt>
                <c:pt idx="14">
                  <c:v>1110</c:v>
                </c:pt>
                <c:pt idx="15">
                  <c:v>1132.2</c:v>
                </c:pt>
                <c:pt idx="16">
                  <c:v>1143.3</c:v>
                </c:pt>
                <c:pt idx="17">
                  <c:v>1154.3999999999999</c:v>
                </c:pt>
                <c:pt idx="18">
                  <c:v>1165.5</c:v>
                </c:pt>
                <c:pt idx="19">
                  <c:v>1171.05</c:v>
                </c:pt>
                <c:pt idx="20">
                  <c:v>1187.7</c:v>
                </c:pt>
                <c:pt idx="21">
                  <c:v>1193.25</c:v>
                </c:pt>
                <c:pt idx="22">
                  <c:v>1204.3499999999999</c:v>
                </c:pt>
                <c:pt idx="23">
                  <c:v>1215.45</c:v>
                </c:pt>
                <c:pt idx="24">
                  <c:v>1221</c:v>
                </c:pt>
                <c:pt idx="25">
                  <c:v>1226.55</c:v>
                </c:pt>
                <c:pt idx="26">
                  <c:v>1232.0999999999999</c:v>
                </c:pt>
                <c:pt idx="27">
                  <c:v>1232.0999999999999</c:v>
                </c:pt>
                <c:pt idx="28">
                  <c:v>1237.6499999999999</c:v>
                </c:pt>
                <c:pt idx="29">
                  <c:v>1243.2</c:v>
                </c:pt>
                <c:pt idx="30">
                  <c:v>1248.75</c:v>
                </c:pt>
                <c:pt idx="31">
                  <c:v>1248.75</c:v>
                </c:pt>
                <c:pt idx="32">
                  <c:v>1254.3</c:v>
                </c:pt>
                <c:pt idx="33">
                  <c:v>1254.3</c:v>
                </c:pt>
                <c:pt idx="34">
                  <c:v>1259.8499999999999</c:v>
                </c:pt>
                <c:pt idx="35">
                  <c:v>1259.8499999999999</c:v>
                </c:pt>
                <c:pt idx="36">
                  <c:v>1259.8499999999999</c:v>
                </c:pt>
                <c:pt idx="37">
                  <c:v>1265.3999999999999</c:v>
                </c:pt>
                <c:pt idx="38">
                  <c:v>1265.3999999999999</c:v>
                </c:pt>
                <c:pt idx="39">
                  <c:v>1265.3999999999999</c:v>
                </c:pt>
                <c:pt idx="40">
                  <c:v>1270.95</c:v>
                </c:pt>
                <c:pt idx="41">
                  <c:v>1270.95</c:v>
                </c:pt>
                <c:pt idx="42">
                  <c:v>1270.95</c:v>
                </c:pt>
                <c:pt idx="43">
                  <c:v>1276.5</c:v>
                </c:pt>
                <c:pt idx="44">
                  <c:v>1276.5</c:v>
                </c:pt>
                <c:pt idx="45">
                  <c:v>1276.5</c:v>
                </c:pt>
                <c:pt idx="46">
                  <c:v>1282.05</c:v>
                </c:pt>
                <c:pt idx="47">
                  <c:v>1282.05</c:v>
                </c:pt>
                <c:pt idx="48">
                  <c:v>1282.05</c:v>
                </c:pt>
                <c:pt idx="49">
                  <c:v>1282.05</c:v>
                </c:pt>
                <c:pt idx="50">
                  <c:v>1287.5999999999999</c:v>
                </c:pt>
                <c:pt idx="51">
                  <c:v>1287.5999999999999</c:v>
                </c:pt>
                <c:pt idx="52">
                  <c:v>1287.5999999999999</c:v>
                </c:pt>
                <c:pt idx="53">
                  <c:v>1293.1499999999999</c:v>
                </c:pt>
                <c:pt idx="54">
                  <c:v>1293.1499999999999</c:v>
                </c:pt>
                <c:pt idx="55">
                  <c:v>1293.1499999999999</c:v>
                </c:pt>
                <c:pt idx="56">
                  <c:v>1293.1499999999999</c:v>
                </c:pt>
                <c:pt idx="57">
                  <c:v>1298.7</c:v>
                </c:pt>
                <c:pt idx="58">
                  <c:v>1298.7</c:v>
                </c:pt>
                <c:pt idx="59">
                  <c:v>1298.7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BED8-4EF6-ACDB-94B2499231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4986800"/>
        <c:axId val="1154990064"/>
      </c:scatterChart>
      <c:valAx>
        <c:axId val="11549868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/>
                  <a:t>DISPLACEMENT</a:t>
                </a:r>
                <a:r>
                  <a:rPr lang="en-US"/>
                  <a:t>,</a:t>
                </a:r>
                <a:r>
                  <a:rPr lang="en-US" baseline="0"/>
                  <a:t> cm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4990064"/>
        <c:crosses val="autoZero"/>
        <c:crossBetween val="midCat"/>
      </c:valAx>
      <c:valAx>
        <c:axId val="115499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</a:t>
                </a:r>
                <a:r>
                  <a:rPr lang="en-US" baseline="0"/>
                  <a:t> LOAD, kg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49868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0.30,0.8,80</c:v>
          </c:tx>
          <c:spPr>
            <a:ln w="28575" cap="rnd">
              <a:solidFill>
                <a:schemeClr val="lt1">
                  <a:alpha val="50000"/>
                </a:schemeClr>
              </a:solidFill>
              <a:round/>
            </a:ln>
            <a:effectLst>
              <a:outerShdw dist="25400" dir="2700000" algn="tl" rotWithShape="0">
                <a:schemeClr val="accent1"/>
              </a:outerShdw>
            </a:effectLst>
          </c:spPr>
          <c:marker>
            <c:symbol val="circle"/>
            <c:size val="6"/>
            <c:spPr>
              <a:solidFill>
                <a:schemeClr val="accent1"/>
              </a:solidFill>
              <a:ln w="22225">
                <a:solidFill>
                  <a:schemeClr val="lt1"/>
                </a:solidFill>
                <a:round/>
              </a:ln>
              <a:effectLst/>
            </c:spPr>
          </c:marker>
          <c:xVal>
            <c:numRef>
              <c:f>'Pull-out(E)'!$Q$226:$Q$285</c:f>
              <c:numCache>
                <c:formatCode>0.00</c:formatCode>
                <c:ptCount val="60"/>
                <c:pt idx="0">
                  <c:v>0</c:v>
                </c:pt>
                <c:pt idx="1">
                  <c:v>116.55</c:v>
                </c:pt>
                <c:pt idx="2">
                  <c:v>344.09999999999997</c:v>
                </c:pt>
                <c:pt idx="3">
                  <c:v>599.4</c:v>
                </c:pt>
                <c:pt idx="4">
                  <c:v>649.35</c:v>
                </c:pt>
                <c:pt idx="5">
                  <c:v>771.44999999999993</c:v>
                </c:pt>
                <c:pt idx="6">
                  <c:v>871.35</c:v>
                </c:pt>
                <c:pt idx="7">
                  <c:v>915.75</c:v>
                </c:pt>
                <c:pt idx="8">
                  <c:v>976.8</c:v>
                </c:pt>
                <c:pt idx="9">
                  <c:v>1015.65</c:v>
                </c:pt>
                <c:pt idx="10">
                  <c:v>1043.3999999999999</c:v>
                </c:pt>
                <c:pt idx="11">
                  <c:v>1060.05</c:v>
                </c:pt>
                <c:pt idx="12">
                  <c:v>1082.25</c:v>
                </c:pt>
                <c:pt idx="13">
                  <c:v>1098.8999999999999</c:v>
                </c:pt>
                <c:pt idx="14">
                  <c:v>1110</c:v>
                </c:pt>
                <c:pt idx="15">
                  <c:v>1132.2</c:v>
                </c:pt>
                <c:pt idx="16">
                  <c:v>1143.3</c:v>
                </c:pt>
                <c:pt idx="17">
                  <c:v>1154.3999999999999</c:v>
                </c:pt>
                <c:pt idx="18">
                  <c:v>1165.5</c:v>
                </c:pt>
                <c:pt idx="19">
                  <c:v>1171.05</c:v>
                </c:pt>
                <c:pt idx="20">
                  <c:v>1187.7</c:v>
                </c:pt>
                <c:pt idx="21">
                  <c:v>1193.25</c:v>
                </c:pt>
                <c:pt idx="22">
                  <c:v>1204.3499999999999</c:v>
                </c:pt>
                <c:pt idx="23">
                  <c:v>1215.45</c:v>
                </c:pt>
                <c:pt idx="24">
                  <c:v>1221</c:v>
                </c:pt>
                <c:pt idx="25">
                  <c:v>1226.55</c:v>
                </c:pt>
                <c:pt idx="26">
                  <c:v>1232.0999999999999</c:v>
                </c:pt>
                <c:pt idx="27">
                  <c:v>1232.0999999999999</c:v>
                </c:pt>
                <c:pt idx="28">
                  <c:v>1237.6499999999999</c:v>
                </c:pt>
                <c:pt idx="29">
                  <c:v>1243.2</c:v>
                </c:pt>
                <c:pt idx="30">
                  <c:v>1248.75</c:v>
                </c:pt>
                <c:pt idx="31">
                  <c:v>1248.75</c:v>
                </c:pt>
                <c:pt idx="32">
                  <c:v>1254.3</c:v>
                </c:pt>
                <c:pt idx="33">
                  <c:v>1254.3</c:v>
                </c:pt>
                <c:pt idx="34">
                  <c:v>1259.8499999999999</c:v>
                </c:pt>
                <c:pt idx="35">
                  <c:v>1259.8499999999999</c:v>
                </c:pt>
                <c:pt idx="36">
                  <c:v>1259.8499999999999</c:v>
                </c:pt>
                <c:pt idx="37">
                  <c:v>1265.3999999999999</c:v>
                </c:pt>
                <c:pt idx="38">
                  <c:v>1265.3999999999999</c:v>
                </c:pt>
                <c:pt idx="39">
                  <c:v>1265.3999999999999</c:v>
                </c:pt>
                <c:pt idx="40">
                  <c:v>1270.95</c:v>
                </c:pt>
                <c:pt idx="41">
                  <c:v>1270.95</c:v>
                </c:pt>
                <c:pt idx="42">
                  <c:v>1270.95</c:v>
                </c:pt>
                <c:pt idx="43">
                  <c:v>1276.5</c:v>
                </c:pt>
                <c:pt idx="44">
                  <c:v>1276.5</c:v>
                </c:pt>
                <c:pt idx="45">
                  <c:v>1276.5</c:v>
                </c:pt>
                <c:pt idx="46">
                  <c:v>1282.05</c:v>
                </c:pt>
                <c:pt idx="47">
                  <c:v>1282.05</c:v>
                </c:pt>
                <c:pt idx="48">
                  <c:v>1282.05</c:v>
                </c:pt>
                <c:pt idx="49">
                  <c:v>1282.05</c:v>
                </c:pt>
                <c:pt idx="50">
                  <c:v>1287.5999999999999</c:v>
                </c:pt>
                <c:pt idx="51">
                  <c:v>1287.5999999999999</c:v>
                </c:pt>
                <c:pt idx="52">
                  <c:v>1287.5999999999999</c:v>
                </c:pt>
                <c:pt idx="53">
                  <c:v>1293.1499999999999</c:v>
                </c:pt>
                <c:pt idx="54">
                  <c:v>1293.1499999999999</c:v>
                </c:pt>
                <c:pt idx="55">
                  <c:v>1293.1499999999999</c:v>
                </c:pt>
                <c:pt idx="56">
                  <c:v>1293.1499999999999</c:v>
                </c:pt>
                <c:pt idx="57">
                  <c:v>1298.7</c:v>
                </c:pt>
                <c:pt idx="58">
                  <c:v>1298.7</c:v>
                </c:pt>
                <c:pt idx="59">
                  <c:v>1298.7</c:v>
                </c:pt>
              </c:numCache>
            </c:numRef>
          </c:xVal>
          <c:yVal>
            <c:numRef>
              <c:f>'Pull-out(E)'!$O$226:$O$285</c:f>
              <c:numCache>
                <c:formatCode>0.00</c:formatCode>
                <c:ptCount val="60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0.55000000000000004</c:v>
                </c:pt>
                <c:pt idx="29">
                  <c:v>0.56000000000000005</c:v>
                </c:pt>
                <c:pt idx="30">
                  <c:v>0.57999999999999996</c:v>
                </c:pt>
                <c:pt idx="31">
                  <c:v>0.6</c:v>
                </c:pt>
                <c:pt idx="32">
                  <c:v>0.62</c:v>
                </c:pt>
                <c:pt idx="33">
                  <c:v>0.64</c:v>
                </c:pt>
                <c:pt idx="34">
                  <c:v>0.65</c:v>
                </c:pt>
                <c:pt idx="35">
                  <c:v>0.66</c:v>
                </c:pt>
                <c:pt idx="36">
                  <c:v>0.68</c:v>
                </c:pt>
                <c:pt idx="37">
                  <c:v>0.70000000000000007</c:v>
                </c:pt>
                <c:pt idx="38">
                  <c:v>0.72</c:v>
                </c:pt>
                <c:pt idx="39">
                  <c:v>0.74</c:v>
                </c:pt>
                <c:pt idx="40">
                  <c:v>0.75</c:v>
                </c:pt>
                <c:pt idx="41">
                  <c:v>0.76</c:v>
                </c:pt>
                <c:pt idx="42">
                  <c:v>0.78</c:v>
                </c:pt>
                <c:pt idx="43">
                  <c:v>0.8</c:v>
                </c:pt>
                <c:pt idx="44">
                  <c:v>0.82000000000000006</c:v>
                </c:pt>
                <c:pt idx="45">
                  <c:v>0.84</c:v>
                </c:pt>
                <c:pt idx="46">
                  <c:v>0.85</c:v>
                </c:pt>
                <c:pt idx="47">
                  <c:v>0.86</c:v>
                </c:pt>
                <c:pt idx="48">
                  <c:v>0.88</c:v>
                </c:pt>
                <c:pt idx="49">
                  <c:v>0.9</c:v>
                </c:pt>
                <c:pt idx="50">
                  <c:v>0.92</c:v>
                </c:pt>
                <c:pt idx="51">
                  <c:v>0.94000000000000006</c:v>
                </c:pt>
                <c:pt idx="52">
                  <c:v>0.96</c:v>
                </c:pt>
                <c:pt idx="53">
                  <c:v>0.98</c:v>
                </c:pt>
                <c:pt idx="54">
                  <c:v>1</c:v>
                </c:pt>
                <c:pt idx="55">
                  <c:v>1.02</c:v>
                </c:pt>
                <c:pt idx="56">
                  <c:v>1.04</c:v>
                </c:pt>
                <c:pt idx="57">
                  <c:v>1.05</c:v>
                </c:pt>
                <c:pt idx="58">
                  <c:v>1.06</c:v>
                </c:pt>
                <c:pt idx="59">
                  <c:v>1.08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3FB6-4634-BBAC-E540799878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4996048"/>
        <c:axId val="1154999312"/>
      </c:scatterChart>
      <c:valAx>
        <c:axId val="11549960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alpha val="2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DISPLACEMENT, cm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4999312"/>
        <c:crosses val="autoZero"/>
        <c:crossBetween val="midCat"/>
      </c:valAx>
      <c:valAx>
        <c:axId val="11549993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alpha val="2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LOAD, kg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499604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35%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gradFill>
                <a:gsLst>
                  <a:gs pos="0">
                    <a:schemeClr val="accent1">
                      <a:lumMod val="5000"/>
                      <a:lumOff val="95000"/>
                    </a:schemeClr>
                  </a:gs>
                  <a:gs pos="74000">
                    <a:schemeClr val="accent1">
                      <a:lumMod val="45000"/>
                      <a:lumOff val="55000"/>
                    </a:schemeClr>
                  </a:gs>
                  <a:gs pos="83000">
                    <a:schemeClr val="accent1">
                      <a:lumMod val="45000"/>
                      <a:lumOff val="55000"/>
                    </a:schemeClr>
                  </a:gs>
                  <a:gs pos="100000">
                    <a:schemeClr val="accent1">
                      <a:lumMod val="30000"/>
                      <a:lumOff val="70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'Pull-out(E)'!$C$14:$C$21</c:f>
              <c:numCache>
                <c:formatCode>0.00</c:formatCode>
                <c:ptCount val="8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</c:numCache>
            </c:numRef>
          </c:xVal>
          <c:yVal>
            <c:numRef>
              <c:f>'Pull-out(E)'!$E$14:$E$21</c:f>
              <c:numCache>
                <c:formatCode>0.00</c:formatCode>
                <c:ptCount val="8"/>
                <c:pt idx="0">
                  <c:v>0</c:v>
                </c:pt>
                <c:pt idx="1">
                  <c:v>38.85</c:v>
                </c:pt>
                <c:pt idx="2">
                  <c:v>66.599999999999994</c:v>
                </c:pt>
                <c:pt idx="3">
                  <c:v>105.45</c:v>
                </c:pt>
                <c:pt idx="4">
                  <c:v>105.45</c:v>
                </c:pt>
                <c:pt idx="5">
                  <c:v>111</c:v>
                </c:pt>
                <c:pt idx="6">
                  <c:v>111</c:v>
                </c:pt>
                <c:pt idx="7">
                  <c:v>111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532F-4B9E-BF46-0DA6B0761C41}"/>
            </c:ext>
          </c:extLst>
        </c:ser>
        <c:ser>
          <c:idx val="1"/>
          <c:order val="1"/>
          <c:tx>
            <c:v>60%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'Pull-out(E)'!$C$115:$C$123</c:f>
              <c:numCache>
                <c:formatCode>0.00</c:formatCode>
                <c:ptCount val="9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</c:numCache>
            </c:numRef>
          </c:xVal>
          <c:yVal>
            <c:numRef>
              <c:f>'Pull-out(E)'!$E$115:$E$123</c:f>
              <c:numCache>
                <c:formatCode>0.00</c:formatCode>
                <c:ptCount val="9"/>
                <c:pt idx="0">
                  <c:v>0</c:v>
                </c:pt>
                <c:pt idx="1">
                  <c:v>44.4</c:v>
                </c:pt>
                <c:pt idx="2">
                  <c:v>72.149999999999991</c:v>
                </c:pt>
                <c:pt idx="3">
                  <c:v>116.55</c:v>
                </c:pt>
                <c:pt idx="4">
                  <c:v>116.55</c:v>
                </c:pt>
                <c:pt idx="5">
                  <c:v>122.1</c:v>
                </c:pt>
                <c:pt idx="6">
                  <c:v>127.64999999999999</c:v>
                </c:pt>
                <c:pt idx="7">
                  <c:v>133.19999999999999</c:v>
                </c:pt>
                <c:pt idx="8">
                  <c:v>133.19999999999999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1-532F-4B9E-BF46-0DA6B0761C41}"/>
            </c:ext>
          </c:extLst>
        </c:ser>
        <c:ser>
          <c:idx val="2"/>
          <c:order val="2"/>
          <c:tx>
            <c:v>80%</c:v>
          </c:tx>
          <c:spPr>
            <a:ln w="22225" cap="rnd">
              <a:solidFill>
                <a:schemeClr val="accent3"/>
              </a:solidFill>
            </a:ln>
            <a:effectLst>
              <a:glow rad="139700">
                <a:schemeClr val="accent3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3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'Pull-out(E)'!$C$226:$C$237</c:f>
              <c:numCache>
                <c:formatCode>0.00</c:formatCode>
                <c:ptCount val="12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</c:numCache>
            </c:numRef>
          </c:xVal>
          <c:yVal>
            <c:numRef>
              <c:f>'Pull-out(E)'!$E$226:$E$237</c:f>
              <c:numCache>
                <c:formatCode>0.00</c:formatCode>
                <c:ptCount val="12"/>
                <c:pt idx="0">
                  <c:v>0</c:v>
                </c:pt>
                <c:pt idx="1">
                  <c:v>55.5</c:v>
                </c:pt>
                <c:pt idx="2">
                  <c:v>77.7</c:v>
                </c:pt>
                <c:pt idx="3">
                  <c:v>116.55</c:v>
                </c:pt>
                <c:pt idx="4">
                  <c:v>122.1</c:v>
                </c:pt>
                <c:pt idx="5">
                  <c:v>122.1</c:v>
                </c:pt>
                <c:pt idx="6">
                  <c:v>127.64999999999999</c:v>
                </c:pt>
                <c:pt idx="7">
                  <c:v>133.19999999999999</c:v>
                </c:pt>
                <c:pt idx="8">
                  <c:v>138.75</c:v>
                </c:pt>
                <c:pt idx="9">
                  <c:v>144.29999999999998</c:v>
                </c:pt>
                <c:pt idx="10">
                  <c:v>144.29999999999998</c:v>
                </c:pt>
                <c:pt idx="11">
                  <c:v>144.29999999999998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2-532F-4B9E-BF46-0DA6B0761C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5001488"/>
        <c:axId val="1154987344"/>
      </c:scatterChart>
      <c:valAx>
        <c:axId val="11550014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DISPLACEMENT(cm)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out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4987344"/>
        <c:crosses val="autoZero"/>
        <c:crossBetween val="midCat"/>
      </c:valAx>
      <c:valAx>
        <c:axId val="11549873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</a:t>
                </a:r>
                <a:r>
                  <a:rPr lang="en-US" baseline="0"/>
                  <a:t> LOAD(kg)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500148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legendEntry>
      <c:layout>
        <c:manualLayout>
          <c:xMode val="edge"/>
          <c:yMode val="edge"/>
          <c:x val="0.29111373578302713"/>
          <c:y val="0.87094852726742478"/>
          <c:w val="0.51221697287839019"/>
          <c:h val="7.812554680664916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35%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'Pull-out(E)'!$I$14:$I$37</c:f>
              <c:numCache>
                <c:formatCode>0.00</c:formatCode>
                <c:ptCount val="24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</c:numCache>
            </c:numRef>
          </c:xVal>
          <c:yVal>
            <c:numRef>
              <c:f>'Pull-out(E)'!$K$14:$K$37</c:f>
              <c:numCache>
                <c:formatCode>0.00</c:formatCode>
                <c:ptCount val="24"/>
                <c:pt idx="0">
                  <c:v>0</c:v>
                </c:pt>
                <c:pt idx="1">
                  <c:v>44.4</c:v>
                </c:pt>
                <c:pt idx="2">
                  <c:v>77.7</c:v>
                </c:pt>
                <c:pt idx="3">
                  <c:v>149.85</c:v>
                </c:pt>
                <c:pt idx="4">
                  <c:v>199.79999999999998</c:v>
                </c:pt>
                <c:pt idx="5">
                  <c:v>222</c:v>
                </c:pt>
                <c:pt idx="6">
                  <c:v>227.54999999999998</c:v>
                </c:pt>
                <c:pt idx="7">
                  <c:v>238.65</c:v>
                </c:pt>
                <c:pt idx="8">
                  <c:v>249.75</c:v>
                </c:pt>
                <c:pt idx="9">
                  <c:v>249.75</c:v>
                </c:pt>
                <c:pt idx="10">
                  <c:v>255.29999999999998</c:v>
                </c:pt>
                <c:pt idx="11">
                  <c:v>255.29999999999998</c:v>
                </c:pt>
                <c:pt idx="12">
                  <c:v>260.84999999999997</c:v>
                </c:pt>
                <c:pt idx="13">
                  <c:v>266.39999999999998</c:v>
                </c:pt>
                <c:pt idx="14">
                  <c:v>266.39999999999998</c:v>
                </c:pt>
                <c:pt idx="15">
                  <c:v>266.39999999999998</c:v>
                </c:pt>
                <c:pt idx="16">
                  <c:v>271.95</c:v>
                </c:pt>
                <c:pt idx="17">
                  <c:v>271.95</c:v>
                </c:pt>
                <c:pt idx="18">
                  <c:v>277.5</c:v>
                </c:pt>
                <c:pt idx="19">
                  <c:v>277.5</c:v>
                </c:pt>
                <c:pt idx="20">
                  <c:v>283.05</c:v>
                </c:pt>
                <c:pt idx="21">
                  <c:v>283.05</c:v>
                </c:pt>
                <c:pt idx="22">
                  <c:v>288.59999999999997</c:v>
                </c:pt>
                <c:pt idx="23">
                  <c:v>288.59999999999997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75F1-49D2-967F-E129213C59F4}"/>
            </c:ext>
          </c:extLst>
        </c:ser>
        <c:ser>
          <c:idx val="1"/>
          <c:order val="1"/>
          <c:tx>
            <c:v>60%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'Pull-out(E)'!$I$115:$I$140</c:f>
              <c:numCache>
                <c:formatCode>0.00</c:formatCode>
                <c:ptCount val="26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</c:numCache>
            </c:numRef>
          </c:xVal>
          <c:yVal>
            <c:numRef>
              <c:f>'Pull-out(E)'!$K$115:$K$140</c:f>
              <c:numCache>
                <c:formatCode>0.00</c:formatCode>
                <c:ptCount val="26"/>
                <c:pt idx="0">
                  <c:v>0</c:v>
                </c:pt>
                <c:pt idx="1">
                  <c:v>49.949999999999996</c:v>
                </c:pt>
                <c:pt idx="2">
                  <c:v>83.25</c:v>
                </c:pt>
                <c:pt idx="3">
                  <c:v>160.94999999999999</c:v>
                </c:pt>
                <c:pt idx="4">
                  <c:v>199.79999999999998</c:v>
                </c:pt>
                <c:pt idx="5">
                  <c:v>227.54999999999998</c:v>
                </c:pt>
                <c:pt idx="6">
                  <c:v>238.65</c:v>
                </c:pt>
                <c:pt idx="7">
                  <c:v>249.75</c:v>
                </c:pt>
                <c:pt idx="8">
                  <c:v>260.84999999999997</c:v>
                </c:pt>
                <c:pt idx="9">
                  <c:v>271.95</c:v>
                </c:pt>
                <c:pt idx="10">
                  <c:v>277.5</c:v>
                </c:pt>
                <c:pt idx="11">
                  <c:v>283.05</c:v>
                </c:pt>
                <c:pt idx="12">
                  <c:v>288.59999999999997</c:v>
                </c:pt>
                <c:pt idx="13">
                  <c:v>294.14999999999998</c:v>
                </c:pt>
                <c:pt idx="14">
                  <c:v>294.14999999999998</c:v>
                </c:pt>
                <c:pt idx="15">
                  <c:v>299.7</c:v>
                </c:pt>
                <c:pt idx="16">
                  <c:v>305.25</c:v>
                </c:pt>
                <c:pt idx="17">
                  <c:v>305.25</c:v>
                </c:pt>
                <c:pt idx="18">
                  <c:v>305.25</c:v>
                </c:pt>
                <c:pt idx="19">
                  <c:v>305.25</c:v>
                </c:pt>
                <c:pt idx="20">
                  <c:v>310.8</c:v>
                </c:pt>
                <c:pt idx="21">
                  <c:v>310.8</c:v>
                </c:pt>
                <c:pt idx="22">
                  <c:v>316.34999999999997</c:v>
                </c:pt>
                <c:pt idx="23">
                  <c:v>321.89999999999998</c:v>
                </c:pt>
                <c:pt idx="24">
                  <c:v>321.89999999999998</c:v>
                </c:pt>
                <c:pt idx="25">
                  <c:v>316.34999999999997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75F1-49D2-967F-E129213C59F4}"/>
            </c:ext>
          </c:extLst>
        </c:ser>
        <c:ser>
          <c:idx val="2"/>
          <c:order val="2"/>
          <c:tx>
            <c:v>80%</c:v>
          </c:tx>
          <c:spPr>
            <a:ln w="22225" cap="rnd">
              <a:solidFill>
                <a:schemeClr val="accent3"/>
              </a:solidFill>
            </a:ln>
            <a:effectLst>
              <a:glow rad="139700">
                <a:schemeClr val="accent3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3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'Pull-out(E)'!$I$226:$I$251</c:f>
              <c:numCache>
                <c:formatCode>0.00</c:formatCode>
                <c:ptCount val="26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</c:numCache>
            </c:numRef>
          </c:xVal>
          <c:yVal>
            <c:numRef>
              <c:f>'Pull-out(E)'!$K$226:$K$251</c:f>
              <c:numCache>
                <c:formatCode>0.00</c:formatCode>
                <c:ptCount val="26"/>
                <c:pt idx="0">
                  <c:v>0</c:v>
                </c:pt>
                <c:pt idx="1">
                  <c:v>66.599999999999994</c:v>
                </c:pt>
                <c:pt idx="2">
                  <c:v>105.45</c:v>
                </c:pt>
                <c:pt idx="3">
                  <c:v>172.04999999999998</c:v>
                </c:pt>
                <c:pt idx="4">
                  <c:v>222</c:v>
                </c:pt>
                <c:pt idx="5">
                  <c:v>277.5</c:v>
                </c:pt>
                <c:pt idx="6">
                  <c:v>305.25</c:v>
                </c:pt>
                <c:pt idx="7">
                  <c:v>321.89999999999998</c:v>
                </c:pt>
                <c:pt idx="8">
                  <c:v>338.55</c:v>
                </c:pt>
                <c:pt idx="9">
                  <c:v>349.65</c:v>
                </c:pt>
                <c:pt idx="10">
                  <c:v>360.75</c:v>
                </c:pt>
                <c:pt idx="11">
                  <c:v>366.3</c:v>
                </c:pt>
                <c:pt idx="12">
                  <c:v>371.84999999999997</c:v>
                </c:pt>
                <c:pt idx="13">
                  <c:v>382.95</c:v>
                </c:pt>
                <c:pt idx="14">
                  <c:v>388.5</c:v>
                </c:pt>
                <c:pt idx="15">
                  <c:v>388.5</c:v>
                </c:pt>
                <c:pt idx="16">
                  <c:v>394.05</c:v>
                </c:pt>
                <c:pt idx="17">
                  <c:v>394.05</c:v>
                </c:pt>
                <c:pt idx="18">
                  <c:v>399.59999999999997</c:v>
                </c:pt>
                <c:pt idx="19">
                  <c:v>399.59999999999997</c:v>
                </c:pt>
                <c:pt idx="20">
                  <c:v>399.59999999999997</c:v>
                </c:pt>
                <c:pt idx="21">
                  <c:v>405.15</c:v>
                </c:pt>
                <c:pt idx="22">
                  <c:v>405.15</c:v>
                </c:pt>
                <c:pt idx="23">
                  <c:v>410.7</c:v>
                </c:pt>
                <c:pt idx="24">
                  <c:v>410.7</c:v>
                </c:pt>
                <c:pt idx="25">
                  <c:v>410.7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75F1-49D2-967F-E129213C59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4989520"/>
        <c:axId val="1156221168"/>
      </c:scatterChart>
      <c:valAx>
        <c:axId val="11549895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900" b="1" i="0" baseline="0">
                    <a:effectLst/>
                  </a:rPr>
                  <a:t>DISPLACEMENT(cm)</a:t>
                </a:r>
                <a:endParaRPr lang="en-US" sz="900">
                  <a:effectLst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6221168"/>
        <c:crosses val="autoZero"/>
        <c:crossBetween val="midCat"/>
      </c:valAx>
      <c:valAx>
        <c:axId val="1156221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900" b="1" i="0" baseline="0">
                    <a:effectLst/>
                  </a:rPr>
                  <a:t>UPLIFT LOAD(kg)</a:t>
                </a:r>
                <a:endParaRPr lang="en-US" sz="900">
                  <a:effectLst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498952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0222484689413825"/>
          <c:y val="0.8616892680081657"/>
          <c:w val="0.47332808398950132"/>
          <c:h val="7.812554680664916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35%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'Pull-out(E)'!$O$14:$O$69</c:f>
              <c:numCache>
                <c:formatCode>0.00</c:formatCode>
                <c:ptCount val="40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0.55000000000000004</c:v>
                </c:pt>
                <c:pt idx="29">
                  <c:v>0.6</c:v>
                </c:pt>
                <c:pt idx="30">
                  <c:v>0.65</c:v>
                </c:pt>
                <c:pt idx="31">
                  <c:v>0.70000000000000007</c:v>
                </c:pt>
                <c:pt idx="32">
                  <c:v>0.75</c:v>
                </c:pt>
                <c:pt idx="33">
                  <c:v>0.8</c:v>
                </c:pt>
                <c:pt idx="34">
                  <c:v>0.85</c:v>
                </c:pt>
                <c:pt idx="35">
                  <c:v>0.9</c:v>
                </c:pt>
                <c:pt idx="36">
                  <c:v>0.95000000000000007</c:v>
                </c:pt>
                <c:pt idx="37">
                  <c:v>0.96</c:v>
                </c:pt>
                <c:pt idx="38">
                  <c:v>0.98</c:v>
                </c:pt>
                <c:pt idx="39">
                  <c:v>1</c:v>
                </c:pt>
              </c:numCache>
            </c:numRef>
          </c:xVal>
          <c:yVal>
            <c:numRef>
              <c:f>'Pull-out(E)'!$Q$14:$Q$69</c:f>
              <c:numCache>
                <c:formatCode>0.00</c:formatCode>
                <c:ptCount val="40"/>
                <c:pt idx="0">
                  <c:v>0</c:v>
                </c:pt>
                <c:pt idx="1">
                  <c:v>88.8</c:v>
                </c:pt>
                <c:pt idx="2">
                  <c:v>305.25</c:v>
                </c:pt>
                <c:pt idx="3">
                  <c:v>349.65</c:v>
                </c:pt>
                <c:pt idx="4">
                  <c:v>399.59999999999997</c:v>
                </c:pt>
                <c:pt idx="5">
                  <c:v>427.34999999999997</c:v>
                </c:pt>
                <c:pt idx="6">
                  <c:v>444</c:v>
                </c:pt>
                <c:pt idx="7">
                  <c:v>460.65</c:v>
                </c:pt>
                <c:pt idx="8">
                  <c:v>471.75</c:v>
                </c:pt>
                <c:pt idx="9">
                  <c:v>488.4</c:v>
                </c:pt>
                <c:pt idx="10">
                  <c:v>499.5</c:v>
                </c:pt>
                <c:pt idx="11">
                  <c:v>510.59999999999997</c:v>
                </c:pt>
                <c:pt idx="12">
                  <c:v>521.69999999999993</c:v>
                </c:pt>
                <c:pt idx="13">
                  <c:v>527.25</c:v>
                </c:pt>
                <c:pt idx="14">
                  <c:v>538.35</c:v>
                </c:pt>
                <c:pt idx="15">
                  <c:v>549.44999999999993</c:v>
                </c:pt>
                <c:pt idx="16">
                  <c:v>560.54999999999995</c:v>
                </c:pt>
                <c:pt idx="17">
                  <c:v>566.1</c:v>
                </c:pt>
                <c:pt idx="18">
                  <c:v>571.65</c:v>
                </c:pt>
                <c:pt idx="19">
                  <c:v>582.75</c:v>
                </c:pt>
                <c:pt idx="20">
                  <c:v>588.29999999999995</c:v>
                </c:pt>
                <c:pt idx="21">
                  <c:v>593.85</c:v>
                </c:pt>
                <c:pt idx="22">
                  <c:v>593.85</c:v>
                </c:pt>
                <c:pt idx="23">
                  <c:v>604.94999999999993</c:v>
                </c:pt>
                <c:pt idx="24">
                  <c:v>610.5</c:v>
                </c:pt>
                <c:pt idx="25">
                  <c:v>610.5</c:v>
                </c:pt>
                <c:pt idx="26">
                  <c:v>616.04999999999995</c:v>
                </c:pt>
                <c:pt idx="27">
                  <c:v>621.6</c:v>
                </c:pt>
                <c:pt idx="28">
                  <c:v>621.6</c:v>
                </c:pt>
                <c:pt idx="29">
                  <c:v>638.25</c:v>
                </c:pt>
                <c:pt idx="30">
                  <c:v>643.79999999999995</c:v>
                </c:pt>
                <c:pt idx="31">
                  <c:v>654.9</c:v>
                </c:pt>
                <c:pt idx="32">
                  <c:v>660.44999999999993</c:v>
                </c:pt>
                <c:pt idx="33">
                  <c:v>666</c:v>
                </c:pt>
                <c:pt idx="34">
                  <c:v>671.55</c:v>
                </c:pt>
                <c:pt idx="35">
                  <c:v>682.65</c:v>
                </c:pt>
                <c:pt idx="36">
                  <c:v>688.19999999999993</c:v>
                </c:pt>
                <c:pt idx="37">
                  <c:v>693.75</c:v>
                </c:pt>
                <c:pt idx="38">
                  <c:v>699.3</c:v>
                </c:pt>
                <c:pt idx="39">
                  <c:v>693.75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4222-4C90-B7DA-0B43EE94FE4B}"/>
            </c:ext>
          </c:extLst>
        </c:ser>
        <c:ser>
          <c:idx val="1"/>
          <c:order val="1"/>
          <c:tx>
            <c:v>60%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'Pull-out(E)'!$O$115:$O$171</c:f>
              <c:numCache>
                <c:formatCode>0.00</c:formatCode>
                <c:ptCount val="55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0.55000000000000004</c:v>
                </c:pt>
                <c:pt idx="29">
                  <c:v>0.56000000000000005</c:v>
                </c:pt>
                <c:pt idx="30">
                  <c:v>0.57999999999999996</c:v>
                </c:pt>
                <c:pt idx="31">
                  <c:v>0.6</c:v>
                </c:pt>
                <c:pt idx="32">
                  <c:v>0.62</c:v>
                </c:pt>
                <c:pt idx="33">
                  <c:v>0.64</c:v>
                </c:pt>
                <c:pt idx="34">
                  <c:v>0.65</c:v>
                </c:pt>
                <c:pt idx="35">
                  <c:v>0.66</c:v>
                </c:pt>
                <c:pt idx="36">
                  <c:v>0.68</c:v>
                </c:pt>
                <c:pt idx="37">
                  <c:v>0.70000000000000007</c:v>
                </c:pt>
                <c:pt idx="38">
                  <c:v>0.75</c:v>
                </c:pt>
                <c:pt idx="39">
                  <c:v>0.76</c:v>
                </c:pt>
                <c:pt idx="40">
                  <c:v>0.78</c:v>
                </c:pt>
                <c:pt idx="41">
                  <c:v>0.8</c:v>
                </c:pt>
                <c:pt idx="42">
                  <c:v>0.82000000000000006</c:v>
                </c:pt>
                <c:pt idx="43">
                  <c:v>0.84</c:v>
                </c:pt>
                <c:pt idx="44">
                  <c:v>0.85</c:v>
                </c:pt>
                <c:pt idx="45">
                  <c:v>0.86</c:v>
                </c:pt>
                <c:pt idx="46">
                  <c:v>0.88</c:v>
                </c:pt>
                <c:pt idx="47">
                  <c:v>0.9</c:v>
                </c:pt>
                <c:pt idx="48">
                  <c:v>0.92</c:v>
                </c:pt>
                <c:pt idx="49">
                  <c:v>0.94000000000000006</c:v>
                </c:pt>
                <c:pt idx="50">
                  <c:v>0.95000000000000007</c:v>
                </c:pt>
                <c:pt idx="51">
                  <c:v>0.96</c:v>
                </c:pt>
                <c:pt idx="52">
                  <c:v>0.98</c:v>
                </c:pt>
                <c:pt idx="53">
                  <c:v>1</c:v>
                </c:pt>
                <c:pt idx="54">
                  <c:v>1.02</c:v>
                </c:pt>
              </c:numCache>
            </c:numRef>
          </c:xVal>
          <c:yVal>
            <c:numRef>
              <c:f>'Pull-out(E)'!$Q$115:$Q$171</c:f>
              <c:numCache>
                <c:formatCode>0.00</c:formatCode>
                <c:ptCount val="55"/>
                <c:pt idx="0">
                  <c:v>0</c:v>
                </c:pt>
                <c:pt idx="1">
                  <c:v>105.45</c:v>
                </c:pt>
                <c:pt idx="2">
                  <c:v>338.55</c:v>
                </c:pt>
                <c:pt idx="3">
                  <c:v>505.05</c:v>
                </c:pt>
                <c:pt idx="4">
                  <c:v>543.9</c:v>
                </c:pt>
                <c:pt idx="5">
                  <c:v>582.75</c:v>
                </c:pt>
                <c:pt idx="6">
                  <c:v>616.04999999999995</c:v>
                </c:pt>
                <c:pt idx="7">
                  <c:v>649.35</c:v>
                </c:pt>
                <c:pt idx="8">
                  <c:v>688.19999999999993</c:v>
                </c:pt>
                <c:pt idx="9">
                  <c:v>721.5</c:v>
                </c:pt>
                <c:pt idx="10">
                  <c:v>738.15</c:v>
                </c:pt>
                <c:pt idx="11">
                  <c:v>749.25</c:v>
                </c:pt>
                <c:pt idx="12">
                  <c:v>765.9</c:v>
                </c:pt>
                <c:pt idx="13">
                  <c:v>777</c:v>
                </c:pt>
                <c:pt idx="14">
                  <c:v>788.1</c:v>
                </c:pt>
                <c:pt idx="15">
                  <c:v>793.65</c:v>
                </c:pt>
                <c:pt idx="16">
                  <c:v>799.19999999999993</c:v>
                </c:pt>
                <c:pt idx="17">
                  <c:v>810.3</c:v>
                </c:pt>
                <c:pt idx="18">
                  <c:v>815.85</c:v>
                </c:pt>
                <c:pt idx="19">
                  <c:v>832.5</c:v>
                </c:pt>
                <c:pt idx="20">
                  <c:v>838.05</c:v>
                </c:pt>
                <c:pt idx="21">
                  <c:v>843.6</c:v>
                </c:pt>
                <c:pt idx="22">
                  <c:v>849.15</c:v>
                </c:pt>
                <c:pt idx="23">
                  <c:v>854.69999999999993</c:v>
                </c:pt>
                <c:pt idx="24">
                  <c:v>854.69999999999993</c:v>
                </c:pt>
                <c:pt idx="25">
                  <c:v>860.25</c:v>
                </c:pt>
                <c:pt idx="26">
                  <c:v>860.25</c:v>
                </c:pt>
                <c:pt idx="27">
                  <c:v>865.8</c:v>
                </c:pt>
                <c:pt idx="28">
                  <c:v>865.8</c:v>
                </c:pt>
                <c:pt idx="29">
                  <c:v>871.35</c:v>
                </c:pt>
                <c:pt idx="30">
                  <c:v>871.35</c:v>
                </c:pt>
                <c:pt idx="31">
                  <c:v>876.9</c:v>
                </c:pt>
                <c:pt idx="32">
                  <c:v>876.9</c:v>
                </c:pt>
                <c:pt idx="33">
                  <c:v>876.9</c:v>
                </c:pt>
                <c:pt idx="34">
                  <c:v>882.44999999999993</c:v>
                </c:pt>
                <c:pt idx="35">
                  <c:v>882.44999999999993</c:v>
                </c:pt>
                <c:pt idx="36">
                  <c:v>888</c:v>
                </c:pt>
                <c:pt idx="37">
                  <c:v>888</c:v>
                </c:pt>
                <c:pt idx="38">
                  <c:v>893.55</c:v>
                </c:pt>
                <c:pt idx="39">
                  <c:v>893.55</c:v>
                </c:pt>
                <c:pt idx="40">
                  <c:v>893.55</c:v>
                </c:pt>
                <c:pt idx="41">
                  <c:v>899.1</c:v>
                </c:pt>
                <c:pt idx="42">
                  <c:v>899.1</c:v>
                </c:pt>
                <c:pt idx="43">
                  <c:v>899.1</c:v>
                </c:pt>
                <c:pt idx="44">
                  <c:v>899.1</c:v>
                </c:pt>
                <c:pt idx="45">
                  <c:v>904.65</c:v>
                </c:pt>
                <c:pt idx="46">
                  <c:v>904.65</c:v>
                </c:pt>
                <c:pt idx="47">
                  <c:v>904.65</c:v>
                </c:pt>
                <c:pt idx="48">
                  <c:v>904.65</c:v>
                </c:pt>
                <c:pt idx="49">
                  <c:v>910.19999999999993</c:v>
                </c:pt>
                <c:pt idx="50">
                  <c:v>910.19999999999993</c:v>
                </c:pt>
                <c:pt idx="51">
                  <c:v>910.19999999999993</c:v>
                </c:pt>
                <c:pt idx="52">
                  <c:v>915.75</c:v>
                </c:pt>
                <c:pt idx="53">
                  <c:v>915.75</c:v>
                </c:pt>
                <c:pt idx="54">
                  <c:v>915.75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4222-4C90-B7DA-0B43EE94FE4B}"/>
            </c:ext>
          </c:extLst>
        </c:ser>
        <c:ser>
          <c:idx val="2"/>
          <c:order val="2"/>
          <c:tx>
            <c:v>80%</c:v>
          </c:tx>
          <c:spPr>
            <a:ln w="22225" cap="rnd">
              <a:solidFill>
                <a:schemeClr val="accent3"/>
              </a:solidFill>
            </a:ln>
            <a:effectLst>
              <a:glow rad="139700">
                <a:schemeClr val="accent3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3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'Pull-out(E)'!$O$226:$O$285</c:f>
              <c:numCache>
                <c:formatCode>0.00</c:formatCode>
                <c:ptCount val="60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0.55000000000000004</c:v>
                </c:pt>
                <c:pt idx="29">
                  <c:v>0.56000000000000005</c:v>
                </c:pt>
                <c:pt idx="30">
                  <c:v>0.57999999999999996</c:v>
                </c:pt>
                <c:pt idx="31">
                  <c:v>0.6</c:v>
                </c:pt>
                <c:pt idx="32">
                  <c:v>0.62</c:v>
                </c:pt>
                <c:pt idx="33">
                  <c:v>0.64</c:v>
                </c:pt>
                <c:pt idx="34">
                  <c:v>0.65</c:v>
                </c:pt>
                <c:pt idx="35">
                  <c:v>0.66</c:v>
                </c:pt>
                <c:pt idx="36">
                  <c:v>0.68</c:v>
                </c:pt>
                <c:pt idx="37">
                  <c:v>0.70000000000000007</c:v>
                </c:pt>
                <c:pt idx="38">
                  <c:v>0.72</c:v>
                </c:pt>
                <c:pt idx="39">
                  <c:v>0.74</c:v>
                </c:pt>
                <c:pt idx="40">
                  <c:v>0.75</c:v>
                </c:pt>
                <c:pt idx="41">
                  <c:v>0.76</c:v>
                </c:pt>
                <c:pt idx="42">
                  <c:v>0.78</c:v>
                </c:pt>
                <c:pt idx="43">
                  <c:v>0.8</c:v>
                </c:pt>
                <c:pt idx="44">
                  <c:v>0.82000000000000006</c:v>
                </c:pt>
                <c:pt idx="45">
                  <c:v>0.84</c:v>
                </c:pt>
                <c:pt idx="46">
                  <c:v>0.85</c:v>
                </c:pt>
                <c:pt idx="47">
                  <c:v>0.86</c:v>
                </c:pt>
                <c:pt idx="48">
                  <c:v>0.88</c:v>
                </c:pt>
                <c:pt idx="49">
                  <c:v>0.9</c:v>
                </c:pt>
                <c:pt idx="50">
                  <c:v>0.92</c:v>
                </c:pt>
                <c:pt idx="51">
                  <c:v>0.94000000000000006</c:v>
                </c:pt>
                <c:pt idx="52">
                  <c:v>0.96</c:v>
                </c:pt>
                <c:pt idx="53">
                  <c:v>0.98</c:v>
                </c:pt>
                <c:pt idx="54">
                  <c:v>1</c:v>
                </c:pt>
                <c:pt idx="55">
                  <c:v>1.02</c:v>
                </c:pt>
                <c:pt idx="56">
                  <c:v>1.04</c:v>
                </c:pt>
                <c:pt idx="57">
                  <c:v>1.05</c:v>
                </c:pt>
                <c:pt idx="58">
                  <c:v>1.06</c:v>
                </c:pt>
                <c:pt idx="59">
                  <c:v>1.08</c:v>
                </c:pt>
              </c:numCache>
            </c:numRef>
          </c:xVal>
          <c:yVal>
            <c:numRef>
              <c:f>'Pull-out(E)'!$Q$226:$Q$285</c:f>
              <c:numCache>
                <c:formatCode>0.00</c:formatCode>
                <c:ptCount val="60"/>
                <c:pt idx="0">
                  <c:v>0</c:v>
                </c:pt>
                <c:pt idx="1">
                  <c:v>116.55</c:v>
                </c:pt>
                <c:pt idx="2">
                  <c:v>344.09999999999997</c:v>
                </c:pt>
                <c:pt idx="3">
                  <c:v>599.4</c:v>
                </c:pt>
                <c:pt idx="4">
                  <c:v>649.35</c:v>
                </c:pt>
                <c:pt idx="5">
                  <c:v>771.44999999999993</c:v>
                </c:pt>
                <c:pt idx="6">
                  <c:v>871.35</c:v>
                </c:pt>
                <c:pt idx="7">
                  <c:v>915.75</c:v>
                </c:pt>
                <c:pt idx="8">
                  <c:v>976.8</c:v>
                </c:pt>
                <c:pt idx="9">
                  <c:v>1015.65</c:v>
                </c:pt>
                <c:pt idx="10">
                  <c:v>1043.3999999999999</c:v>
                </c:pt>
                <c:pt idx="11">
                  <c:v>1060.05</c:v>
                </c:pt>
                <c:pt idx="12">
                  <c:v>1082.25</c:v>
                </c:pt>
                <c:pt idx="13">
                  <c:v>1098.8999999999999</c:v>
                </c:pt>
                <c:pt idx="14">
                  <c:v>1110</c:v>
                </c:pt>
                <c:pt idx="15">
                  <c:v>1132.2</c:v>
                </c:pt>
                <c:pt idx="16">
                  <c:v>1143.3</c:v>
                </c:pt>
                <c:pt idx="17">
                  <c:v>1154.3999999999999</c:v>
                </c:pt>
                <c:pt idx="18">
                  <c:v>1165.5</c:v>
                </c:pt>
                <c:pt idx="19">
                  <c:v>1171.05</c:v>
                </c:pt>
                <c:pt idx="20">
                  <c:v>1187.7</c:v>
                </c:pt>
                <c:pt idx="21">
                  <c:v>1193.25</c:v>
                </c:pt>
                <c:pt idx="22">
                  <c:v>1204.3499999999999</c:v>
                </c:pt>
                <c:pt idx="23">
                  <c:v>1215.45</c:v>
                </c:pt>
                <c:pt idx="24">
                  <c:v>1221</c:v>
                </c:pt>
                <c:pt idx="25">
                  <c:v>1226.55</c:v>
                </c:pt>
                <c:pt idx="26">
                  <c:v>1232.0999999999999</c:v>
                </c:pt>
                <c:pt idx="27">
                  <c:v>1232.0999999999999</c:v>
                </c:pt>
                <c:pt idx="28">
                  <c:v>1237.6499999999999</c:v>
                </c:pt>
                <c:pt idx="29">
                  <c:v>1243.2</c:v>
                </c:pt>
                <c:pt idx="30">
                  <c:v>1248.75</c:v>
                </c:pt>
                <c:pt idx="31">
                  <c:v>1248.75</c:v>
                </c:pt>
                <c:pt idx="32">
                  <c:v>1254.3</c:v>
                </c:pt>
                <c:pt idx="33">
                  <c:v>1254.3</c:v>
                </c:pt>
                <c:pt idx="34">
                  <c:v>1259.8499999999999</c:v>
                </c:pt>
                <c:pt idx="35">
                  <c:v>1259.8499999999999</c:v>
                </c:pt>
                <c:pt idx="36">
                  <c:v>1259.8499999999999</c:v>
                </c:pt>
                <c:pt idx="37">
                  <c:v>1265.3999999999999</c:v>
                </c:pt>
                <c:pt idx="38">
                  <c:v>1265.3999999999999</c:v>
                </c:pt>
                <c:pt idx="39">
                  <c:v>1265.3999999999999</c:v>
                </c:pt>
                <c:pt idx="40">
                  <c:v>1270.95</c:v>
                </c:pt>
                <c:pt idx="41">
                  <c:v>1270.95</c:v>
                </c:pt>
                <c:pt idx="42">
                  <c:v>1270.95</c:v>
                </c:pt>
                <c:pt idx="43">
                  <c:v>1276.5</c:v>
                </c:pt>
                <c:pt idx="44">
                  <c:v>1276.5</c:v>
                </c:pt>
                <c:pt idx="45">
                  <c:v>1276.5</c:v>
                </c:pt>
                <c:pt idx="46">
                  <c:v>1282.05</c:v>
                </c:pt>
                <c:pt idx="47">
                  <c:v>1282.05</c:v>
                </c:pt>
                <c:pt idx="48">
                  <c:v>1282.05</c:v>
                </c:pt>
                <c:pt idx="49">
                  <c:v>1282.05</c:v>
                </c:pt>
                <c:pt idx="50">
                  <c:v>1287.5999999999999</c:v>
                </c:pt>
                <c:pt idx="51">
                  <c:v>1287.5999999999999</c:v>
                </c:pt>
                <c:pt idx="52">
                  <c:v>1287.5999999999999</c:v>
                </c:pt>
                <c:pt idx="53">
                  <c:v>1293.1499999999999</c:v>
                </c:pt>
                <c:pt idx="54">
                  <c:v>1293.1499999999999</c:v>
                </c:pt>
                <c:pt idx="55">
                  <c:v>1293.1499999999999</c:v>
                </c:pt>
                <c:pt idx="56">
                  <c:v>1293.1499999999999</c:v>
                </c:pt>
                <c:pt idx="57">
                  <c:v>1298.7</c:v>
                </c:pt>
                <c:pt idx="58">
                  <c:v>1298.7</c:v>
                </c:pt>
                <c:pt idx="59">
                  <c:v>1298.7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4222-4C90-B7DA-0B43EE94FE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6224976"/>
        <c:axId val="1156229328"/>
      </c:scatterChart>
      <c:valAx>
        <c:axId val="11562249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DISPLACEMENT(cm)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6229328"/>
        <c:crosses val="autoZero"/>
        <c:crossBetween val="midCat"/>
      </c:valAx>
      <c:valAx>
        <c:axId val="11562293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LOAD(kg)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622497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2722484689413822"/>
          <c:y val="0.86631889763779524"/>
          <c:w val="0.45110586176727913"/>
          <c:h val="7.812554680664918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35%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gradFill>
                <a:gsLst>
                  <a:gs pos="0">
                    <a:schemeClr val="accent1">
                      <a:lumMod val="5000"/>
                      <a:lumOff val="95000"/>
                    </a:schemeClr>
                  </a:gs>
                  <a:gs pos="74000">
                    <a:schemeClr val="accent1">
                      <a:lumMod val="45000"/>
                      <a:lumOff val="55000"/>
                    </a:schemeClr>
                  </a:gs>
                  <a:gs pos="83000">
                    <a:schemeClr val="accent1">
                      <a:lumMod val="45000"/>
                      <a:lumOff val="55000"/>
                    </a:schemeClr>
                  </a:gs>
                  <a:gs pos="100000">
                    <a:schemeClr val="accent1">
                      <a:lumMod val="30000"/>
                      <a:lumOff val="70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'Pull-out(E)'!$U$14:$U$22</c:f>
              <c:numCache>
                <c:formatCode>0.00</c:formatCode>
                <c:ptCount val="9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</c:numCache>
            </c:numRef>
          </c:xVal>
          <c:yVal>
            <c:numRef>
              <c:f>'Pull-out(E)'!$W$14:$W$22</c:f>
              <c:numCache>
                <c:formatCode>0.00</c:formatCode>
                <c:ptCount val="9"/>
                <c:pt idx="0">
                  <c:v>0</c:v>
                </c:pt>
                <c:pt idx="1">
                  <c:v>5.55</c:v>
                </c:pt>
                <c:pt idx="2">
                  <c:v>16.649999999999999</c:v>
                </c:pt>
                <c:pt idx="3">
                  <c:v>27.75</c:v>
                </c:pt>
                <c:pt idx="4">
                  <c:v>33.299999999999997</c:v>
                </c:pt>
                <c:pt idx="5">
                  <c:v>38.85</c:v>
                </c:pt>
                <c:pt idx="6">
                  <c:v>44.4</c:v>
                </c:pt>
                <c:pt idx="7">
                  <c:v>49.949999999999996</c:v>
                </c:pt>
                <c:pt idx="8">
                  <c:v>49.949999999999996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69D9-4FE0-99C0-A2EEEB7792B1}"/>
            </c:ext>
          </c:extLst>
        </c:ser>
        <c:ser>
          <c:idx val="1"/>
          <c:order val="1"/>
          <c:tx>
            <c:v>60%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'Pull-out(E)'!$U$115:$U$124</c:f>
              <c:numCache>
                <c:formatCode>0.00</c:formatCode>
                <c:ptCount val="10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</c:numCache>
            </c:numRef>
          </c:xVal>
          <c:yVal>
            <c:numRef>
              <c:f>'Pull-out(E)'!$W$115:$W$124</c:f>
              <c:numCache>
                <c:formatCode>0.00</c:formatCode>
                <c:ptCount val="10"/>
                <c:pt idx="0">
                  <c:v>0</c:v>
                </c:pt>
                <c:pt idx="1">
                  <c:v>5.55</c:v>
                </c:pt>
                <c:pt idx="2">
                  <c:v>22.2</c:v>
                </c:pt>
                <c:pt idx="3">
                  <c:v>33.299999999999997</c:v>
                </c:pt>
                <c:pt idx="4">
                  <c:v>44.4</c:v>
                </c:pt>
                <c:pt idx="5">
                  <c:v>55.5</c:v>
                </c:pt>
                <c:pt idx="6">
                  <c:v>55.5</c:v>
                </c:pt>
                <c:pt idx="7">
                  <c:v>55.5</c:v>
                </c:pt>
                <c:pt idx="8">
                  <c:v>61.05</c:v>
                </c:pt>
                <c:pt idx="9">
                  <c:v>61.05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69D9-4FE0-99C0-A2EEEB7792B1}"/>
            </c:ext>
          </c:extLst>
        </c:ser>
        <c:ser>
          <c:idx val="2"/>
          <c:order val="2"/>
          <c:tx>
            <c:v>80%</c:v>
          </c:tx>
          <c:spPr>
            <a:ln w="22225" cap="rnd">
              <a:solidFill>
                <a:schemeClr val="accent3"/>
              </a:solidFill>
            </a:ln>
            <a:effectLst>
              <a:glow rad="139700">
                <a:schemeClr val="accent3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3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'Pull-out(E)'!$U$226:$U$238</c:f>
              <c:numCache>
                <c:formatCode>0.00</c:formatCode>
                <c:ptCount val="13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</c:numCache>
            </c:numRef>
          </c:xVal>
          <c:yVal>
            <c:numRef>
              <c:f>'Pull-out(E)'!$W$226:$W$238</c:f>
              <c:numCache>
                <c:formatCode>0.00</c:formatCode>
                <c:ptCount val="13"/>
                <c:pt idx="0">
                  <c:v>0</c:v>
                </c:pt>
                <c:pt idx="1">
                  <c:v>11.1</c:v>
                </c:pt>
                <c:pt idx="2">
                  <c:v>33.299999999999997</c:v>
                </c:pt>
                <c:pt idx="3">
                  <c:v>44.4</c:v>
                </c:pt>
                <c:pt idx="4">
                  <c:v>49.949999999999996</c:v>
                </c:pt>
                <c:pt idx="5">
                  <c:v>55.5</c:v>
                </c:pt>
                <c:pt idx="6">
                  <c:v>55.5</c:v>
                </c:pt>
                <c:pt idx="7">
                  <c:v>55.5</c:v>
                </c:pt>
                <c:pt idx="8">
                  <c:v>61.05</c:v>
                </c:pt>
                <c:pt idx="9">
                  <c:v>61.05</c:v>
                </c:pt>
                <c:pt idx="10">
                  <c:v>66.599999999999994</c:v>
                </c:pt>
                <c:pt idx="11">
                  <c:v>66.599999999999994</c:v>
                </c:pt>
                <c:pt idx="12">
                  <c:v>66.599999999999994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69D9-4FE0-99C0-A2EEEB7792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6225520"/>
        <c:axId val="1156219536"/>
      </c:scatterChart>
      <c:valAx>
        <c:axId val="11562255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DISPLACEMENT(cm)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out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6219536"/>
        <c:crosses val="autoZero"/>
        <c:crossBetween val="midCat"/>
      </c:valAx>
      <c:valAx>
        <c:axId val="11562195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</a:t>
                </a:r>
                <a:r>
                  <a:rPr lang="en-US" baseline="0"/>
                  <a:t> LOAD(kg)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622552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legendEntry>
      <c:layout>
        <c:manualLayout>
          <c:xMode val="edge"/>
          <c:yMode val="edge"/>
          <c:x val="0.29111373578302713"/>
          <c:y val="0.87094852726742478"/>
          <c:w val="0.51221697287839019"/>
          <c:h val="7.812554680664916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35%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'Pull-out(E)'!$AA$14:$AA$38</c:f>
              <c:numCache>
                <c:formatCode>0.00</c:formatCode>
                <c:ptCount val="25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</c:numCache>
            </c:numRef>
          </c:xVal>
          <c:yVal>
            <c:numRef>
              <c:f>'Pull-out(E)'!$AC$14:$AC$38</c:f>
              <c:numCache>
                <c:formatCode>0.00</c:formatCode>
                <c:ptCount val="25"/>
                <c:pt idx="0">
                  <c:v>0</c:v>
                </c:pt>
                <c:pt idx="1">
                  <c:v>11.1</c:v>
                </c:pt>
                <c:pt idx="2">
                  <c:v>22.2</c:v>
                </c:pt>
                <c:pt idx="3">
                  <c:v>61.05</c:v>
                </c:pt>
                <c:pt idx="4">
                  <c:v>72.149999999999991</c:v>
                </c:pt>
                <c:pt idx="5">
                  <c:v>88.8</c:v>
                </c:pt>
                <c:pt idx="6">
                  <c:v>99.899999999999991</c:v>
                </c:pt>
                <c:pt idx="7">
                  <c:v>105.45</c:v>
                </c:pt>
                <c:pt idx="8">
                  <c:v>116.55</c:v>
                </c:pt>
                <c:pt idx="9">
                  <c:v>122.1</c:v>
                </c:pt>
                <c:pt idx="10">
                  <c:v>122.1</c:v>
                </c:pt>
                <c:pt idx="11">
                  <c:v>127.64999999999999</c:v>
                </c:pt>
                <c:pt idx="12">
                  <c:v>127.64999999999999</c:v>
                </c:pt>
                <c:pt idx="13">
                  <c:v>133.19999999999999</c:v>
                </c:pt>
                <c:pt idx="14">
                  <c:v>138.75</c:v>
                </c:pt>
                <c:pt idx="15">
                  <c:v>138.75</c:v>
                </c:pt>
                <c:pt idx="16">
                  <c:v>138.75</c:v>
                </c:pt>
                <c:pt idx="17">
                  <c:v>144.29999999999998</c:v>
                </c:pt>
                <c:pt idx="18">
                  <c:v>144.29999999999998</c:v>
                </c:pt>
                <c:pt idx="19">
                  <c:v>149.85</c:v>
                </c:pt>
                <c:pt idx="20">
                  <c:v>149.85</c:v>
                </c:pt>
                <c:pt idx="21">
                  <c:v>149.85</c:v>
                </c:pt>
                <c:pt idx="22">
                  <c:v>149.85</c:v>
                </c:pt>
                <c:pt idx="23">
                  <c:v>155.4</c:v>
                </c:pt>
                <c:pt idx="24">
                  <c:v>155.4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1370-4CA6-8CE9-21D5672ECA70}"/>
            </c:ext>
          </c:extLst>
        </c:ser>
        <c:ser>
          <c:idx val="1"/>
          <c:order val="1"/>
          <c:tx>
            <c:v>60%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'Pull-out(E)'!$AA$115:$AA$140</c:f>
              <c:numCache>
                <c:formatCode>0.00</c:formatCode>
                <c:ptCount val="26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</c:numCache>
            </c:numRef>
          </c:xVal>
          <c:yVal>
            <c:numRef>
              <c:f>'Pull-out(E)'!$AC$115:$AC$140</c:f>
              <c:numCache>
                <c:formatCode>0.00</c:formatCode>
                <c:ptCount val="26"/>
                <c:pt idx="0">
                  <c:v>0</c:v>
                </c:pt>
                <c:pt idx="1">
                  <c:v>16.649999999999999</c:v>
                </c:pt>
                <c:pt idx="2">
                  <c:v>49.949999999999996</c:v>
                </c:pt>
                <c:pt idx="3">
                  <c:v>83.25</c:v>
                </c:pt>
                <c:pt idx="4">
                  <c:v>94.35</c:v>
                </c:pt>
                <c:pt idx="5">
                  <c:v>99.899999999999991</c:v>
                </c:pt>
                <c:pt idx="6">
                  <c:v>111</c:v>
                </c:pt>
                <c:pt idx="7">
                  <c:v>122.1</c:v>
                </c:pt>
                <c:pt idx="8">
                  <c:v>133.19999999999999</c:v>
                </c:pt>
                <c:pt idx="9">
                  <c:v>138.75</c:v>
                </c:pt>
                <c:pt idx="10">
                  <c:v>144.29999999999998</c:v>
                </c:pt>
                <c:pt idx="11">
                  <c:v>149.85</c:v>
                </c:pt>
                <c:pt idx="12">
                  <c:v>155.4</c:v>
                </c:pt>
                <c:pt idx="13">
                  <c:v>160.94999999999999</c:v>
                </c:pt>
                <c:pt idx="14">
                  <c:v>160.94999999999999</c:v>
                </c:pt>
                <c:pt idx="15">
                  <c:v>166.5</c:v>
                </c:pt>
                <c:pt idx="16">
                  <c:v>166.5</c:v>
                </c:pt>
                <c:pt idx="17">
                  <c:v>166.5</c:v>
                </c:pt>
                <c:pt idx="18">
                  <c:v>172.04999999999998</c:v>
                </c:pt>
                <c:pt idx="19">
                  <c:v>177.6</c:v>
                </c:pt>
                <c:pt idx="20">
                  <c:v>177.6</c:v>
                </c:pt>
                <c:pt idx="21">
                  <c:v>183.15</c:v>
                </c:pt>
                <c:pt idx="22">
                  <c:v>188.7</c:v>
                </c:pt>
                <c:pt idx="23">
                  <c:v>194.25</c:v>
                </c:pt>
                <c:pt idx="24">
                  <c:v>194.25</c:v>
                </c:pt>
                <c:pt idx="25">
                  <c:v>194.25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1370-4CA6-8CE9-21D5672ECA70}"/>
            </c:ext>
          </c:extLst>
        </c:ser>
        <c:ser>
          <c:idx val="2"/>
          <c:order val="2"/>
          <c:tx>
            <c:v>80%</c:v>
          </c:tx>
          <c:spPr>
            <a:ln w="22225" cap="rnd">
              <a:solidFill>
                <a:schemeClr val="accent3"/>
              </a:solidFill>
            </a:ln>
            <a:effectLst>
              <a:glow rad="139700">
                <a:schemeClr val="accent3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3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'Pull-out(E)'!$AA$226:$AA$252</c:f>
              <c:numCache>
                <c:formatCode>0.00</c:formatCode>
                <c:ptCount val="27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</c:numCache>
            </c:numRef>
          </c:xVal>
          <c:yVal>
            <c:numRef>
              <c:f>'Pull-out(E)'!$AC$226:$AC$252</c:f>
              <c:numCache>
                <c:formatCode>0.00</c:formatCode>
                <c:ptCount val="27"/>
                <c:pt idx="0">
                  <c:v>0</c:v>
                </c:pt>
                <c:pt idx="1">
                  <c:v>49.949999999999996</c:v>
                </c:pt>
                <c:pt idx="2">
                  <c:v>105.45</c:v>
                </c:pt>
                <c:pt idx="3">
                  <c:v>149.85</c:v>
                </c:pt>
                <c:pt idx="4">
                  <c:v>160.94999999999999</c:v>
                </c:pt>
                <c:pt idx="5">
                  <c:v>172.04999999999998</c:v>
                </c:pt>
                <c:pt idx="6">
                  <c:v>183.15</c:v>
                </c:pt>
                <c:pt idx="7">
                  <c:v>188.7</c:v>
                </c:pt>
                <c:pt idx="8">
                  <c:v>194.25</c:v>
                </c:pt>
                <c:pt idx="9">
                  <c:v>199.79999999999998</c:v>
                </c:pt>
                <c:pt idx="10">
                  <c:v>199.79999999999998</c:v>
                </c:pt>
                <c:pt idx="11">
                  <c:v>205.35</c:v>
                </c:pt>
                <c:pt idx="12">
                  <c:v>210.9</c:v>
                </c:pt>
                <c:pt idx="13">
                  <c:v>216.45</c:v>
                </c:pt>
                <c:pt idx="14">
                  <c:v>216.45</c:v>
                </c:pt>
                <c:pt idx="15">
                  <c:v>222</c:v>
                </c:pt>
                <c:pt idx="16">
                  <c:v>222</c:v>
                </c:pt>
                <c:pt idx="17">
                  <c:v>227.54999999999998</c:v>
                </c:pt>
                <c:pt idx="18">
                  <c:v>227.54999999999998</c:v>
                </c:pt>
                <c:pt idx="19">
                  <c:v>233.1</c:v>
                </c:pt>
                <c:pt idx="20">
                  <c:v>233.1</c:v>
                </c:pt>
                <c:pt idx="21">
                  <c:v>233.1</c:v>
                </c:pt>
                <c:pt idx="22">
                  <c:v>238.65</c:v>
                </c:pt>
                <c:pt idx="23">
                  <c:v>238.65</c:v>
                </c:pt>
                <c:pt idx="24">
                  <c:v>244.2</c:v>
                </c:pt>
                <c:pt idx="25">
                  <c:v>244.2</c:v>
                </c:pt>
                <c:pt idx="26">
                  <c:v>244.2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1370-4CA6-8CE9-21D5672ECA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6214640"/>
        <c:axId val="1156218448"/>
      </c:scatterChart>
      <c:valAx>
        <c:axId val="11562146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900" b="1" i="0" baseline="0">
                    <a:effectLst/>
                  </a:rPr>
                  <a:t>DISPLACEMENT(cm)</a:t>
                </a:r>
                <a:endParaRPr lang="en-US" sz="900">
                  <a:effectLst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6218448"/>
        <c:crosses val="autoZero"/>
        <c:crossBetween val="midCat"/>
      </c:valAx>
      <c:valAx>
        <c:axId val="1156218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900" b="1" i="0" baseline="0">
                    <a:effectLst/>
                  </a:rPr>
                  <a:t>UPLIFT LOAD(kg)</a:t>
                </a:r>
                <a:endParaRPr lang="en-US" sz="900">
                  <a:effectLst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62146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0222484689413825"/>
          <c:y val="0.8616892680081657"/>
          <c:w val="0.47332808398950132"/>
          <c:h val="7.812554680664916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v>35%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'Pull-out(E)'!$AG$14:$AG$98</c:f>
              <c:numCache>
                <c:formatCode>0.00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0.55000000000000004</c:v>
                </c:pt>
                <c:pt idx="29">
                  <c:v>0.6</c:v>
                </c:pt>
                <c:pt idx="30">
                  <c:v>0.65</c:v>
                </c:pt>
                <c:pt idx="31">
                  <c:v>0.70000000000000007</c:v>
                </c:pt>
                <c:pt idx="32">
                  <c:v>0.75</c:v>
                </c:pt>
                <c:pt idx="33">
                  <c:v>0.8</c:v>
                </c:pt>
                <c:pt idx="34">
                  <c:v>0.85</c:v>
                </c:pt>
                <c:pt idx="35">
                  <c:v>0.9</c:v>
                </c:pt>
                <c:pt idx="36">
                  <c:v>0.95000000000000007</c:v>
                </c:pt>
                <c:pt idx="37">
                  <c:v>0.96</c:v>
                </c:pt>
                <c:pt idx="38">
                  <c:v>0.98</c:v>
                </c:pt>
                <c:pt idx="39">
                  <c:v>1</c:v>
                </c:pt>
                <c:pt idx="40">
                  <c:v>1.05</c:v>
                </c:pt>
                <c:pt idx="41">
                  <c:v>1.1000000000000001</c:v>
                </c:pt>
                <c:pt idx="42">
                  <c:v>1.1500000000000001</c:v>
                </c:pt>
                <c:pt idx="43">
                  <c:v>1.2</c:v>
                </c:pt>
                <c:pt idx="44">
                  <c:v>1.25</c:v>
                </c:pt>
                <c:pt idx="45">
                  <c:v>1.3</c:v>
                </c:pt>
                <c:pt idx="46">
                  <c:v>1.35</c:v>
                </c:pt>
                <c:pt idx="47">
                  <c:v>1.4000000000000001</c:v>
                </c:pt>
                <c:pt idx="48">
                  <c:v>1.45</c:v>
                </c:pt>
                <c:pt idx="49">
                  <c:v>1.46</c:v>
                </c:pt>
                <c:pt idx="50">
                  <c:v>1.48</c:v>
                </c:pt>
              </c:numCache>
            </c:numRef>
          </c:xVal>
          <c:yVal>
            <c:numRef>
              <c:f>'Pull-out(E)'!$AI$14:$AI$98</c:f>
              <c:numCache>
                <c:formatCode>0.00</c:formatCode>
                <c:ptCount val="51"/>
                <c:pt idx="0">
                  <c:v>0</c:v>
                </c:pt>
                <c:pt idx="1">
                  <c:v>38.85</c:v>
                </c:pt>
                <c:pt idx="2">
                  <c:v>49.949999999999996</c:v>
                </c:pt>
                <c:pt idx="3">
                  <c:v>77.7</c:v>
                </c:pt>
                <c:pt idx="4">
                  <c:v>94.35</c:v>
                </c:pt>
                <c:pt idx="5">
                  <c:v>111</c:v>
                </c:pt>
                <c:pt idx="6">
                  <c:v>122.1</c:v>
                </c:pt>
                <c:pt idx="7">
                  <c:v>133.19999999999999</c:v>
                </c:pt>
                <c:pt idx="8">
                  <c:v>149.85</c:v>
                </c:pt>
                <c:pt idx="9">
                  <c:v>155.4</c:v>
                </c:pt>
                <c:pt idx="10">
                  <c:v>166.5</c:v>
                </c:pt>
                <c:pt idx="11">
                  <c:v>177.6</c:v>
                </c:pt>
                <c:pt idx="12">
                  <c:v>188.7</c:v>
                </c:pt>
                <c:pt idx="13">
                  <c:v>199.79999999999998</c:v>
                </c:pt>
                <c:pt idx="14">
                  <c:v>210.9</c:v>
                </c:pt>
                <c:pt idx="15">
                  <c:v>222</c:v>
                </c:pt>
                <c:pt idx="16">
                  <c:v>227.54999999999998</c:v>
                </c:pt>
                <c:pt idx="17">
                  <c:v>238.65</c:v>
                </c:pt>
                <c:pt idx="18">
                  <c:v>244.2</c:v>
                </c:pt>
                <c:pt idx="19">
                  <c:v>249.75</c:v>
                </c:pt>
                <c:pt idx="20">
                  <c:v>255.29999999999998</c:v>
                </c:pt>
                <c:pt idx="21">
                  <c:v>266.39999999999998</c:v>
                </c:pt>
                <c:pt idx="22">
                  <c:v>271.95</c:v>
                </c:pt>
                <c:pt idx="23">
                  <c:v>277.5</c:v>
                </c:pt>
                <c:pt idx="24">
                  <c:v>283.05</c:v>
                </c:pt>
                <c:pt idx="25">
                  <c:v>288.59999999999997</c:v>
                </c:pt>
                <c:pt idx="26">
                  <c:v>294.14999999999998</c:v>
                </c:pt>
                <c:pt idx="27">
                  <c:v>299.7</c:v>
                </c:pt>
                <c:pt idx="28">
                  <c:v>299.7</c:v>
                </c:pt>
                <c:pt idx="29">
                  <c:v>310.8</c:v>
                </c:pt>
                <c:pt idx="30">
                  <c:v>321.89999999999998</c:v>
                </c:pt>
                <c:pt idx="31">
                  <c:v>327.45</c:v>
                </c:pt>
                <c:pt idx="32">
                  <c:v>333</c:v>
                </c:pt>
                <c:pt idx="33">
                  <c:v>344.09999999999997</c:v>
                </c:pt>
                <c:pt idx="34">
                  <c:v>349.65</c:v>
                </c:pt>
                <c:pt idx="35">
                  <c:v>355.2</c:v>
                </c:pt>
                <c:pt idx="36">
                  <c:v>360.75</c:v>
                </c:pt>
                <c:pt idx="37">
                  <c:v>360.75</c:v>
                </c:pt>
                <c:pt idx="38">
                  <c:v>360.75</c:v>
                </c:pt>
                <c:pt idx="39">
                  <c:v>366.3</c:v>
                </c:pt>
                <c:pt idx="40">
                  <c:v>366.3</c:v>
                </c:pt>
                <c:pt idx="41">
                  <c:v>377.4</c:v>
                </c:pt>
                <c:pt idx="42">
                  <c:v>382.95</c:v>
                </c:pt>
                <c:pt idx="43">
                  <c:v>388.5</c:v>
                </c:pt>
                <c:pt idx="44">
                  <c:v>394.05</c:v>
                </c:pt>
                <c:pt idx="45">
                  <c:v>399.59999999999997</c:v>
                </c:pt>
                <c:pt idx="46">
                  <c:v>405.15</c:v>
                </c:pt>
                <c:pt idx="47">
                  <c:v>410.7</c:v>
                </c:pt>
                <c:pt idx="48">
                  <c:v>421.8</c:v>
                </c:pt>
                <c:pt idx="49">
                  <c:v>427.34999999999997</c:v>
                </c:pt>
                <c:pt idx="50">
                  <c:v>421.8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8440-461F-A2B7-5F853D9D84A6}"/>
            </c:ext>
          </c:extLst>
        </c:ser>
        <c:ser>
          <c:idx val="1"/>
          <c:order val="1"/>
          <c:tx>
            <c:v>60%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'Pull-out(E)'!$AG$115:$AG$208</c:f>
              <c:numCache>
                <c:formatCode>0.00</c:formatCode>
                <c:ptCount val="92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0.55000000000000004</c:v>
                </c:pt>
                <c:pt idx="29">
                  <c:v>0.56000000000000005</c:v>
                </c:pt>
                <c:pt idx="30">
                  <c:v>0.57999999999999996</c:v>
                </c:pt>
                <c:pt idx="31">
                  <c:v>0.6</c:v>
                </c:pt>
                <c:pt idx="32">
                  <c:v>0.62</c:v>
                </c:pt>
                <c:pt idx="33">
                  <c:v>0.64</c:v>
                </c:pt>
                <c:pt idx="34">
                  <c:v>0.65</c:v>
                </c:pt>
                <c:pt idx="35">
                  <c:v>0.66</c:v>
                </c:pt>
                <c:pt idx="36">
                  <c:v>0.68</c:v>
                </c:pt>
                <c:pt idx="37">
                  <c:v>0.70000000000000007</c:v>
                </c:pt>
                <c:pt idx="38">
                  <c:v>0.75</c:v>
                </c:pt>
                <c:pt idx="39">
                  <c:v>0.76</c:v>
                </c:pt>
                <c:pt idx="40">
                  <c:v>0.78</c:v>
                </c:pt>
                <c:pt idx="41">
                  <c:v>0.8</c:v>
                </c:pt>
                <c:pt idx="42">
                  <c:v>0.82000000000000006</c:v>
                </c:pt>
                <c:pt idx="43">
                  <c:v>0.84</c:v>
                </c:pt>
                <c:pt idx="44">
                  <c:v>0.85</c:v>
                </c:pt>
                <c:pt idx="45">
                  <c:v>0.86</c:v>
                </c:pt>
                <c:pt idx="46">
                  <c:v>0.88</c:v>
                </c:pt>
                <c:pt idx="47">
                  <c:v>0.9</c:v>
                </c:pt>
                <c:pt idx="48">
                  <c:v>0.92</c:v>
                </c:pt>
                <c:pt idx="49">
                  <c:v>0.94000000000000006</c:v>
                </c:pt>
                <c:pt idx="50">
                  <c:v>0.95000000000000007</c:v>
                </c:pt>
                <c:pt idx="51">
                  <c:v>0.96</c:v>
                </c:pt>
                <c:pt idx="52">
                  <c:v>0.98</c:v>
                </c:pt>
                <c:pt idx="53">
                  <c:v>1</c:v>
                </c:pt>
                <c:pt idx="54">
                  <c:v>1.02</c:v>
                </c:pt>
                <c:pt idx="55">
                  <c:v>1.04</c:v>
                </c:pt>
                <c:pt idx="56">
                  <c:v>1.05</c:v>
                </c:pt>
                <c:pt idx="57">
                  <c:v>1.06</c:v>
                </c:pt>
                <c:pt idx="58">
                  <c:v>1.08</c:v>
                </c:pt>
                <c:pt idx="59">
                  <c:v>1.1000000000000001</c:v>
                </c:pt>
                <c:pt idx="60">
                  <c:v>1.1200000000000001</c:v>
                </c:pt>
                <c:pt idx="61">
                  <c:v>1.1400000000000001</c:v>
                </c:pt>
                <c:pt idx="62">
                  <c:v>1.1500000000000001</c:v>
                </c:pt>
                <c:pt idx="63">
                  <c:v>1.1599999999999999</c:v>
                </c:pt>
                <c:pt idx="64">
                  <c:v>1.18</c:v>
                </c:pt>
                <c:pt idx="65">
                  <c:v>1.2</c:v>
                </c:pt>
                <c:pt idx="66">
                  <c:v>1.22</c:v>
                </c:pt>
                <c:pt idx="67">
                  <c:v>1.24</c:v>
                </c:pt>
                <c:pt idx="68">
                  <c:v>1.25</c:v>
                </c:pt>
                <c:pt idx="69">
                  <c:v>1.26</c:v>
                </c:pt>
                <c:pt idx="70">
                  <c:v>1.28</c:v>
                </c:pt>
                <c:pt idx="71">
                  <c:v>1.3</c:v>
                </c:pt>
                <c:pt idx="72">
                  <c:v>1.32</c:v>
                </c:pt>
                <c:pt idx="73">
                  <c:v>1.34</c:v>
                </c:pt>
                <c:pt idx="74">
                  <c:v>1.35</c:v>
                </c:pt>
                <c:pt idx="75">
                  <c:v>1.36</c:v>
                </c:pt>
                <c:pt idx="76">
                  <c:v>1.3800000000000001</c:v>
                </c:pt>
                <c:pt idx="77">
                  <c:v>1.4000000000000001</c:v>
                </c:pt>
                <c:pt idx="78">
                  <c:v>1.42</c:v>
                </c:pt>
                <c:pt idx="79">
                  <c:v>1.44</c:v>
                </c:pt>
                <c:pt idx="80">
                  <c:v>1.45</c:v>
                </c:pt>
                <c:pt idx="81">
                  <c:v>1.46</c:v>
                </c:pt>
                <c:pt idx="82">
                  <c:v>1.48</c:v>
                </c:pt>
                <c:pt idx="83">
                  <c:v>1.5</c:v>
                </c:pt>
                <c:pt idx="84">
                  <c:v>1.52</c:v>
                </c:pt>
                <c:pt idx="85">
                  <c:v>1.54</c:v>
                </c:pt>
                <c:pt idx="86">
                  <c:v>1.55</c:v>
                </c:pt>
                <c:pt idx="87">
                  <c:v>1.56</c:v>
                </c:pt>
                <c:pt idx="88">
                  <c:v>1.58</c:v>
                </c:pt>
                <c:pt idx="89">
                  <c:v>1.6</c:v>
                </c:pt>
                <c:pt idx="90">
                  <c:v>1.62</c:v>
                </c:pt>
                <c:pt idx="91">
                  <c:v>1.6400000000000001</c:v>
                </c:pt>
              </c:numCache>
            </c:numRef>
          </c:xVal>
          <c:yVal>
            <c:numRef>
              <c:f>'Pull-out(E)'!$AI$115:$AI$208</c:f>
              <c:numCache>
                <c:formatCode>0.00</c:formatCode>
                <c:ptCount val="92"/>
                <c:pt idx="0">
                  <c:v>0</c:v>
                </c:pt>
                <c:pt idx="1">
                  <c:v>66.599999999999994</c:v>
                </c:pt>
                <c:pt idx="2">
                  <c:v>122.1</c:v>
                </c:pt>
                <c:pt idx="3">
                  <c:v>194.25</c:v>
                </c:pt>
                <c:pt idx="4">
                  <c:v>249.75</c:v>
                </c:pt>
                <c:pt idx="5">
                  <c:v>299.7</c:v>
                </c:pt>
                <c:pt idx="6">
                  <c:v>333</c:v>
                </c:pt>
                <c:pt idx="7">
                  <c:v>360.75</c:v>
                </c:pt>
                <c:pt idx="8">
                  <c:v>388.5</c:v>
                </c:pt>
                <c:pt idx="9">
                  <c:v>410.7</c:v>
                </c:pt>
                <c:pt idx="10">
                  <c:v>427.34999999999997</c:v>
                </c:pt>
                <c:pt idx="11">
                  <c:v>444</c:v>
                </c:pt>
                <c:pt idx="12">
                  <c:v>466.2</c:v>
                </c:pt>
                <c:pt idx="13">
                  <c:v>477.3</c:v>
                </c:pt>
                <c:pt idx="14">
                  <c:v>493.95</c:v>
                </c:pt>
                <c:pt idx="15">
                  <c:v>505.05</c:v>
                </c:pt>
                <c:pt idx="16">
                  <c:v>510.59999999999997</c:v>
                </c:pt>
                <c:pt idx="17">
                  <c:v>521.69999999999993</c:v>
                </c:pt>
                <c:pt idx="18">
                  <c:v>532.79999999999995</c:v>
                </c:pt>
                <c:pt idx="19">
                  <c:v>543.9</c:v>
                </c:pt>
                <c:pt idx="20">
                  <c:v>549.44999999999993</c:v>
                </c:pt>
                <c:pt idx="21">
                  <c:v>555</c:v>
                </c:pt>
                <c:pt idx="22">
                  <c:v>560.54999999999995</c:v>
                </c:pt>
                <c:pt idx="23">
                  <c:v>571.65</c:v>
                </c:pt>
                <c:pt idx="24">
                  <c:v>577.19999999999993</c:v>
                </c:pt>
                <c:pt idx="25">
                  <c:v>582.75</c:v>
                </c:pt>
                <c:pt idx="26">
                  <c:v>588.29999999999995</c:v>
                </c:pt>
                <c:pt idx="27">
                  <c:v>593.85</c:v>
                </c:pt>
                <c:pt idx="28">
                  <c:v>593.85</c:v>
                </c:pt>
                <c:pt idx="29">
                  <c:v>599.4</c:v>
                </c:pt>
                <c:pt idx="30">
                  <c:v>604.94999999999993</c:v>
                </c:pt>
                <c:pt idx="31">
                  <c:v>610.5</c:v>
                </c:pt>
                <c:pt idx="32">
                  <c:v>616.04999999999995</c:v>
                </c:pt>
                <c:pt idx="33">
                  <c:v>621.6</c:v>
                </c:pt>
                <c:pt idx="34">
                  <c:v>621.6</c:v>
                </c:pt>
                <c:pt idx="35">
                  <c:v>621.6</c:v>
                </c:pt>
                <c:pt idx="36">
                  <c:v>621.6</c:v>
                </c:pt>
                <c:pt idx="37">
                  <c:v>627.15</c:v>
                </c:pt>
                <c:pt idx="38">
                  <c:v>632.69999999999993</c:v>
                </c:pt>
                <c:pt idx="39">
                  <c:v>638.25</c:v>
                </c:pt>
                <c:pt idx="40">
                  <c:v>638.25</c:v>
                </c:pt>
                <c:pt idx="41">
                  <c:v>643.79999999999995</c:v>
                </c:pt>
                <c:pt idx="42">
                  <c:v>643.79999999999995</c:v>
                </c:pt>
                <c:pt idx="43">
                  <c:v>649.35</c:v>
                </c:pt>
                <c:pt idx="44">
                  <c:v>649.35</c:v>
                </c:pt>
                <c:pt idx="45">
                  <c:v>649.35</c:v>
                </c:pt>
                <c:pt idx="46">
                  <c:v>654.9</c:v>
                </c:pt>
                <c:pt idx="47">
                  <c:v>654.9</c:v>
                </c:pt>
                <c:pt idx="48">
                  <c:v>654.9</c:v>
                </c:pt>
                <c:pt idx="49">
                  <c:v>660.44999999999993</c:v>
                </c:pt>
                <c:pt idx="50">
                  <c:v>660.44999999999993</c:v>
                </c:pt>
                <c:pt idx="51">
                  <c:v>660.44999999999993</c:v>
                </c:pt>
                <c:pt idx="52">
                  <c:v>666</c:v>
                </c:pt>
                <c:pt idx="53">
                  <c:v>666</c:v>
                </c:pt>
                <c:pt idx="54">
                  <c:v>666</c:v>
                </c:pt>
                <c:pt idx="55">
                  <c:v>666</c:v>
                </c:pt>
                <c:pt idx="56">
                  <c:v>666</c:v>
                </c:pt>
                <c:pt idx="57">
                  <c:v>671.55</c:v>
                </c:pt>
                <c:pt idx="58">
                  <c:v>671.55</c:v>
                </c:pt>
                <c:pt idx="59">
                  <c:v>671.55</c:v>
                </c:pt>
                <c:pt idx="60">
                  <c:v>671.55</c:v>
                </c:pt>
                <c:pt idx="61">
                  <c:v>677.1</c:v>
                </c:pt>
                <c:pt idx="62">
                  <c:v>677.1</c:v>
                </c:pt>
                <c:pt idx="63">
                  <c:v>677.1</c:v>
                </c:pt>
                <c:pt idx="64">
                  <c:v>677.1</c:v>
                </c:pt>
                <c:pt idx="65">
                  <c:v>682.65</c:v>
                </c:pt>
                <c:pt idx="66">
                  <c:v>682.65</c:v>
                </c:pt>
                <c:pt idx="67">
                  <c:v>682.65</c:v>
                </c:pt>
                <c:pt idx="68">
                  <c:v>688.19999999999993</c:v>
                </c:pt>
                <c:pt idx="69">
                  <c:v>688.19999999999993</c:v>
                </c:pt>
                <c:pt idx="70">
                  <c:v>688.19999999999993</c:v>
                </c:pt>
                <c:pt idx="71">
                  <c:v>693.75</c:v>
                </c:pt>
                <c:pt idx="72">
                  <c:v>693.75</c:v>
                </c:pt>
                <c:pt idx="73">
                  <c:v>693.75</c:v>
                </c:pt>
                <c:pt idx="74">
                  <c:v>693.75</c:v>
                </c:pt>
                <c:pt idx="75">
                  <c:v>699.3</c:v>
                </c:pt>
                <c:pt idx="76">
                  <c:v>699.3</c:v>
                </c:pt>
                <c:pt idx="77">
                  <c:v>699.3</c:v>
                </c:pt>
                <c:pt idx="78">
                  <c:v>704.85</c:v>
                </c:pt>
                <c:pt idx="79">
                  <c:v>704.85</c:v>
                </c:pt>
                <c:pt idx="80">
                  <c:v>704.85</c:v>
                </c:pt>
                <c:pt idx="81">
                  <c:v>704.85</c:v>
                </c:pt>
                <c:pt idx="82">
                  <c:v>710.4</c:v>
                </c:pt>
                <c:pt idx="83">
                  <c:v>710.4</c:v>
                </c:pt>
                <c:pt idx="84">
                  <c:v>710.4</c:v>
                </c:pt>
                <c:pt idx="85">
                  <c:v>715.94999999999993</c:v>
                </c:pt>
                <c:pt idx="86">
                  <c:v>715.94999999999993</c:v>
                </c:pt>
                <c:pt idx="87">
                  <c:v>715.94999999999993</c:v>
                </c:pt>
                <c:pt idx="88">
                  <c:v>715.94999999999993</c:v>
                </c:pt>
                <c:pt idx="89">
                  <c:v>721.5</c:v>
                </c:pt>
                <c:pt idx="90">
                  <c:v>721.5</c:v>
                </c:pt>
                <c:pt idx="91">
                  <c:v>721.5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8440-461F-A2B7-5F853D9D84A6}"/>
            </c:ext>
          </c:extLst>
        </c:ser>
        <c:ser>
          <c:idx val="2"/>
          <c:order val="2"/>
          <c:tx>
            <c:v>80%</c:v>
          </c:tx>
          <c:spPr>
            <a:ln w="22225" cap="rnd">
              <a:solidFill>
                <a:schemeClr val="accent3"/>
              </a:solidFill>
            </a:ln>
            <a:effectLst>
              <a:glow rad="139700">
                <a:schemeClr val="accent3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3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'Pull-out(E)'!$AG$226:$AG$325</c:f>
              <c:numCache>
                <c:formatCode>0.00</c:formatCode>
                <c:ptCount val="77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0.55000000000000004</c:v>
                </c:pt>
                <c:pt idx="29">
                  <c:v>0.56000000000000005</c:v>
                </c:pt>
                <c:pt idx="30">
                  <c:v>0.57999999999999996</c:v>
                </c:pt>
                <c:pt idx="31">
                  <c:v>0.6</c:v>
                </c:pt>
                <c:pt idx="32">
                  <c:v>0.62</c:v>
                </c:pt>
                <c:pt idx="33">
                  <c:v>0.64</c:v>
                </c:pt>
                <c:pt idx="34">
                  <c:v>0.65</c:v>
                </c:pt>
                <c:pt idx="35">
                  <c:v>0.66</c:v>
                </c:pt>
                <c:pt idx="36">
                  <c:v>0.68</c:v>
                </c:pt>
                <c:pt idx="37">
                  <c:v>0.70000000000000007</c:v>
                </c:pt>
                <c:pt idx="38">
                  <c:v>0.72</c:v>
                </c:pt>
                <c:pt idx="39">
                  <c:v>0.74</c:v>
                </c:pt>
                <c:pt idx="40">
                  <c:v>0.75</c:v>
                </c:pt>
                <c:pt idx="41">
                  <c:v>0.76</c:v>
                </c:pt>
                <c:pt idx="42">
                  <c:v>0.78</c:v>
                </c:pt>
                <c:pt idx="43">
                  <c:v>0.8</c:v>
                </c:pt>
                <c:pt idx="44">
                  <c:v>0.82000000000000006</c:v>
                </c:pt>
                <c:pt idx="45">
                  <c:v>0.84</c:v>
                </c:pt>
                <c:pt idx="46">
                  <c:v>0.85</c:v>
                </c:pt>
                <c:pt idx="47">
                  <c:v>0.86</c:v>
                </c:pt>
                <c:pt idx="48">
                  <c:v>0.88</c:v>
                </c:pt>
                <c:pt idx="49">
                  <c:v>0.9</c:v>
                </c:pt>
                <c:pt idx="50">
                  <c:v>0.92</c:v>
                </c:pt>
                <c:pt idx="51">
                  <c:v>0.94000000000000006</c:v>
                </c:pt>
                <c:pt idx="52">
                  <c:v>0.95000000000000007</c:v>
                </c:pt>
                <c:pt idx="53">
                  <c:v>0.96</c:v>
                </c:pt>
                <c:pt idx="54">
                  <c:v>0.98</c:v>
                </c:pt>
                <c:pt idx="55">
                  <c:v>1</c:v>
                </c:pt>
                <c:pt idx="56">
                  <c:v>1.02</c:v>
                </c:pt>
                <c:pt idx="57">
                  <c:v>1.04</c:v>
                </c:pt>
                <c:pt idx="58">
                  <c:v>1.05</c:v>
                </c:pt>
                <c:pt idx="59">
                  <c:v>1.06</c:v>
                </c:pt>
                <c:pt idx="60">
                  <c:v>1.08</c:v>
                </c:pt>
                <c:pt idx="61">
                  <c:v>1.1000000000000001</c:v>
                </c:pt>
                <c:pt idx="62">
                  <c:v>1.1500000000000001</c:v>
                </c:pt>
                <c:pt idx="63">
                  <c:v>1.2</c:v>
                </c:pt>
                <c:pt idx="64">
                  <c:v>1.25</c:v>
                </c:pt>
                <c:pt idx="65">
                  <c:v>1.3</c:v>
                </c:pt>
                <c:pt idx="66">
                  <c:v>1.35</c:v>
                </c:pt>
                <c:pt idx="67">
                  <c:v>1.4000000000000001</c:v>
                </c:pt>
                <c:pt idx="68">
                  <c:v>1.45</c:v>
                </c:pt>
                <c:pt idx="69">
                  <c:v>1.5</c:v>
                </c:pt>
                <c:pt idx="70">
                  <c:v>1.55</c:v>
                </c:pt>
                <c:pt idx="71">
                  <c:v>1.6</c:v>
                </c:pt>
                <c:pt idx="72">
                  <c:v>1.6500000000000001</c:v>
                </c:pt>
                <c:pt idx="73">
                  <c:v>1.7</c:v>
                </c:pt>
                <c:pt idx="74">
                  <c:v>1.72</c:v>
                </c:pt>
                <c:pt idx="75">
                  <c:v>1.74</c:v>
                </c:pt>
                <c:pt idx="76">
                  <c:v>1.75</c:v>
                </c:pt>
              </c:numCache>
            </c:numRef>
          </c:xVal>
          <c:yVal>
            <c:numRef>
              <c:f>'Pull-out(E)'!$AI$226:$AI$325</c:f>
              <c:numCache>
                <c:formatCode>0.00</c:formatCode>
                <c:ptCount val="77"/>
                <c:pt idx="0">
                  <c:v>0</c:v>
                </c:pt>
                <c:pt idx="1">
                  <c:v>61.05</c:v>
                </c:pt>
                <c:pt idx="2">
                  <c:v>105.45</c:v>
                </c:pt>
                <c:pt idx="3">
                  <c:v>210.9</c:v>
                </c:pt>
                <c:pt idx="4">
                  <c:v>244.2</c:v>
                </c:pt>
                <c:pt idx="5">
                  <c:v>310.8</c:v>
                </c:pt>
                <c:pt idx="6">
                  <c:v>349.65</c:v>
                </c:pt>
                <c:pt idx="7">
                  <c:v>388.5</c:v>
                </c:pt>
                <c:pt idx="8">
                  <c:v>449.55</c:v>
                </c:pt>
                <c:pt idx="9">
                  <c:v>482.84999999999997</c:v>
                </c:pt>
                <c:pt idx="10">
                  <c:v>510.59999999999997</c:v>
                </c:pt>
                <c:pt idx="11">
                  <c:v>532.79999999999995</c:v>
                </c:pt>
                <c:pt idx="12">
                  <c:v>566.1</c:v>
                </c:pt>
                <c:pt idx="13">
                  <c:v>593.85</c:v>
                </c:pt>
                <c:pt idx="14">
                  <c:v>610.5</c:v>
                </c:pt>
                <c:pt idx="15">
                  <c:v>632.69999999999993</c:v>
                </c:pt>
                <c:pt idx="16">
                  <c:v>643.79999999999995</c:v>
                </c:pt>
                <c:pt idx="17">
                  <c:v>666</c:v>
                </c:pt>
                <c:pt idx="18">
                  <c:v>682.65</c:v>
                </c:pt>
                <c:pt idx="19">
                  <c:v>699.3</c:v>
                </c:pt>
                <c:pt idx="20">
                  <c:v>710.4</c:v>
                </c:pt>
                <c:pt idx="21">
                  <c:v>727.05</c:v>
                </c:pt>
                <c:pt idx="22">
                  <c:v>743.69999999999993</c:v>
                </c:pt>
                <c:pt idx="23">
                  <c:v>754.8</c:v>
                </c:pt>
                <c:pt idx="24">
                  <c:v>760.35</c:v>
                </c:pt>
                <c:pt idx="25">
                  <c:v>771.44999999999993</c:v>
                </c:pt>
                <c:pt idx="26">
                  <c:v>782.55</c:v>
                </c:pt>
                <c:pt idx="27">
                  <c:v>793.65</c:v>
                </c:pt>
                <c:pt idx="28">
                  <c:v>793.65</c:v>
                </c:pt>
                <c:pt idx="29">
                  <c:v>799.19999999999993</c:v>
                </c:pt>
                <c:pt idx="30">
                  <c:v>804.75</c:v>
                </c:pt>
                <c:pt idx="31">
                  <c:v>810.3</c:v>
                </c:pt>
                <c:pt idx="32">
                  <c:v>821.4</c:v>
                </c:pt>
                <c:pt idx="33">
                  <c:v>826.94999999999993</c:v>
                </c:pt>
                <c:pt idx="34">
                  <c:v>826.94999999999993</c:v>
                </c:pt>
                <c:pt idx="35">
                  <c:v>832.5</c:v>
                </c:pt>
                <c:pt idx="36">
                  <c:v>843.6</c:v>
                </c:pt>
                <c:pt idx="37">
                  <c:v>854.69999999999993</c:v>
                </c:pt>
                <c:pt idx="38">
                  <c:v>854.69999999999993</c:v>
                </c:pt>
                <c:pt idx="39">
                  <c:v>860.25</c:v>
                </c:pt>
                <c:pt idx="40">
                  <c:v>860.25</c:v>
                </c:pt>
                <c:pt idx="41">
                  <c:v>865.8</c:v>
                </c:pt>
                <c:pt idx="42">
                  <c:v>871.35</c:v>
                </c:pt>
                <c:pt idx="43">
                  <c:v>876.9</c:v>
                </c:pt>
                <c:pt idx="44">
                  <c:v>876.9</c:v>
                </c:pt>
                <c:pt idx="45">
                  <c:v>882.44999999999993</c:v>
                </c:pt>
                <c:pt idx="46">
                  <c:v>882.44999999999993</c:v>
                </c:pt>
                <c:pt idx="47">
                  <c:v>888</c:v>
                </c:pt>
                <c:pt idx="48">
                  <c:v>899.1</c:v>
                </c:pt>
                <c:pt idx="49">
                  <c:v>904.65</c:v>
                </c:pt>
                <c:pt idx="50">
                  <c:v>915.75</c:v>
                </c:pt>
                <c:pt idx="51">
                  <c:v>915.75</c:v>
                </c:pt>
                <c:pt idx="52">
                  <c:v>915.75</c:v>
                </c:pt>
                <c:pt idx="53">
                  <c:v>921.3</c:v>
                </c:pt>
                <c:pt idx="54">
                  <c:v>921.3</c:v>
                </c:pt>
                <c:pt idx="55">
                  <c:v>926.85</c:v>
                </c:pt>
                <c:pt idx="56">
                  <c:v>926.85</c:v>
                </c:pt>
                <c:pt idx="57">
                  <c:v>932.4</c:v>
                </c:pt>
                <c:pt idx="58">
                  <c:v>932.4</c:v>
                </c:pt>
                <c:pt idx="59">
                  <c:v>937.94999999999993</c:v>
                </c:pt>
                <c:pt idx="60">
                  <c:v>943.5</c:v>
                </c:pt>
                <c:pt idx="61">
                  <c:v>943.5</c:v>
                </c:pt>
                <c:pt idx="62">
                  <c:v>954.6</c:v>
                </c:pt>
                <c:pt idx="63">
                  <c:v>971.25</c:v>
                </c:pt>
                <c:pt idx="64">
                  <c:v>976.8</c:v>
                </c:pt>
                <c:pt idx="65">
                  <c:v>976.8</c:v>
                </c:pt>
                <c:pt idx="66">
                  <c:v>982.35</c:v>
                </c:pt>
                <c:pt idx="67">
                  <c:v>987.9</c:v>
                </c:pt>
                <c:pt idx="68">
                  <c:v>987.9</c:v>
                </c:pt>
                <c:pt idx="69">
                  <c:v>993.44999999999993</c:v>
                </c:pt>
                <c:pt idx="70">
                  <c:v>993.44999999999993</c:v>
                </c:pt>
                <c:pt idx="71">
                  <c:v>999</c:v>
                </c:pt>
                <c:pt idx="72">
                  <c:v>1004.55</c:v>
                </c:pt>
                <c:pt idx="73">
                  <c:v>1004.55</c:v>
                </c:pt>
                <c:pt idx="74">
                  <c:v>1010.1</c:v>
                </c:pt>
                <c:pt idx="75">
                  <c:v>1010.1</c:v>
                </c:pt>
                <c:pt idx="76">
                  <c:v>1010.1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8440-461F-A2B7-5F853D9D84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6215184"/>
        <c:axId val="1156216272"/>
      </c:scatterChart>
      <c:valAx>
        <c:axId val="11562151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DISPLACEMENT(cm)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6216272"/>
        <c:crosses val="autoZero"/>
        <c:crossBetween val="midCat"/>
      </c:valAx>
      <c:valAx>
        <c:axId val="1156216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LOAD(kg)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621518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2722484689413822"/>
          <c:y val="0.86631889763779524"/>
          <c:w val="0.45110586176727913"/>
          <c:h val="7.812554680664918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0.15m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'Pull-out(E)'!$U$14:$U$22</c:f>
              <c:numCache>
                <c:formatCode>0.00</c:formatCode>
                <c:ptCount val="9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</c:numCache>
            </c:numRef>
          </c:xVal>
          <c:yVal>
            <c:numRef>
              <c:f>'Pull-out(E)'!$W$14:$W$22</c:f>
              <c:numCache>
                <c:formatCode>0.00</c:formatCode>
                <c:ptCount val="9"/>
                <c:pt idx="0">
                  <c:v>0</c:v>
                </c:pt>
                <c:pt idx="1">
                  <c:v>5.55</c:v>
                </c:pt>
                <c:pt idx="2">
                  <c:v>16.649999999999999</c:v>
                </c:pt>
                <c:pt idx="3">
                  <c:v>27.75</c:v>
                </c:pt>
                <c:pt idx="4">
                  <c:v>33.299999999999997</c:v>
                </c:pt>
                <c:pt idx="5">
                  <c:v>38.85</c:v>
                </c:pt>
                <c:pt idx="6">
                  <c:v>44.4</c:v>
                </c:pt>
                <c:pt idx="7">
                  <c:v>49.949999999999996</c:v>
                </c:pt>
                <c:pt idx="8">
                  <c:v>49.949999999999996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72ED-40D7-8013-5544647D5375}"/>
            </c:ext>
          </c:extLst>
        </c:ser>
        <c:ser>
          <c:idx val="1"/>
          <c:order val="1"/>
          <c:tx>
            <c:v>0.30m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'Pull-out(E)'!$C$14:$C$21</c:f>
              <c:numCache>
                <c:formatCode>0.00</c:formatCode>
                <c:ptCount val="8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</c:numCache>
            </c:numRef>
          </c:xVal>
          <c:yVal>
            <c:numRef>
              <c:f>'Pull-out(E)'!$E$14:$E$21</c:f>
              <c:numCache>
                <c:formatCode>0.00</c:formatCode>
                <c:ptCount val="8"/>
                <c:pt idx="0">
                  <c:v>0</c:v>
                </c:pt>
                <c:pt idx="1">
                  <c:v>38.85</c:v>
                </c:pt>
                <c:pt idx="2">
                  <c:v>66.599999999999994</c:v>
                </c:pt>
                <c:pt idx="3">
                  <c:v>105.45</c:v>
                </c:pt>
                <c:pt idx="4">
                  <c:v>105.45</c:v>
                </c:pt>
                <c:pt idx="5">
                  <c:v>111</c:v>
                </c:pt>
                <c:pt idx="6">
                  <c:v>111</c:v>
                </c:pt>
                <c:pt idx="7">
                  <c:v>111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72ED-40D7-8013-5544647D53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6217360"/>
        <c:axId val="1156227696"/>
      </c:scatterChart>
      <c:valAx>
        <c:axId val="11562173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DISPLACEMENT(cm)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6227696"/>
        <c:crosses val="autoZero"/>
        <c:crossBetween val="midCat"/>
      </c:valAx>
      <c:valAx>
        <c:axId val="1156227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LOAD(kN)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621736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0.15m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'Pull-out(E)'!$AA$14:$AA$38</c:f>
              <c:numCache>
                <c:formatCode>0.00</c:formatCode>
                <c:ptCount val="25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</c:numCache>
            </c:numRef>
          </c:xVal>
          <c:yVal>
            <c:numRef>
              <c:f>'Pull-out(E)'!$AC$14:$AC$38</c:f>
              <c:numCache>
                <c:formatCode>0.00</c:formatCode>
                <c:ptCount val="25"/>
                <c:pt idx="0">
                  <c:v>0</c:v>
                </c:pt>
                <c:pt idx="1">
                  <c:v>11.1</c:v>
                </c:pt>
                <c:pt idx="2">
                  <c:v>22.2</c:v>
                </c:pt>
                <c:pt idx="3">
                  <c:v>61.05</c:v>
                </c:pt>
                <c:pt idx="4">
                  <c:v>72.149999999999991</c:v>
                </c:pt>
                <c:pt idx="5">
                  <c:v>88.8</c:v>
                </c:pt>
                <c:pt idx="6">
                  <c:v>99.899999999999991</c:v>
                </c:pt>
                <c:pt idx="7">
                  <c:v>105.45</c:v>
                </c:pt>
                <c:pt idx="8">
                  <c:v>116.55</c:v>
                </c:pt>
                <c:pt idx="9">
                  <c:v>122.1</c:v>
                </c:pt>
                <c:pt idx="10">
                  <c:v>122.1</c:v>
                </c:pt>
                <c:pt idx="11">
                  <c:v>127.64999999999999</c:v>
                </c:pt>
                <c:pt idx="12">
                  <c:v>127.64999999999999</c:v>
                </c:pt>
                <c:pt idx="13">
                  <c:v>133.19999999999999</c:v>
                </c:pt>
                <c:pt idx="14">
                  <c:v>138.75</c:v>
                </c:pt>
                <c:pt idx="15">
                  <c:v>138.75</c:v>
                </c:pt>
                <c:pt idx="16">
                  <c:v>138.75</c:v>
                </c:pt>
                <c:pt idx="17">
                  <c:v>144.29999999999998</c:v>
                </c:pt>
                <c:pt idx="18">
                  <c:v>144.29999999999998</c:v>
                </c:pt>
                <c:pt idx="19">
                  <c:v>149.85</c:v>
                </c:pt>
                <c:pt idx="20">
                  <c:v>149.85</c:v>
                </c:pt>
                <c:pt idx="21">
                  <c:v>149.85</c:v>
                </c:pt>
                <c:pt idx="22">
                  <c:v>149.85</c:v>
                </c:pt>
                <c:pt idx="23">
                  <c:v>155.4</c:v>
                </c:pt>
                <c:pt idx="24">
                  <c:v>155.4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9131-4197-A588-F1652D36BC76}"/>
            </c:ext>
          </c:extLst>
        </c:ser>
        <c:ser>
          <c:idx val="1"/>
          <c:order val="1"/>
          <c:tx>
            <c:v>0.30m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'Pull-out(E)'!$I$14:$I$40</c:f>
              <c:numCache>
                <c:formatCode>0.00</c:formatCode>
                <c:ptCount val="27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</c:numCache>
            </c:numRef>
          </c:xVal>
          <c:yVal>
            <c:numRef>
              <c:f>'Pull-out(E)'!$K$14:$K$40</c:f>
              <c:numCache>
                <c:formatCode>0.00</c:formatCode>
                <c:ptCount val="27"/>
                <c:pt idx="0">
                  <c:v>0</c:v>
                </c:pt>
                <c:pt idx="1">
                  <c:v>44.4</c:v>
                </c:pt>
                <c:pt idx="2">
                  <c:v>77.7</c:v>
                </c:pt>
                <c:pt idx="3">
                  <c:v>149.85</c:v>
                </c:pt>
                <c:pt idx="4">
                  <c:v>199.79999999999998</c:v>
                </c:pt>
                <c:pt idx="5">
                  <c:v>222</c:v>
                </c:pt>
                <c:pt idx="6">
                  <c:v>227.54999999999998</c:v>
                </c:pt>
                <c:pt idx="7">
                  <c:v>238.65</c:v>
                </c:pt>
                <c:pt idx="8">
                  <c:v>249.75</c:v>
                </c:pt>
                <c:pt idx="9">
                  <c:v>249.75</c:v>
                </c:pt>
                <c:pt idx="10">
                  <c:v>255.29999999999998</c:v>
                </c:pt>
                <c:pt idx="11">
                  <c:v>255.29999999999998</c:v>
                </c:pt>
                <c:pt idx="12">
                  <c:v>260.84999999999997</c:v>
                </c:pt>
                <c:pt idx="13">
                  <c:v>266.39999999999998</c:v>
                </c:pt>
                <c:pt idx="14">
                  <c:v>266.39999999999998</c:v>
                </c:pt>
                <c:pt idx="15">
                  <c:v>266.39999999999998</c:v>
                </c:pt>
                <c:pt idx="16">
                  <c:v>271.95</c:v>
                </c:pt>
                <c:pt idx="17">
                  <c:v>271.95</c:v>
                </c:pt>
                <c:pt idx="18">
                  <c:v>277.5</c:v>
                </c:pt>
                <c:pt idx="19">
                  <c:v>277.5</c:v>
                </c:pt>
                <c:pt idx="20">
                  <c:v>283.05</c:v>
                </c:pt>
                <c:pt idx="21">
                  <c:v>283.05</c:v>
                </c:pt>
                <c:pt idx="22">
                  <c:v>288.59999999999997</c:v>
                </c:pt>
                <c:pt idx="23">
                  <c:v>288.59999999999997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9131-4197-A588-F1652D36BC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6220080"/>
        <c:axId val="1156222800"/>
      </c:scatterChart>
      <c:valAx>
        <c:axId val="11562200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DISPLACEMENT(cm)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6222800"/>
        <c:crosses val="autoZero"/>
        <c:crossBetween val="midCat"/>
      </c:valAx>
      <c:valAx>
        <c:axId val="1156222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LOAD(kN)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622008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0.15m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'Pull-out(E)'!$AG$14:$AG$98</c:f>
              <c:numCache>
                <c:formatCode>0.00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0.55000000000000004</c:v>
                </c:pt>
                <c:pt idx="29">
                  <c:v>0.6</c:v>
                </c:pt>
                <c:pt idx="30">
                  <c:v>0.65</c:v>
                </c:pt>
                <c:pt idx="31">
                  <c:v>0.70000000000000007</c:v>
                </c:pt>
                <c:pt idx="32">
                  <c:v>0.75</c:v>
                </c:pt>
                <c:pt idx="33">
                  <c:v>0.8</c:v>
                </c:pt>
                <c:pt idx="34">
                  <c:v>0.85</c:v>
                </c:pt>
                <c:pt idx="35">
                  <c:v>0.9</c:v>
                </c:pt>
                <c:pt idx="36">
                  <c:v>0.95000000000000007</c:v>
                </c:pt>
                <c:pt idx="37">
                  <c:v>0.96</c:v>
                </c:pt>
                <c:pt idx="38">
                  <c:v>0.98</c:v>
                </c:pt>
                <c:pt idx="39">
                  <c:v>1</c:v>
                </c:pt>
                <c:pt idx="40">
                  <c:v>1.05</c:v>
                </c:pt>
                <c:pt idx="41">
                  <c:v>1.1000000000000001</c:v>
                </c:pt>
                <c:pt idx="42">
                  <c:v>1.1500000000000001</c:v>
                </c:pt>
                <c:pt idx="43">
                  <c:v>1.2</c:v>
                </c:pt>
                <c:pt idx="44">
                  <c:v>1.25</c:v>
                </c:pt>
                <c:pt idx="45">
                  <c:v>1.3</c:v>
                </c:pt>
                <c:pt idx="46">
                  <c:v>1.35</c:v>
                </c:pt>
                <c:pt idx="47">
                  <c:v>1.4000000000000001</c:v>
                </c:pt>
                <c:pt idx="48">
                  <c:v>1.45</c:v>
                </c:pt>
                <c:pt idx="49">
                  <c:v>1.46</c:v>
                </c:pt>
                <c:pt idx="50">
                  <c:v>1.48</c:v>
                </c:pt>
              </c:numCache>
            </c:numRef>
          </c:xVal>
          <c:yVal>
            <c:numRef>
              <c:f>'Pull-out(E)'!$AI$14:$AI$98</c:f>
              <c:numCache>
                <c:formatCode>0.00</c:formatCode>
                <c:ptCount val="51"/>
                <c:pt idx="0">
                  <c:v>0</c:v>
                </c:pt>
                <c:pt idx="1">
                  <c:v>38.85</c:v>
                </c:pt>
                <c:pt idx="2">
                  <c:v>49.949999999999996</c:v>
                </c:pt>
                <c:pt idx="3">
                  <c:v>77.7</c:v>
                </c:pt>
                <c:pt idx="4">
                  <c:v>94.35</c:v>
                </c:pt>
                <c:pt idx="5">
                  <c:v>111</c:v>
                </c:pt>
                <c:pt idx="6">
                  <c:v>122.1</c:v>
                </c:pt>
                <c:pt idx="7">
                  <c:v>133.19999999999999</c:v>
                </c:pt>
                <c:pt idx="8">
                  <c:v>149.85</c:v>
                </c:pt>
                <c:pt idx="9">
                  <c:v>155.4</c:v>
                </c:pt>
                <c:pt idx="10">
                  <c:v>166.5</c:v>
                </c:pt>
                <c:pt idx="11">
                  <c:v>177.6</c:v>
                </c:pt>
                <c:pt idx="12">
                  <c:v>188.7</c:v>
                </c:pt>
                <c:pt idx="13">
                  <c:v>199.79999999999998</c:v>
                </c:pt>
                <c:pt idx="14">
                  <c:v>210.9</c:v>
                </c:pt>
                <c:pt idx="15">
                  <c:v>222</c:v>
                </c:pt>
                <c:pt idx="16">
                  <c:v>227.54999999999998</c:v>
                </c:pt>
                <c:pt idx="17">
                  <c:v>238.65</c:v>
                </c:pt>
                <c:pt idx="18">
                  <c:v>244.2</c:v>
                </c:pt>
                <c:pt idx="19">
                  <c:v>249.75</c:v>
                </c:pt>
                <c:pt idx="20">
                  <c:v>255.29999999999998</c:v>
                </c:pt>
                <c:pt idx="21">
                  <c:v>266.39999999999998</c:v>
                </c:pt>
                <c:pt idx="22">
                  <c:v>271.95</c:v>
                </c:pt>
                <c:pt idx="23">
                  <c:v>277.5</c:v>
                </c:pt>
                <c:pt idx="24">
                  <c:v>283.05</c:v>
                </c:pt>
                <c:pt idx="25">
                  <c:v>288.59999999999997</c:v>
                </c:pt>
                <c:pt idx="26">
                  <c:v>294.14999999999998</c:v>
                </c:pt>
                <c:pt idx="27">
                  <c:v>299.7</c:v>
                </c:pt>
                <c:pt idx="28">
                  <c:v>299.7</c:v>
                </c:pt>
                <c:pt idx="29">
                  <c:v>310.8</c:v>
                </c:pt>
                <c:pt idx="30">
                  <c:v>321.89999999999998</c:v>
                </c:pt>
                <c:pt idx="31">
                  <c:v>327.45</c:v>
                </c:pt>
                <c:pt idx="32">
                  <c:v>333</c:v>
                </c:pt>
                <c:pt idx="33">
                  <c:v>344.09999999999997</c:v>
                </c:pt>
                <c:pt idx="34">
                  <c:v>349.65</c:v>
                </c:pt>
                <c:pt idx="35">
                  <c:v>355.2</c:v>
                </c:pt>
                <c:pt idx="36">
                  <c:v>360.75</c:v>
                </c:pt>
                <c:pt idx="37">
                  <c:v>360.75</c:v>
                </c:pt>
                <c:pt idx="38">
                  <c:v>360.75</c:v>
                </c:pt>
                <c:pt idx="39">
                  <c:v>366.3</c:v>
                </c:pt>
                <c:pt idx="40">
                  <c:v>366.3</c:v>
                </c:pt>
                <c:pt idx="41">
                  <c:v>377.4</c:v>
                </c:pt>
                <c:pt idx="42">
                  <c:v>382.95</c:v>
                </c:pt>
                <c:pt idx="43">
                  <c:v>388.5</c:v>
                </c:pt>
                <c:pt idx="44">
                  <c:v>394.05</c:v>
                </c:pt>
                <c:pt idx="45">
                  <c:v>399.59999999999997</c:v>
                </c:pt>
                <c:pt idx="46">
                  <c:v>405.15</c:v>
                </c:pt>
                <c:pt idx="47">
                  <c:v>410.7</c:v>
                </c:pt>
                <c:pt idx="48">
                  <c:v>421.8</c:v>
                </c:pt>
                <c:pt idx="49">
                  <c:v>427.34999999999997</c:v>
                </c:pt>
                <c:pt idx="50">
                  <c:v>421.8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1E28-4D4C-A99E-8A1506F44C62}"/>
            </c:ext>
          </c:extLst>
        </c:ser>
        <c:ser>
          <c:idx val="1"/>
          <c:order val="1"/>
          <c:tx>
            <c:v>0.30m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'Pull-out(E)'!$O$14:$O$69</c:f>
              <c:numCache>
                <c:formatCode>0.00</c:formatCode>
                <c:ptCount val="40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0.55000000000000004</c:v>
                </c:pt>
                <c:pt idx="29">
                  <c:v>0.6</c:v>
                </c:pt>
                <c:pt idx="30">
                  <c:v>0.65</c:v>
                </c:pt>
                <c:pt idx="31">
                  <c:v>0.70000000000000007</c:v>
                </c:pt>
                <c:pt idx="32">
                  <c:v>0.75</c:v>
                </c:pt>
                <c:pt idx="33">
                  <c:v>0.8</c:v>
                </c:pt>
                <c:pt idx="34">
                  <c:v>0.85</c:v>
                </c:pt>
                <c:pt idx="35">
                  <c:v>0.9</c:v>
                </c:pt>
                <c:pt idx="36">
                  <c:v>0.95000000000000007</c:v>
                </c:pt>
                <c:pt idx="37">
                  <c:v>0.96</c:v>
                </c:pt>
                <c:pt idx="38">
                  <c:v>0.98</c:v>
                </c:pt>
                <c:pt idx="39">
                  <c:v>1</c:v>
                </c:pt>
              </c:numCache>
            </c:numRef>
          </c:xVal>
          <c:yVal>
            <c:numRef>
              <c:f>'Pull-out(E)'!$Q$14:$Q$72</c:f>
              <c:numCache>
                <c:formatCode>0.00</c:formatCode>
                <c:ptCount val="41"/>
                <c:pt idx="0">
                  <c:v>0</c:v>
                </c:pt>
                <c:pt idx="1">
                  <c:v>88.8</c:v>
                </c:pt>
                <c:pt idx="2">
                  <c:v>305.25</c:v>
                </c:pt>
                <c:pt idx="3">
                  <c:v>349.65</c:v>
                </c:pt>
                <c:pt idx="4">
                  <c:v>399.59999999999997</c:v>
                </c:pt>
                <c:pt idx="5">
                  <c:v>427.34999999999997</c:v>
                </c:pt>
                <c:pt idx="6">
                  <c:v>444</c:v>
                </c:pt>
                <c:pt idx="7">
                  <c:v>460.65</c:v>
                </c:pt>
                <c:pt idx="8">
                  <c:v>471.75</c:v>
                </c:pt>
                <c:pt idx="9">
                  <c:v>488.4</c:v>
                </c:pt>
                <c:pt idx="10">
                  <c:v>499.5</c:v>
                </c:pt>
                <c:pt idx="11">
                  <c:v>510.59999999999997</c:v>
                </c:pt>
                <c:pt idx="12">
                  <c:v>521.69999999999993</c:v>
                </c:pt>
                <c:pt idx="13">
                  <c:v>527.25</c:v>
                </c:pt>
                <c:pt idx="14">
                  <c:v>538.35</c:v>
                </c:pt>
                <c:pt idx="15">
                  <c:v>549.44999999999993</c:v>
                </c:pt>
                <c:pt idx="16">
                  <c:v>560.54999999999995</c:v>
                </c:pt>
                <c:pt idx="17">
                  <c:v>566.1</c:v>
                </c:pt>
                <c:pt idx="18">
                  <c:v>571.65</c:v>
                </c:pt>
                <c:pt idx="19">
                  <c:v>582.75</c:v>
                </c:pt>
                <c:pt idx="20">
                  <c:v>588.29999999999995</c:v>
                </c:pt>
                <c:pt idx="21">
                  <c:v>593.85</c:v>
                </c:pt>
                <c:pt idx="22">
                  <c:v>593.85</c:v>
                </c:pt>
                <c:pt idx="23">
                  <c:v>604.94999999999993</c:v>
                </c:pt>
                <c:pt idx="24">
                  <c:v>610.5</c:v>
                </c:pt>
                <c:pt idx="25">
                  <c:v>610.5</c:v>
                </c:pt>
                <c:pt idx="26">
                  <c:v>616.04999999999995</c:v>
                </c:pt>
                <c:pt idx="27">
                  <c:v>621.6</c:v>
                </c:pt>
                <c:pt idx="28">
                  <c:v>621.6</c:v>
                </c:pt>
                <c:pt idx="29">
                  <c:v>638.25</c:v>
                </c:pt>
                <c:pt idx="30">
                  <c:v>643.79999999999995</c:v>
                </c:pt>
                <c:pt idx="31">
                  <c:v>654.9</c:v>
                </c:pt>
                <c:pt idx="32">
                  <c:v>660.44999999999993</c:v>
                </c:pt>
                <c:pt idx="33">
                  <c:v>666</c:v>
                </c:pt>
                <c:pt idx="34">
                  <c:v>671.55</c:v>
                </c:pt>
                <c:pt idx="35">
                  <c:v>682.65</c:v>
                </c:pt>
                <c:pt idx="36">
                  <c:v>688.19999999999993</c:v>
                </c:pt>
                <c:pt idx="37">
                  <c:v>693.75</c:v>
                </c:pt>
                <c:pt idx="38">
                  <c:v>699.3</c:v>
                </c:pt>
                <c:pt idx="39">
                  <c:v>693.75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1E28-4D4C-A99E-8A1506F44C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6224432"/>
        <c:axId val="1156226064"/>
      </c:scatterChart>
      <c:valAx>
        <c:axId val="11562244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DISPLACEMENT(cm)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6226064"/>
        <c:crosses val="autoZero"/>
        <c:crossBetween val="midCat"/>
      </c:valAx>
      <c:valAx>
        <c:axId val="1156226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LOAD(kN)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622443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0.15m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'Pull-out(E)'!$U$115:$U$124</c:f>
              <c:numCache>
                <c:formatCode>0.00</c:formatCode>
                <c:ptCount val="10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</c:numCache>
            </c:numRef>
          </c:xVal>
          <c:yVal>
            <c:numRef>
              <c:f>'Pull-out(E)'!$W$115:$W$124</c:f>
              <c:numCache>
                <c:formatCode>0.00</c:formatCode>
                <c:ptCount val="10"/>
                <c:pt idx="0">
                  <c:v>0</c:v>
                </c:pt>
                <c:pt idx="1">
                  <c:v>5.55</c:v>
                </c:pt>
                <c:pt idx="2">
                  <c:v>22.2</c:v>
                </c:pt>
                <c:pt idx="3">
                  <c:v>33.299999999999997</c:v>
                </c:pt>
                <c:pt idx="4">
                  <c:v>44.4</c:v>
                </c:pt>
                <c:pt idx="5">
                  <c:v>55.5</c:v>
                </c:pt>
                <c:pt idx="6">
                  <c:v>55.5</c:v>
                </c:pt>
                <c:pt idx="7">
                  <c:v>55.5</c:v>
                </c:pt>
                <c:pt idx="8">
                  <c:v>61.05</c:v>
                </c:pt>
                <c:pt idx="9">
                  <c:v>61.05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F37F-4C45-B879-9A471D98EB3D}"/>
            </c:ext>
          </c:extLst>
        </c:ser>
        <c:ser>
          <c:idx val="1"/>
          <c:order val="1"/>
          <c:tx>
            <c:v>0.30m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'Pull-out(E)'!$C$115:$C$124</c:f>
              <c:numCache>
                <c:formatCode>0.00</c:formatCode>
                <c:ptCount val="10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</c:numCache>
            </c:numRef>
          </c:xVal>
          <c:yVal>
            <c:numRef>
              <c:f>'Pull-out(E)'!$E$115:$E$124</c:f>
              <c:numCache>
                <c:formatCode>0.00</c:formatCode>
                <c:ptCount val="10"/>
                <c:pt idx="0">
                  <c:v>0</c:v>
                </c:pt>
                <c:pt idx="1">
                  <c:v>44.4</c:v>
                </c:pt>
                <c:pt idx="2">
                  <c:v>72.149999999999991</c:v>
                </c:pt>
                <c:pt idx="3">
                  <c:v>116.55</c:v>
                </c:pt>
                <c:pt idx="4">
                  <c:v>116.55</c:v>
                </c:pt>
                <c:pt idx="5">
                  <c:v>122.1</c:v>
                </c:pt>
                <c:pt idx="6">
                  <c:v>127.64999999999999</c:v>
                </c:pt>
                <c:pt idx="7">
                  <c:v>133.19999999999999</c:v>
                </c:pt>
                <c:pt idx="8">
                  <c:v>133.19999999999999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F37F-4C45-B879-9A471D98EB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7272704"/>
        <c:axId val="1157268352"/>
      </c:scatterChart>
      <c:valAx>
        <c:axId val="11572727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DISPLACEMENT(cm)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7268352"/>
        <c:crosses val="autoZero"/>
        <c:crossBetween val="midCat"/>
      </c:valAx>
      <c:valAx>
        <c:axId val="11572683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LOAD(kN)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727270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0.15m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'Pull-out(E)'!$AA$115:$AA$140</c:f>
              <c:numCache>
                <c:formatCode>0.00</c:formatCode>
                <c:ptCount val="26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</c:numCache>
            </c:numRef>
          </c:xVal>
          <c:yVal>
            <c:numRef>
              <c:f>'Pull-out(E)'!$AC$115:$AC$140</c:f>
              <c:numCache>
                <c:formatCode>0.00</c:formatCode>
                <c:ptCount val="26"/>
                <c:pt idx="0">
                  <c:v>0</c:v>
                </c:pt>
                <c:pt idx="1">
                  <c:v>16.649999999999999</c:v>
                </c:pt>
                <c:pt idx="2">
                  <c:v>49.949999999999996</c:v>
                </c:pt>
                <c:pt idx="3">
                  <c:v>83.25</c:v>
                </c:pt>
                <c:pt idx="4">
                  <c:v>94.35</c:v>
                </c:pt>
                <c:pt idx="5">
                  <c:v>99.899999999999991</c:v>
                </c:pt>
                <c:pt idx="6">
                  <c:v>111</c:v>
                </c:pt>
                <c:pt idx="7">
                  <c:v>122.1</c:v>
                </c:pt>
                <c:pt idx="8">
                  <c:v>133.19999999999999</c:v>
                </c:pt>
                <c:pt idx="9">
                  <c:v>138.75</c:v>
                </c:pt>
                <c:pt idx="10">
                  <c:v>144.29999999999998</c:v>
                </c:pt>
                <c:pt idx="11">
                  <c:v>149.85</c:v>
                </c:pt>
                <c:pt idx="12">
                  <c:v>155.4</c:v>
                </c:pt>
                <c:pt idx="13">
                  <c:v>160.94999999999999</c:v>
                </c:pt>
                <c:pt idx="14">
                  <c:v>160.94999999999999</c:v>
                </c:pt>
                <c:pt idx="15">
                  <c:v>166.5</c:v>
                </c:pt>
                <c:pt idx="16">
                  <c:v>166.5</c:v>
                </c:pt>
                <c:pt idx="17">
                  <c:v>166.5</c:v>
                </c:pt>
                <c:pt idx="18">
                  <c:v>172.04999999999998</c:v>
                </c:pt>
                <c:pt idx="19">
                  <c:v>177.6</c:v>
                </c:pt>
                <c:pt idx="20">
                  <c:v>177.6</c:v>
                </c:pt>
                <c:pt idx="21">
                  <c:v>183.15</c:v>
                </c:pt>
                <c:pt idx="22">
                  <c:v>188.7</c:v>
                </c:pt>
                <c:pt idx="23">
                  <c:v>194.25</c:v>
                </c:pt>
                <c:pt idx="24">
                  <c:v>194.25</c:v>
                </c:pt>
                <c:pt idx="25">
                  <c:v>194.25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ED64-4865-A646-0FD778FDB6D5}"/>
            </c:ext>
          </c:extLst>
        </c:ser>
        <c:ser>
          <c:idx val="1"/>
          <c:order val="1"/>
          <c:tx>
            <c:v>0.30m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'Pull-out(E)'!$I$115:$I$140</c:f>
              <c:numCache>
                <c:formatCode>0.00</c:formatCode>
                <c:ptCount val="26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</c:numCache>
            </c:numRef>
          </c:xVal>
          <c:yVal>
            <c:numRef>
              <c:f>'Pull-out(E)'!$K$115:$K$140</c:f>
              <c:numCache>
                <c:formatCode>0.00</c:formatCode>
                <c:ptCount val="26"/>
                <c:pt idx="0">
                  <c:v>0</c:v>
                </c:pt>
                <c:pt idx="1">
                  <c:v>49.949999999999996</c:v>
                </c:pt>
                <c:pt idx="2">
                  <c:v>83.25</c:v>
                </c:pt>
                <c:pt idx="3">
                  <c:v>160.94999999999999</c:v>
                </c:pt>
                <c:pt idx="4">
                  <c:v>199.79999999999998</c:v>
                </c:pt>
                <c:pt idx="5">
                  <c:v>227.54999999999998</c:v>
                </c:pt>
                <c:pt idx="6">
                  <c:v>238.65</c:v>
                </c:pt>
                <c:pt idx="7">
                  <c:v>249.75</c:v>
                </c:pt>
                <c:pt idx="8">
                  <c:v>260.84999999999997</c:v>
                </c:pt>
                <c:pt idx="9">
                  <c:v>271.95</c:v>
                </c:pt>
                <c:pt idx="10">
                  <c:v>277.5</c:v>
                </c:pt>
                <c:pt idx="11">
                  <c:v>283.05</c:v>
                </c:pt>
                <c:pt idx="12">
                  <c:v>288.59999999999997</c:v>
                </c:pt>
                <c:pt idx="13">
                  <c:v>294.14999999999998</c:v>
                </c:pt>
                <c:pt idx="14">
                  <c:v>294.14999999999998</c:v>
                </c:pt>
                <c:pt idx="15">
                  <c:v>299.7</c:v>
                </c:pt>
                <c:pt idx="16">
                  <c:v>305.25</c:v>
                </c:pt>
                <c:pt idx="17">
                  <c:v>305.25</c:v>
                </c:pt>
                <c:pt idx="18">
                  <c:v>305.25</c:v>
                </c:pt>
                <c:pt idx="19">
                  <c:v>305.25</c:v>
                </c:pt>
                <c:pt idx="20">
                  <c:v>310.8</c:v>
                </c:pt>
                <c:pt idx="21">
                  <c:v>310.8</c:v>
                </c:pt>
                <c:pt idx="22">
                  <c:v>316.34999999999997</c:v>
                </c:pt>
                <c:pt idx="23">
                  <c:v>321.89999999999998</c:v>
                </c:pt>
                <c:pt idx="24">
                  <c:v>321.89999999999998</c:v>
                </c:pt>
                <c:pt idx="25">
                  <c:v>316.34999999999997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ED64-4865-A646-0FD778FDB6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7273792"/>
        <c:axId val="1157270528"/>
      </c:scatterChart>
      <c:valAx>
        <c:axId val="11572737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DISPLACEMENT(cm)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7270528"/>
        <c:crosses val="autoZero"/>
        <c:crossBetween val="midCat"/>
      </c:valAx>
      <c:valAx>
        <c:axId val="11572705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LOAD(kN)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727379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0.15m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'Pull-out(E)'!$AG$115:$AG$208</c:f>
              <c:numCache>
                <c:formatCode>0.00</c:formatCode>
                <c:ptCount val="92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0.55000000000000004</c:v>
                </c:pt>
                <c:pt idx="29">
                  <c:v>0.56000000000000005</c:v>
                </c:pt>
                <c:pt idx="30">
                  <c:v>0.57999999999999996</c:v>
                </c:pt>
                <c:pt idx="31">
                  <c:v>0.6</c:v>
                </c:pt>
                <c:pt idx="32">
                  <c:v>0.62</c:v>
                </c:pt>
                <c:pt idx="33">
                  <c:v>0.64</c:v>
                </c:pt>
                <c:pt idx="34">
                  <c:v>0.65</c:v>
                </c:pt>
                <c:pt idx="35">
                  <c:v>0.66</c:v>
                </c:pt>
                <c:pt idx="36">
                  <c:v>0.68</c:v>
                </c:pt>
                <c:pt idx="37">
                  <c:v>0.70000000000000007</c:v>
                </c:pt>
                <c:pt idx="38">
                  <c:v>0.75</c:v>
                </c:pt>
                <c:pt idx="39">
                  <c:v>0.76</c:v>
                </c:pt>
                <c:pt idx="40">
                  <c:v>0.78</c:v>
                </c:pt>
                <c:pt idx="41">
                  <c:v>0.8</c:v>
                </c:pt>
                <c:pt idx="42">
                  <c:v>0.82000000000000006</c:v>
                </c:pt>
                <c:pt idx="43">
                  <c:v>0.84</c:v>
                </c:pt>
                <c:pt idx="44">
                  <c:v>0.85</c:v>
                </c:pt>
                <c:pt idx="45">
                  <c:v>0.86</c:v>
                </c:pt>
                <c:pt idx="46">
                  <c:v>0.88</c:v>
                </c:pt>
                <c:pt idx="47">
                  <c:v>0.9</c:v>
                </c:pt>
                <c:pt idx="48">
                  <c:v>0.92</c:v>
                </c:pt>
                <c:pt idx="49">
                  <c:v>0.94000000000000006</c:v>
                </c:pt>
                <c:pt idx="50">
                  <c:v>0.95000000000000007</c:v>
                </c:pt>
                <c:pt idx="51">
                  <c:v>0.96</c:v>
                </c:pt>
                <c:pt idx="52">
                  <c:v>0.98</c:v>
                </c:pt>
                <c:pt idx="53">
                  <c:v>1</c:v>
                </c:pt>
                <c:pt idx="54">
                  <c:v>1.02</c:v>
                </c:pt>
                <c:pt idx="55">
                  <c:v>1.04</c:v>
                </c:pt>
                <c:pt idx="56">
                  <c:v>1.05</c:v>
                </c:pt>
                <c:pt idx="57">
                  <c:v>1.06</c:v>
                </c:pt>
                <c:pt idx="58">
                  <c:v>1.08</c:v>
                </c:pt>
                <c:pt idx="59">
                  <c:v>1.1000000000000001</c:v>
                </c:pt>
                <c:pt idx="60">
                  <c:v>1.1200000000000001</c:v>
                </c:pt>
                <c:pt idx="61">
                  <c:v>1.1400000000000001</c:v>
                </c:pt>
                <c:pt idx="62">
                  <c:v>1.1500000000000001</c:v>
                </c:pt>
                <c:pt idx="63">
                  <c:v>1.1599999999999999</c:v>
                </c:pt>
                <c:pt idx="64">
                  <c:v>1.18</c:v>
                </c:pt>
                <c:pt idx="65">
                  <c:v>1.2</c:v>
                </c:pt>
                <c:pt idx="66">
                  <c:v>1.22</c:v>
                </c:pt>
                <c:pt idx="67">
                  <c:v>1.24</c:v>
                </c:pt>
                <c:pt idx="68">
                  <c:v>1.25</c:v>
                </c:pt>
                <c:pt idx="69">
                  <c:v>1.26</c:v>
                </c:pt>
                <c:pt idx="70">
                  <c:v>1.28</c:v>
                </c:pt>
                <c:pt idx="71">
                  <c:v>1.3</c:v>
                </c:pt>
                <c:pt idx="72">
                  <c:v>1.32</c:v>
                </c:pt>
                <c:pt idx="73">
                  <c:v>1.34</c:v>
                </c:pt>
                <c:pt idx="74">
                  <c:v>1.35</c:v>
                </c:pt>
                <c:pt idx="75">
                  <c:v>1.36</c:v>
                </c:pt>
                <c:pt idx="76">
                  <c:v>1.3800000000000001</c:v>
                </c:pt>
                <c:pt idx="77">
                  <c:v>1.4000000000000001</c:v>
                </c:pt>
                <c:pt idx="78">
                  <c:v>1.42</c:v>
                </c:pt>
                <c:pt idx="79">
                  <c:v>1.44</c:v>
                </c:pt>
                <c:pt idx="80">
                  <c:v>1.45</c:v>
                </c:pt>
                <c:pt idx="81">
                  <c:v>1.46</c:v>
                </c:pt>
                <c:pt idx="82">
                  <c:v>1.48</c:v>
                </c:pt>
                <c:pt idx="83">
                  <c:v>1.5</c:v>
                </c:pt>
                <c:pt idx="84">
                  <c:v>1.52</c:v>
                </c:pt>
                <c:pt idx="85">
                  <c:v>1.54</c:v>
                </c:pt>
                <c:pt idx="86">
                  <c:v>1.55</c:v>
                </c:pt>
                <c:pt idx="87">
                  <c:v>1.56</c:v>
                </c:pt>
                <c:pt idx="88">
                  <c:v>1.58</c:v>
                </c:pt>
                <c:pt idx="89">
                  <c:v>1.6</c:v>
                </c:pt>
                <c:pt idx="90">
                  <c:v>1.62</c:v>
                </c:pt>
                <c:pt idx="91">
                  <c:v>1.6400000000000001</c:v>
                </c:pt>
              </c:numCache>
            </c:numRef>
          </c:xVal>
          <c:yVal>
            <c:numRef>
              <c:f>'Pull-out(E)'!$AI$115:$AI$208</c:f>
              <c:numCache>
                <c:formatCode>0.00</c:formatCode>
                <c:ptCount val="92"/>
                <c:pt idx="0">
                  <c:v>0</c:v>
                </c:pt>
                <c:pt idx="1">
                  <c:v>66.599999999999994</c:v>
                </c:pt>
                <c:pt idx="2">
                  <c:v>122.1</c:v>
                </c:pt>
                <c:pt idx="3">
                  <c:v>194.25</c:v>
                </c:pt>
                <c:pt idx="4">
                  <c:v>249.75</c:v>
                </c:pt>
                <c:pt idx="5">
                  <c:v>299.7</c:v>
                </c:pt>
                <c:pt idx="6">
                  <c:v>333</c:v>
                </c:pt>
                <c:pt idx="7">
                  <c:v>360.75</c:v>
                </c:pt>
                <c:pt idx="8">
                  <c:v>388.5</c:v>
                </c:pt>
                <c:pt idx="9">
                  <c:v>410.7</c:v>
                </c:pt>
                <c:pt idx="10">
                  <c:v>427.34999999999997</c:v>
                </c:pt>
                <c:pt idx="11">
                  <c:v>444</c:v>
                </c:pt>
                <c:pt idx="12">
                  <c:v>466.2</c:v>
                </c:pt>
                <c:pt idx="13">
                  <c:v>477.3</c:v>
                </c:pt>
                <c:pt idx="14">
                  <c:v>493.95</c:v>
                </c:pt>
                <c:pt idx="15">
                  <c:v>505.05</c:v>
                </c:pt>
                <c:pt idx="16">
                  <c:v>510.59999999999997</c:v>
                </c:pt>
                <c:pt idx="17">
                  <c:v>521.69999999999993</c:v>
                </c:pt>
                <c:pt idx="18">
                  <c:v>532.79999999999995</c:v>
                </c:pt>
                <c:pt idx="19">
                  <c:v>543.9</c:v>
                </c:pt>
                <c:pt idx="20">
                  <c:v>549.44999999999993</c:v>
                </c:pt>
                <c:pt idx="21">
                  <c:v>555</c:v>
                </c:pt>
                <c:pt idx="22">
                  <c:v>560.54999999999995</c:v>
                </c:pt>
                <c:pt idx="23">
                  <c:v>571.65</c:v>
                </c:pt>
                <c:pt idx="24">
                  <c:v>577.19999999999993</c:v>
                </c:pt>
                <c:pt idx="25">
                  <c:v>582.75</c:v>
                </c:pt>
                <c:pt idx="26">
                  <c:v>588.29999999999995</c:v>
                </c:pt>
                <c:pt idx="27">
                  <c:v>593.85</c:v>
                </c:pt>
                <c:pt idx="28">
                  <c:v>593.85</c:v>
                </c:pt>
                <c:pt idx="29">
                  <c:v>599.4</c:v>
                </c:pt>
                <c:pt idx="30">
                  <c:v>604.94999999999993</c:v>
                </c:pt>
                <c:pt idx="31">
                  <c:v>610.5</c:v>
                </c:pt>
                <c:pt idx="32">
                  <c:v>616.04999999999995</c:v>
                </c:pt>
                <c:pt idx="33">
                  <c:v>621.6</c:v>
                </c:pt>
                <c:pt idx="34">
                  <c:v>621.6</c:v>
                </c:pt>
                <c:pt idx="35">
                  <c:v>621.6</c:v>
                </c:pt>
                <c:pt idx="36">
                  <c:v>621.6</c:v>
                </c:pt>
                <c:pt idx="37">
                  <c:v>627.15</c:v>
                </c:pt>
                <c:pt idx="38">
                  <c:v>632.69999999999993</c:v>
                </c:pt>
                <c:pt idx="39">
                  <c:v>638.25</c:v>
                </c:pt>
                <c:pt idx="40">
                  <c:v>638.25</c:v>
                </c:pt>
                <c:pt idx="41">
                  <c:v>643.79999999999995</c:v>
                </c:pt>
                <c:pt idx="42">
                  <c:v>643.79999999999995</c:v>
                </c:pt>
                <c:pt idx="43">
                  <c:v>649.35</c:v>
                </c:pt>
                <c:pt idx="44">
                  <c:v>649.35</c:v>
                </c:pt>
                <c:pt idx="45">
                  <c:v>649.35</c:v>
                </c:pt>
                <c:pt idx="46">
                  <c:v>654.9</c:v>
                </c:pt>
                <c:pt idx="47">
                  <c:v>654.9</c:v>
                </c:pt>
                <c:pt idx="48">
                  <c:v>654.9</c:v>
                </c:pt>
                <c:pt idx="49">
                  <c:v>660.44999999999993</c:v>
                </c:pt>
                <c:pt idx="50">
                  <c:v>660.44999999999993</c:v>
                </c:pt>
                <c:pt idx="51">
                  <c:v>660.44999999999993</c:v>
                </c:pt>
                <c:pt idx="52">
                  <c:v>666</c:v>
                </c:pt>
                <c:pt idx="53">
                  <c:v>666</c:v>
                </c:pt>
                <c:pt idx="54">
                  <c:v>666</c:v>
                </c:pt>
                <c:pt idx="55">
                  <c:v>666</c:v>
                </c:pt>
                <c:pt idx="56">
                  <c:v>666</c:v>
                </c:pt>
                <c:pt idx="57">
                  <c:v>671.55</c:v>
                </c:pt>
                <c:pt idx="58">
                  <c:v>671.55</c:v>
                </c:pt>
                <c:pt idx="59">
                  <c:v>671.55</c:v>
                </c:pt>
                <c:pt idx="60">
                  <c:v>671.55</c:v>
                </c:pt>
                <c:pt idx="61">
                  <c:v>677.1</c:v>
                </c:pt>
                <c:pt idx="62">
                  <c:v>677.1</c:v>
                </c:pt>
                <c:pt idx="63">
                  <c:v>677.1</c:v>
                </c:pt>
                <c:pt idx="64">
                  <c:v>677.1</c:v>
                </c:pt>
                <c:pt idx="65">
                  <c:v>682.65</c:v>
                </c:pt>
                <c:pt idx="66">
                  <c:v>682.65</c:v>
                </c:pt>
                <c:pt idx="67">
                  <c:v>682.65</c:v>
                </c:pt>
                <c:pt idx="68">
                  <c:v>688.19999999999993</c:v>
                </c:pt>
                <c:pt idx="69">
                  <c:v>688.19999999999993</c:v>
                </c:pt>
                <c:pt idx="70">
                  <c:v>688.19999999999993</c:v>
                </c:pt>
                <c:pt idx="71">
                  <c:v>693.75</c:v>
                </c:pt>
                <c:pt idx="72">
                  <c:v>693.75</c:v>
                </c:pt>
                <c:pt idx="73">
                  <c:v>693.75</c:v>
                </c:pt>
                <c:pt idx="74">
                  <c:v>693.75</c:v>
                </c:pt>
                <c:pt idx="75">
                  <c:v>699.3</c:v>
                </c:pt>
                <c:pt idx="76">
                  <c:v>699.3</c:v>
                </c:pt>
                <c:pt idx="77">
                  <c:v>699.3</c:v>
                </c:pt>
                <c:pt idx="78">
                  <c:v>704.85</c:v>
                </c:pt>
                <c:pt idx="79">
                  <c:v>704.85</c:v>
                </c:pt>
                <c:pt idx="80">
                  <c:v>704.85</c:v>
                </c:pt>
                <c:pt idx="81">
                  <c:v>704.85</c:v>
                </c:pt>
                <c:pt idx="82">
                  <c:v>710.4</c:v>
                </c:pt>
                <c:pt idx="83">
                  <c:v>710.4</c:v>
                </c:pt>
                <c:pt idx="84">
                  <c:v>710.4</c:v>
                </c:pt>
                <c:pt idx="85">
                  <c:v>715.94999999999993</c:v>
                </c:pt>
                <c:pt idx="86">
                  <c:v>715.94999999999993</c:v>
                </c:pt>
                <c:pt idx="87">
                  <c:v>715.94999999999993</c:v>
                </c:pt>
                <c:pt idx="88">
                  <c:v>715.94999999999993</c:v>
                </c:pt>
                <c:pt idx="89">
                  <c:v>721.5</c:v>
                </c:pt>
                <c:pt idx="90">
                  <c:v>721.5</c:v>
                </c:pt>
                <c:pt idx="91">
                  <c:v>721.5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C5DA-44D7-881D-53E0EFDD9A67}"/>
            </c:ext>
          </c:extLst>
        </c:ser>
        <c:ser>
          <c:idx val="1"/>
          <c:order val="1"/>
          <c:tx>
            <c:v>0.30m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'Pull-out(E)'!$O$115:$O$156</c:f>
              <c:numCache>
                <c:formatCode>0.00</c:formatCode>
                <c:ptCount val="40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0.55000000000000004</c:v>
                </c:pt>
                <c:pt idx="29">
                  <c:v>0.56000000000000005</c:v>
                </c:pt>
                <c:pt idx="30">
                  <c:v>0.57999999999999996</c:v>
                </c:pt>
                <c:pt idx="31">
                  <c:v>0.6</c:v>
                </c:pt>
                <c:pt idx="32">
                  <c:v>0.62</c:v>
                </c:pt>
                <c:pt idx="33">
                  <c:v>0.64</c:v>
                </c:pt>
                <c:pt idx="34">
                  <c:v>0.65</c:v>
                </c:pt>
                <c:pt idx="35">
                  <c:v>0.66</c:v>
                </c:pt>
                <c:pt idx="36">
                  <c:v>0.68</c:v>
                </c:pt>
                <c:pt idx="37">
                  <c:v>0.70000000000000007</c:v>
                </c:pt>
                <c:pt idx="38">
                  <c:v>0.75</c:v>
                </c:pt>
                <c:pt idx="39">
                  <c:v>0.76</c:v>
                </c:pt>
              </c:numCache>
            </c:numRef>
          </c:xVal>
          <c:yVal>
            <c:numRef>
              <c:f>'Pull-out(E)'!$Q$115:$Q$156</c:f>
              <c:numCache>
                <c:formatCode>0.00</c:formatCode>
                <c:ptCount val="40"/>
                <c:pt idx="0">
                  <c:v>0</c:v>
                </c:pt>
                <c:pt idx="1">
                  <c:v>105.45</c:v>
                </c:pt>
                <c:pt idx="2">
                  <c:v>338.55</c:v>
                </c:pt>
                <c:pt idx="3">
                  <c:v>505.05</c:v>
                </c:pt>
                <c:pt idx="4">
                  <c:v>543.9</c:v>
                </c:pt>
                <c:pt idx="5">
                  <c:v>582.75</c:v>
                </c:pt>
                <c:pt idx="6">
                  <c:v>616.04999999999995</c:v>
                </c:pt>
                <c:pt idx="7">
                  <c:v>649.35</c:v>
                </c:pt>
                <c:pt idx="8">
                  <c:v>688.19999999999993</c:v>
                </c:pt>
                <c:pt idx="9">
                  <c:v>721.5</c:v>
                </c:pt>
                <c:pt idx="10">
                  <c:v>738.15</c:v>
                </c:pt>
                <c:pt idx="11">
                  <c:v>749.25</c:v>
                </c:pt>
                <c:pt idx="12">
                  <c:v>765.9</c:v>
                </c:pt>
                <c:pt idx="13">
                  <c:v>777</c:v>
                </c:pt>
                <c:pt idx="14">
                  <c:v>788.1</c:v>
                </c:pt>
                <c:pt idx="15">
                  <c:v>793.65</c:v>
                </c:pt>
                <c:pt idx="16">
                  <c:v>799.19999999999993</c:v>
                </c:pt>
                <c:pt idx="17">
                  <c:v>810.3</c:v>
                </c:pt>
                <c:pt idx="18">
                  <c:v>815.85</c:v>
                </c:pt>
                <c:pt idx="19">
                  <c:v>832.5</c:v>
                </c:pt>
                <c:pt idx="20">
                  <c:v>838.05</c:v>
                </c:pt>
                <c:pt idx="21">
                  <c:v>843.6</c:v>
                </c:pt>
                <c:pt idx="22">
                  <c:v>849.15</c:v>
                </c:pt>
                <c:pt idx="23">
                  <c:v>854.69999999999993</c:v>
                </c:pt>
                <c:pt idx="24">
                  <c:v>854.69999999999993</c:v>
                </c:pt>
                <c:pt idx="25">
                  <c:v>860.25</c:v>
                </c:pt>
                <c:pt idx="26">
                  <c:v>860.25</c:v>
                </c:pt>
                <c:pt idx="27">
                  <c:v>865.8</c:v>
                </c:pt>
                <c:pt idx="28">
                  <c:v>865.8</c:v>
                </c:pt>
                <c:pt idx="29">
                  <c:v>871.35</c:v>
                </c:pt>
                <c:pt idx="30">
                  <c:v>871.35</c:v>
                </c:pt>
                <c:pt idx="31">
                  <c:v>876.9</c:v>
                </c:pt>
                <c:pt idx="32">
                  <c:v>876.9</c:v>
                </c:pt>
                <c:pt idx="33">
                  <c:v>876.9</c:v>
                </c:pt>
                <c:pt idx="34">
                  <c:v>882.44999999999993</c:v>
                </c:pt>
                <c:pt idx="35">
                  <c:v>882.44999999999993</c:v>
                </c:pt>
                <c:pt idx="36">
                  <c:v>888</c:v>
                </c:pt>
                <c:pt idx="37">
                  <c:v>888</c:v>
                </c:pt>
                <c:pt idx="38">
                  <c:v>893.55</c:v>
                </c:pt>
                <c:pt idx="39">
                  <c:v>893.55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C5DA-44D7-881D-53E0EFDD9A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7272160"/>
        <c:axId val="1157268896"/>
      </c:scatterChart>
      <c:valAx>
        <c:axId val="11572721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DISPLACEMENT(cm)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7268896"/>
        <c:crosses val="autoZero"/>
        <c:crossBetween val="midCat"/>
      </c:valAx>
      <c:valAx>
        <c:axId val="11572688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LOAD(kN)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727216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0.15m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'Pull-out(E)'!$U$226:$U$237</c:f>
              <c:numCache>
                <c:formatCode>0.00</c:formatCode>
                <c:ptCount val="12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</c:numCache>
            </c:numRef>
          </c:xVal>
          <c:yVal>
            <c:numRef>
              <c:f>'Pull-out(E)'!$W$226:$W$237</c:f>
              <c:numCache>
                <c:formatCode>0.00</c:formatCode>
                <c:ptCount val="12"/>
                <c:pt idx="0">
                  <c:v>0</c:v>
                </c:pt>
                <c:pt idx="1">
                  <c:v>11.1</c:v>
                </c:pt>
                <c:pt idx="2">
                  <c:v>33.299999999999997</c:v>
                </c:pt>
                <c:pt idx="3">
                  <c:v>44.4</c:v>
                </c:pt>
                <c:pt idx="4">
                  <c:v>49.949999999999996</c:v>
                </c:pt>
                <c:pt idx="5">
                  <c:v>55.5</c:v>
                </c:pt>
                <c:pt idx="6">
                  <c:v>55.5</c:v>
                </c:pt>
                <c:pt idx="7">
                  <c:v>55.5</c:v>
                </c:pt>
                <c:pt idx="8">
                  <c:v>61.05</c:v>
                </c:pt>
                <c:pt idx="9">
                  <c:v>61.05</c:v>
                </c:pt>
                <c:pt idx="10">
                  <c:v>66.599999999999994</c:v>
                </c:pt>
                <c:pt idx="11">
                  <c:v>66.599999999999994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93E8-4E50-8790-EC52CC226C1F}"/>
            </c:ext>
          </c:extLst>
        </c:ser>
        <c:ser>
          <c:idx val="1"/>
          <c:order val="1"/>
          <c:tx>
            <c:v>0.30m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'Pull-out(E)'!$C$226:$C$238</c:f>
              <c:numCache>
                <c:formatCode>0.00</c:formatCode>
                <c:ptCount val="13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</c:numCache>
            </c:numRef>
          </c:xVal>
          <c:yVal>
            <c:numRef>
              <c:f>'Pull-out(E)'!$E$226:$E$238</c:f>
              <c:numCache>
                <c:formatCode>0.00</c:formatCode>
                <c:ptCount val="13"/>
                <c:pt idx="0">
                  <c:v>0</c:v>
                </c:pt>
                <c:pt idx="1">
                  <c:v>55.5</c:v>
                </c:pt>
                <c:pt idx="2">
                  <c:v>77.7</c:v>
                </c:pt>
                <c:pt idx="3">
                  <c:v>116.55</c:v>
                </c:pt>
                <c:pt idx="4">
                  <c:v>122.1</c:v>
                </c:pt>
                <c:pt idx="5">
                  <c:v>122.1</c:v>
                </c:pt>
                <c:pt idx="6">
                  <c:v>127.64999999999999</c:v>
                </c:pt>
                <c:pt idx="7">
                  <c:v>133.19999999999999</c:v>
                </c:pt>
                <c:pt idx="8">
                  <c:v>138.75</c:v>
                </c:pt>
                <c:pt idx="9">
                  <c:v>144.29999999999998</c:v>
                </c:pt>
                <c:pt idx="10">
                  <c:v>144.29999999999998</c:v>
                </c:pt>
                <c:pt idx="11">
                  <c:v>144.29999999999998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93E8-4E50-8790-EC52CC226C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7496688"/>
        <c:axId val="1157521712"/>
      </c:scatterChart>
      <c:valAx>
        <c:axId val="1157496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DISPLACEMENT(cm)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7521712"/>
        <c:crosses val="autoZero"/>
        <c:crossBetween val="midCat"/>
      </c:valAx>
      <c:valAx>
        <c:axId val="11575217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LOAD(kN)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749668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0.15m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'Pull-out(E)'!$AA$226:$AA$248</c:f>
              <c:numCache>
                <c:formatCode>0.00</c:formatCode>
                <c:ptCount val="23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</c:numCache>
            </c:numRef>
          </c:xVal>
          <c:yVal>
            <c:numRef>
              <c:f>'Pull-out(E)'!$AC$226:$AC$248</c:f>
              <c:numCache>
                <c:formatCode>0.00</c:formatCode>
                <c:ptCount val="23"/>
                <c:pt idx="0">
                  <c:v>0</c:v>
                </c:pt>
                <c:pt idx="1">
                  <c:v>49.949999999999996</c:v>
                </c:pt>
                <c:pt idx="2">
                  <c:v>105.45</c:v>
                </c:pt>
                <c:pt idx="3">
                  <c:v>149.85</c:v>
                </c:pt>
                <c:pt idx="4">
                  <c:v>160.94999999999999</c:v>
                </c:pt>
                <c:pt idx="5">
                  <c:v>172.04999999999998</c:v>
                </c:pt>
                <c:pt idx="6">
                  <c:v>183.15</c:v>
                </c:pt>
                <c:pt idx="7">
                  <c:v>188.7</c:v>
                </c:pt>
                <c:pt idx="8">
                  <c:v>194.25</c:v>
                </c:pt>
                <c:pt idx="9">
                  <c:v>199.79999999999998</c:v>
                </c:pt>
                <c:pt idx="10">
                  <c:v>199.79999999999998</c:v>
                </c:pt>
                <c:pt idx="11">
                  <c:v>205.35</c:v>
                </c:pt>
                <c:pt idx="12">
                  <c:v>210.9</c:v>
                </c:pt>
                <c:pt idx="13">
                  <c:v>216.45</c:v>
                </c:pt>
                <c:pt idx="14">
                  <c:v>216.45</c:v>
                </c:pt>
                <c:pt idx="15">
                  <c:v>222</c:v>
                </c:pt>
                <c:pt idx="16">
                  <c:v>222</c:v>
                </c:pt>
                <c:pt idx="17">
                  <c:v>227.54999999999998</c:v>
                </c:pt>
                <c:pt idx="18">
                  <c:v>227.54999999999998</c:v>
                </c:pt>
                <c:pt idx="19">
                  <c:v>233.1</c:v>
                </c:pt>
                <c:pt idx="20">
                  <c:v>233.1</c:v>
                </c:pt>
                <c:pt idx="21">
                  <c:v>233.1</c:v>
                </c:pt>
                <c:pt idx="22">
                  <c:v>238.65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C701-45CB-B64A-001B65CAE6B1}"/>
            </c:ext>
          </c:extLst>
        </c:ser>
        <c:ser>
          <c:idx val="1"/>
          <c:order val="1"/>
          <c:tx>
            <c:v>0.30m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'Pull-out(E)'!$I$226:$I$249</c:f>
              <c:numCache>
                <c:formatCode>0.00</c:formatCode>
                <c:ptCount val="24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</c:numCache>
            </c:numRef>
          </c:xVal>
          <c:yVal>
            <c:numRef>
              <c:f>'Pull-out(E)'!$K$226:$K$249</c:f>
              <c:numCache>
                <c:formatCode>0.00</c:formatCode>
                <c:ptCount val="24"/>
                <c:pt idx="0">
                  <c:v>0</c:v>
                </c:pt>
                <c:pt idx="1">
                  <c:v>66.599999999999994</c:v>
                </c:pt>
                <c:pt idx="2">
                  <c:v>105.45</c:v>
                </c:pt>
                <c:pt idx="3">
                  <c:v>172.04999999999998</c:v>
                </c:pt>
                <c:pt idx="4">
                  <c:v>222</c:v>
                </c:pt>
                <c:pt idx="5">
                  <c:v>277.5</c:v>
                </c:pt>
                <c:pt idx="6">
                  <c:v>305.25</c:v>
                </c:pt>
                <c:pt idx="7">
                  <c:v>321.89999999999998</c:v>
                </c:pt>
                <c:pt idx="8">
                  <c:v>338.55</c:v>
                </c:pt>
                <c:pt idx="9">
                  <c:v>349.65</c:v>
                </c:pt>
                <c:pt idx="10">
                  <c:v>360.75</c:v>
                </c:pt>
                <c:pt idx="11">
                  <c:v>366.3</c:v>
                </c:pt>
                <c:pt idx="12">
                  <c:v>371.84999999999997</c:v>
                </c:pt>
                <c:pt idx="13">
                  <c:v>382.95</c:v>
                </c:pt>
                <c:pt idx="14">
                  <c:v>388.5</c:v>
                </c:pt>
                <c:pt idx="15">
                  <c:v>388.5</c:v>
                </c:pt>
                <c:pt idx="16">
                  <c:v>394.05</c:v>
                </c:pt>
                <c:pt idx="17">
                  <c:v>394.05</c:v>
                </c:pt>
                <c:pt idx="18">
                  <c:v>399.59999999999997</c:v>
                </c:pt>
                <c:pt idx="19">
                  <c:v>399.59999999999997</c:v>
                </c:pt>
                <c:pt idx="20">
                  <c:v>399.59999999999997</c:v>
                </c:pt>
                <c:pt idx="21">
                  <c:v>405.15</c:v>
                </c:pt>
                <c:pt idx="22">
                  <c:v>405.15</c:v>
                </c:pt>
                <c:pt idx="23">
                  <c:v>410.7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C701-45CB-B64A-001B65CAE6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7504304"/>
        <c:axId val="1157492880"/>
      </c:scatterChart>
      <c:valAx>
        <c:axId val="11575043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DISPLACEMENT(cm)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7492880"/>
        <c:crosses val="autoZero"/>
        <c:crossBetween val="midCat"/>
      </c:valAx>
      <c:valAx>
        <c:axId val="11574928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LOAD(kN)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750430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0.15m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'Pull-out(E)'!$AG$226:$AG$325</c:f>
              <c:numCache>
                <c:formatCode>0.00</c:formatCode>
                <c:ptCount val="77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0.55000000000000004</c:v>
                </c:pt>
                <c:pt idx="29">
                  <c:v>0.56000000000000005</c:v>
                </c:pt>
                <c:pt idx="30">
                  <c:v>0.57999999999999996</c:v>
                </c:pt>
                <c:pt idx="31">
                  <c:v>0.6</c:v>
                </c:pt>
                <c:pt idx="32">
                  <c:v>0.62</c:v>
                </c:pt>
                <c:pt idx="33">
                  <c:v>0.64</c:v>
                </c:pt>
                <c:pt idx="34">
                  <c:v>0.65</c:v>
                </c:pt>
                <c:pt idx="35">
                  <c:v>0.66</c:v>
                </c:pt>
                <c:pt idx="36">
                  <c:v>0.68</c:v>
                </c:pt>
                <c:pt idx="37">
                  <c:v>0.70000000000000007</c:v>
                </c:pt>
                <c:pt idx="38">
                  <c:v>0.72</c:v>
                </c:pt>
                <c:pt idx="39">
                  <c:v>0.74</c:v>
                </c:pt>
                <c:pt idx="40">
                  <c:v>0.75</c:v>
                </c:pt>
                <c:pt idx="41">
                  <c:v>0.76</c:v>
                </c:pt>
                <c:pt idx="42">
                  <c:v>0.78</c:v>
                </c:pt>
                <c:pt idx="43">
                  <c:v>0.8</c:v>
                </c:pt>
                <c:pt idx="44">
                  <c:v>0.82000000000000006</c:v>
                </c:pt>
                <c:pt idx="45">
                  <c:v>0.84</c:v>
                </c:pt>
                <c:pt idx="46">
                  <c:v>0.85</c:v>
                </c:pt>
                <c:pt idx="47">
                  <c:v>0.86</c:v>
                </c:pt>
                <c:pt idx="48">
                  <c:v>0.88</c:v>
                </c:pt>
                <c:pt idx="49">
                  <c:v>0.9</c:v>
                </c:pt>
                <c:pt idx="50">
                  <c:v>0.92</c:v>
                </c:pt>
                <c:pt idx="51">
                  <c:v>0.94000000000000006</c:v>
                </c:pt>
                <c:pt idx="52">
                  <c:v>0.95000000000000007</c:v>
                </c:pt>
                <c:pt idx="53">
                  <c:v>0.96</c:v>
                </c:pt>
                <c:pt idx="54">
                  <c:v>0.98</c:v>
                </c:pt>
                <c:pt idx="55">
                  <c:v>1</c:v>
                </c:pt>
                <c:pt idx="56">
                  <c:v>1.02</c:v>
                </c:pt>
                <c:pt idx="57">
                  <c:v>1.04</c:v>
                </c:pt>
                <c:pt idx="58">
                  <c:v>1.05</c:v>
                </c:pt>
                <c:pt idx="59">
                  <c:v>1.06</c:v>
                </c:pt>
                <c:pt idx="60">
                  <c:v>1.08</c:v>
                </c:pt>
                <c:pt idx="61">
                  <c:v>1.1000000000000001</c:v>
                </c:pt>
                <c:pt idx="62">
                  <c:v>1.1500000000000001</c:v>
                </c:pt>
                <c:pt idx="63">
                  <c:v>1.2</c:v>
                </c:pt>
                <c:pt idx="64">
                  <c:v>1.25</c:v>
                </c:pt>
                <c:pt idx="65">
                  <c:v>1.3</c:v>
                </c:pt>
                <c:pt idx="66">
                  <c:v>1.35</c:v>
                </c:pt>
                <c:pt idx="67">
                  <c:v>1.4000000000000001</c:v>
                </c:pt>
                <c:pt idx="68">
                  <c:v>1.45</c:v>
                </c:pt>
                <c:pt idx="69">
                  <c:v>1.5</c:v>
                </c:pt>
                <c:pt idx="70">
                  <c:v>1.55</c:v>
                </c:pt>
                <c:pt idx="71">
                  <c:v>1.6</c:v>
                </c:pt>
                <c:pt idx="72">
                  <c:v>1.6500000000000001</c:v>
                </c:pt>
                <c:pt idx="73">
                  <c:v>1.7</c:v>
                </c:pt>
                <c:pt idx="74">
                  <c:v>1.72</c:v>
                </c:pt>
                <c:pt idx="75">
                  <c:v>1.74</c:v>
                </c:pt>
                <c:pt idx="76">
                  <c:v>1.75</c:v>
                </c:pt>
              </c:numCache>
            </c:numRef>
          </c:xVal>
          <c:yVal>
            <c:numRef>
              <c:f>'Pull-out(E)'!$AI$226:$AI$325</c:f>
              <c:numCache>
                <c:formatCode>0.00</c:formatCode>
                <c:ptCount val="77"/>
                <c:pt idx="0">
                  <c:v>0</c:v>
                </c:pt>
                <c:pt idx="1">
                  <c:v>61.05</c:v>
                </c:pt>
                <c:pt idx="2">
                  <c:v>105.45</c:v>
                </c:pt>
                <c:pt idx="3">
                  <c:v>210.9</c:v>
                </c:pt>
                <c:pt idx="4">
                  <c:v>244.2</c:v>
                </c:pt>
                <c:pt idx="5">
                  <c:v>310.8</c:v>
                </c:pt>
                <c:pt idx="6">
                  <c:v>349.65</c:v>
                </c:pt>
                <c:pt idx="7">
                  <c:v>388.5</c:v>
                </c:pt>
                <c:pt idx="8">
                  <c:v>449.55</c:v>
                </c:pt>
                <c:pt idx="9">
                  <c:v>482.84999999999997</c:v>
                </c:pt>
                <c:pt idx="10">
                  <c:v>510.59999999999997</c:v>
                </c:pt>
                <c:pt idx="11">
                  <c:v>532.79999999999995</c:v>
                </c:pt>
                <c:pt idx="12">
                  <c:v>566.1</c:v>
                </c:pt>
                <c:pt idx="13">
                  <c:v>593.85</c:v>
                </c:pt>
                <c:pt idx="14">
                  <c:v>610.5</c:v>
                </c:pt>
                <c:pt idx="15">
                  <c:v>632.69999999999993</c:v>
                </c:pt>
                <c:pt idx="16">
                  <c:v>643.79999999999995</c:v>
                </c:pt>
                <c:pt idx="17">
                  <c:v>666</c:v>
                </c:pt>
                <c:pt idx="18">
                  <c:v>682.65</c:v>
                </c:pt>
                <c:pt idx="19">
                  <c:v>699.3</c:v>
                </c:pt>
                <c:pt idx="20">
                  <c:v>710.4</c:v>
                </c:pt>
                <c:pt idx="21">
                  <c:v>727.05</c:v>
                </c:pt>
                <c:pt idx="22">
                  <c:v>743.69999999999993</c:v>
                </c:pt>
                <c:pt idx="23">
                  <c:v>754.8</c:v>
                </c:pt>
                <c:pt idx="24">
                  <c:v>760.35</c:v>
                </c:pt>
                <c:pt idx="25">
                  <c:v>771.44999999999993</c:v>
                </c:pt>
                <c:pt idx="26">
                  <c:v>782.55</c:v>
                </c:pt>
                <c:pt idx="27">
                  <c:v>793.65</c:v>
                </c:pt>
                <c:pt idx="28">
                  <c:v>793.65</c:v>
                </c:pt>
                <c:pt idx="29">
                  <c:v>799.19999999999993</c:v>
                </c:pt>
                <c:pt idx="30">
                  <c:v>804.75</c:v>
                </c:pt>
                <c:pt idx="31">
                  <c:v>810.3</c:v>
                </c:pt>
                <c:pt idx="32">
                  <c:v>821.4</c:v>
                </c:pt>
                <c:pt idx="33">
                  <c:v>826.94999999999993</c:v>
                </c:pt>
                <c:pt idx="34">
                  <c:v>826.94999999999993</c:v>
                </c:pt>
                <c:pt idx="35">
                  <c:v>832.5</c:v>
                </c:pt>
                <c:pt idx="36">
                  <c:v>843.6</c:v>
                </c:pt>
                <c:pt idx="37">
                  <c:v>854.69999999999993</c:v>
                </c:pt>
                <c:pt idx="38">
                  <c:v>854.69999999999993</c:v>
                </c:pt>
                <c:pt idx="39">
                  <c:v>860.25</c:v>
                </c:pt>
                <c:pt idx="40">
                  <c:v>860.25</c:v>
                </c:pt>
                <c:pt idx="41">
                  <c:v>865.8</c:v>
                </c:pt>
                <c:pt idx="42">
                  <c:v>871.35</c:v>
                </c:pt>
                <c:pt idx="43">
                  <c:v>876.9</c:v>
                </c:pt>
                <c:pt idx="44">
                  <c:v>876.9</c:v>
                </c:pt>
                <c:pt idx="45">
                  <c:v>882.44999999999993</c:v>
                </c:pt>
                <c:pt idx="46">
                  <c:v>882.44999999999993</c:v>
                </c:pt>
                <c:pt idx="47">
                  <c:v>888</c:v>
                </c:pt>
                <c:pt idx="48">
                  <c:v>899.1</c:v>
                </c:pt>
                <c:pt idx="49">
                  <c:v>904.65</c:v>
                </c:pt>
                <c:pt idx="50">
                  <c:v>915.75</c:v>
                </c:pt>
                <c:pt idx="51">
                  <c:v>915.75</c:v>
                </c:pt>
                <c:pt idx="52">
                  <c:v>915.75</c:v>
                </c:pt>
                <c:pt idx="53">
                  <c:v>921.3</c:v>
                </c:pt>
                <c:pt idx="54">
                  <c:v>921.3</c:v>
                </c:pt>
                <c:pt idx="55">
                  <c:v>926.85</c:v>
                </c:pt>
                <c:pt idx="56">
                  <c:v>926.85</c:v>
                </c:pt>
                <c:pt idx="57">
                  <c:v>932.4</c:v>
                </c:pt>
                <c:pt idx="58">
                  <c:v>932.4</c:v>
                </c:pt>
                <c:pt idx="59">
                  <c:v>937.94999999999993</c:v>
                </c:pt>
                <c:pt idx="60">
                  <c:v>943.5</c:v>
                </c:pt>
                <c:pt idx="61">
                  <c:v>943.5</c:v>
                </c:pt>
                <c:pt idx="62">
                  <c:v>954.6</c:v>
                </c:pt>
                <c:pt idx="63">
                  <c:v>971.25</c:v>
                </c:pt>
                <c:pt idx="64">
                  <c:v>976.8</c:v>
                </c:pt>
                <c:pt idx="65">
                  <c:v>976.8</c:v>
                </c:pt>
                <c:pt idx="66">
                  <c:v>982.35</c:v>
                </c:pt>
                <c:pt idx="67">
                  <c:v>987.9</c:v>
                </c:pt>
                <c:pt idx="68">
                  <c:v>987.9</c:v>
                </c:pt>
                <c:pt idx="69">
                  <c:v>993.44999999999993</c:v>
                </c:pt>
                <c:pt idx="70">
                  <c:v>993.44999999999993</c:v>
                </c:pt>
                <c:pt idx="71">
                  <c:v>999</c:v>
                </c:pt>
                <c:pt idx="72">
                  <c:v>1004.55</c:v>
                </c:pt>
                <c:pt idx="73">
                  <c:v>1004.55</c:v>
                </c:pt>
                <c:pt idx="74">
                  <c:v>1010.1</c:v>
                </c:pt>
                <c:pt idx="75">
                  <c:v>1010.1</c:v>
                </c:pt>
                <c:pt idx="76">
                  <c:v>1010.1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F913-4FFF-88CE-C35048B56E79}"/>
            </c:ext>
          </c:extLst>
        </c:ser>
        <c:ser>
          <c:idx val="1"/>
          <c:order val="1"/>
          <c:tx>
            <c:v>0.30m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'Pull-out(E)'!$O$226:$O$277</c:f>
              <c:numCache>
                <c:formatCode>0.00</c:formatCode>
                <c:ptCount val="52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0.55000000000000004</c:v>
                </c:pt>
                <c:pt idx="29">
                  <c:v>0.56000000000000005</c:v>
                </c:pt>
                <c:pt idx="30">
                  <c:v>0.57999999999999996</c:v>
                </c:pt>
                <c:pt idx="31">
                  <c:v>0.6</c:v>
                </c:pt>
                <c:pt idx="32">
                  <c:v>0.62</c:v>
                </c:pt>
                <c:pt idx="33">
                  <c:v>0.64</c:v>
                </c:pt>
                <c:pt idx="34">
                  <c:v>0.65</c:v>
                </c:pt>
                <c:pt idx="35">
                  <c:v>0.66</c:v>
                </c:pt>
                <c:pt idx="36">
                  <c:v>0.68</c:v>
                </c:pt>
                <c:pt idx="37">
                  <c:v>0.70000000000000007</c:v>
                </c:pt>
                <c:pt idx="38">
                  <c:v>0.72</c:v>
                </c:pt>
                <c:pt idx="39">
                  <c:v>0.74</c:v>
                </c:pt>
                <c:pt idx="40">
                  <c:v>0.75</c:v>
                </c:pt>
                <c:pt idx="41">
                  <c:v>0.76</c:v>
                </c:pt>
                <c:pt idx="42">
                  <c:v>0.78</c:v>
                </c:pt>
                <c:pt idx="43">
                  <c:v>0.8</c:v>
                </c:pt>
                <c:pt idx="44">
                  <c:v>0.82000000000000006</c:v>
                </c:pt>
                <c:pt idx="45">
                  <c:v>0.84</c:v>
                </c:pt>
                <c:pt idx="46">
                  <c:v>0.85</c:v>
                </c:pt>
                <c:pt idx="47">
                  <c:v>0.86</c:v>
                </c:pt>
                <c:pt idx="48">
                  <c:v>0.88</c:v>
                </c:pt>
                <c:pt idx="49">
                  <c:v>0.9</c:v>
                </c:pt>
                <c:pt idx="50">
                  <c:v>0.92</c:v>
                </c:pt>
                <c:pt idx="51">
                  <c:v>0.94000000000000006</c:v>
                </c:pt>
              </c:numCache>
            </c:numRef>
          </c:xVal>
          <c:yVal>
            <c:numRef>
              <c:f>'Pull-out(E)'!$Q$226:$Q$277</c:f>
              <c:numCache>
                <c:formatCode>0.00</c:formatCode>
                <c:ptCount val="52"/>
                <c:pt idx="0">
                  <c:v>0</c:v>
                </c:pt>
                <c:pt idx="1">
                  <c:v>116.55</c:v>
                </c:pt>
                <c:pt idx="2">
                  <c:v>344.09999999999997</c:v>
                </c:pt>
                <c:pt idx="3">
                  <c:v>599.4</c:v>
                </c:pt>
                <c:pt idx="4">
                  <c:v>649.35</c:v>
                </c:pt>
                <c:pt idx="5">
                  <c:v>771.44999999999993</c:v>
                </c:pt>
                <c:pt idx="6">
                  <c:v>871.35</c:v>
                </c:pt>
                <c:pt idx="7">
                  <c:v>915.75</c:v>
                </c:pt>
                <c:pt idx="8">
                  <c:v>976.8</c:v>
                </c:pt>
                <c:pt idx="9">
                  <c:v>1015.65</c:v>
                </c:pt>
                <c:pt idx="10">
                  <c:v>1043.3999999999999</c:v>
                </c:pt>
                <c:pt idx="11">
                  <c:v>1060.05</c:v>
                </c:pt>
                <c:pt idx="12">
                  <c:v>1082.25</c:v>
                </c:pt>
                <c:pt idx="13">
                  <c:v>1098.8999999999999</c:v>
                </c:pt>
                <c:pt idx="14">
                  <c:v>1110</c:v>
                </c:pt>
                <c:pt idx="15">
                  <c:v>1132.2</c:v>
                </c:pt>
                <c:pt idx="16">
                  <c:v>1143.3</c:v>
                </c:pt>
                <c:pt idx="17">
                  <c:v>1154.3999999999999</c:v>
                </c:pt>
                <c:pt idx="18">
                  <c:v>1165.5</c:v>
                </c:pt>
                <c:pt idx="19">
                  <c:v>1171.05</c:v>
                </c:pt>
                <c:pt idx="20">
                  <c:v>1187.7</c:v>
                </c:pt>
                <c:pt idx="21">
                  <c:v>1193.25</c:v>
                </c:pt>
                <c:pt idx="22">
                  <c:v>1204.3499999999999</c:v>
                </c:pt>
                <c:pt idx="23">
                  <c:v>1215.45</c:v>
                </c:pt>
                <c:pt idx="24">
                  <c:v>1221</c:v>
                </c:pt>
                <c:pt idx="25">
                  <c:v>1226.55</c:v>
                </c:pt>
                <c:pt idx="26">
                  <c:v>1232.0999999999999</c:v>
                </c:pt>
                <c:pt idx="27">
                  <c:v>1232.0999999999999</c:v>
                </c:pt>
                <c:pt idx="28">
                  <c:v>1237.6499999999999</c:v>
                </c:pt>
                <c:pt idx="29">
                  <c:v>1243.2</c:v>
                </c:pt>
                <c:pt idx="30">
                  <c:v>1248.75</c:v>
                </c:pt>
                <c:pt idx="31">
                  <c:v>1248.75</c:v>
                </c:pt>
                <c:pt idx="32">
                  <c:v>1254.3</c:v>
                </c:pt>
                <c:pt idx="33">
                  <c:v>1254.3</c:v>
                </c:pt>
                <c:pt idx="34">
                  <c:v>1259.8499999999999</c:v>
                </c:pt>
                <c:pt idx="35">
                  <c:v>1259.8499999999999</c:v>
                </c:pt>
                <c:pt idx="36">
                  <c:v>1259.8499999999999</c:v>
                </c:pt>
                <c:pt idx="37">
                  <c:v>1265.3999999999999</c:v>
                </c:pt>
                <c:pt idx="38">
                  <c:v>1265.3999999999999</c:v>
                </c:pt>
                <c:pt idx="39">
                  <c:v>1265.3999999999999</c:v>
                </c:pt>
                <c:pt idx="40">
                  <c:v>1270.95</c:v>
                </c:pt>
                <c:pt idx="41">
                  <c:v>1270.95</c:v>
                </c:pt>
                <c:pt idx="42">
                  <c:v>1270.95</c:v>
                </c:pt>
                <c:pt idx="43">
                  <c:v>1276.5</c:v>
                </c:pt>
                <c:pt idx="44">
                  <c:v>1276.5</c:v>
                </c:pt>
                <c:pt idx="45">
                  <c:v>1276.5</c:v>
                </c:pt>
                <c:pt idx="46">
                  <c:v>1282.05</c:v>
                </c:pt>
                <c:pt idx="47">
                  <c:v>1282.05</c:v>
                </c:pt>
                <c:pt idx="48">
                  <c:v>1282.05</c:v>
                </c:pt>
                <c:pt idx="49">
                  <c:v>1282.05</c:v>
                </c:pt>
                <c:pt idx="50">
                  <c:v>1287.5999999999999</c:v>
                </c:pt>
                <c:pt idx="51">
                  <c:v>1287.5999999999999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F913-4FFF-88CE-C35048B56E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7510832"/>
        <c:axId val="1157501040"/>
      </c:scatterChart>
      <c:valAx>
        <c:axId val="11575108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DISPLACEMENT(cm)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7501040"/>
        <c:crosses val="autoZero"/>
        <c:crossBetween val="midCat"/>
      </c:valAx>
      <c:valAx>
        <c:axId val="11575010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LOAD(kN)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751083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L-</a:t>
            </a:r>
            <a:r>
              <a:rPr lang="el-GR"/>
              <a:t>δ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2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gradFill>
                <a:gsLst>
                  <a:gs pos="0">
                    <a:schemeClr val="accent1">
                      <a:lumMod val="5000"/>
                      <a:lumOff val="95000"/>
                    </a:schemeClr>
                  </a:gs>
                  <a:gs pos="74000">
                    <a:schemeClr val="accent1">
                      <a:lumMod val="45000"/>
                      <a:lumOff val="55000"/>
                    </a:schemeClr>
                  </a:gs>
                  <a:gs pos="83000">
                    <a:schemeClr val="accent1">
                      <a:lumMod val="45000"/>
                      <a:lumOff val="55000"/>
                    </a:schemeClr>
                  </a:gs>
                  <a:gs pos="100000">
                    <a:schemeClr val="accent1">
                      <a:lumMod val="30000"/>
                      <a:lumOff val="70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'Pull-out(E)'!$U$14:$U$22</c:f>
              <c:numCache>
                <c:formatCode>0.00</c:formatCode>
                <c:ptCount val="9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</c:numCache>
            </c:numRef>
          </c:xVal>
          <c:yVal>
            <c:numRef>
              <c:f>'Pull-out(E)'!$W$14:$W$21</c:f>
              <c:numCache>
                <c:formatCode>0.00</c:formatCode>
                <c:ptCount val="8"/>
                <c:pt idx="0">
                  <c:v>0</c:v>
                </c:pt>
                <c:pt idx="1">
                  <c:v>5.55</c:v>
                </c:pt>
                <c:pt idx="2">
                  <c:v>16.649999999999999</c:v>
                </c:pt>
                <c:pt idx="3">
                  <c:v>27.75</c:v>
                </c:pt>
                <c:pt idx="4">
                  <c:v>33.299999999999997</c:v>
                </c:pt>
                <c:pt idx="5">
                  <c:v>38.85</c:v>
                </c:pt>
                <c:pt idx="6">
                  <c:v>44.4</c:v>
                </c:pt>
                <c:pt idx="7">
                  <c:v>49.949999999999996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8386-4EB1-ABC2-ECDC939E1811}"/>
            </c:ext>
          </c:extLst>
        </c:ser>
        <c:ser>
          <c:idx val="1"/>
          <c:order val="1"/>
          <c:tx>
            <c:v>3.33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'Pull-out(E)'!$AA$14:$AA$38</c:f>
              <c:numCache>
                <c:formatCode>0.00</c:formatCode>
                <c:ptCount val="25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</c:numCache>
            </c:numRef>
          </c:xVal>
          <c:yVal>
            <c:numRef>
              <c:f>'Pull-out(E)'!$AC$14:$AC$38</c:f>
              <c:numCache>
                <c:formatCode>0.00</c:formatCode>
                <c:ptCount val="25"/>
                <c:pt idx="0">
                  <c:v>0</c:v>
                </c:pt>
                <c:pt idx="1">
                  <c:v>11.1</c:v>
                </c:pt>
                <c:pt idx="2">
                  <c:v>22.2</c:v>
                </c:pt>
                <c:pt idx="3">
                  <c:v>61.05</c:v>
                </c:pt>
                <c:pt idx="4">
                  <c:v>72.149999999999991</c:v>
                </c:pt>
                <c:pt idx="5">
                  <c:v>88.8</c:v>
                </c:pt>
                <c:pt idx="6">
                  <c:v>99.899999999999991</c:v>
                </c:pt>
                <c:pt idx="7">
                  <c:v>105.45</c:v>
                </c:pt>
                <c:pt idx="8">
                  <c:v>116.55</c:v>
                </c:pt>
                <c:pt idx="9">
                  <c:v>122.1</c:v>
                </c:pt>
                <c:pt idx="10">
                  <c:v>122.1</c:v>
                </c:pt>
                <c:pt idx="11">
                  <c:v>127.64999999999999</c:v>
                </c:pt>
                <c:pt idx="12">
                  <c:v>127.64999999999999</c:v>
                </c:pt>
                <c:pt idx="13">
                  <c:v>133.19999999999999</c:v>
                </c:pt>
                <c:pt idx="14">
                  <c:v>138.75</c:v>
                </c:pt>
                <c:pt idx="15">
                  <c:v>138.75</c:v>
                </c:pt>
                <c:pt idx="16">
                  <c:v>138.75</c:v>
                </c:pt>
                <c:pt idx="17">
                  <c:v>144.29999999999998</c:v>
                </c:pt>
                <c:pt idx="18">
                  <c:v>144.29999999999998</c:v>
                </c:pt>
                <c:pt idx="19">
                  <c:v>149.85</c:v>
                </c:pt>
                <c:pt idx="20">
                  <c:v>149.85</c:v>
                </c:pt>
                <c:pt idx="21">
                  <c:v>149.85</c:v>
                </c:pt>
                <c:pt idx="22">
                  <c:v>149.85</c:v>
                </c:pt>
                <c:pt idx="23">
                  <c:v>155.4</c:v>
                </c:pt>
                <c:pt idx="24">
                  <c:v>155.4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8386-4EB1-ABC2-ECDC939E1811}"/>
            </c:ext>
          </c:extLst>
        </c:ser>
        <c:ser>
          <c:idx val="2"/>
          <c:order val="2"/>
          <c:tx>
            <c:v>5.33</c:v>
          </c:tx>
          <c:spPr>
            <a:ln w="22225" cap="rnd">
              <a:solidFill>
                <a:schemeClr val="accent3"/>
              </a:solidFill>
            </a:ln>
            <a:effectLst>
              <a:glow rad="139700">
                <a:schemeClr val="accent3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3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'Pull-out(E)'!$AG$14:$AG$98</c:f>
              <c:numCache>
                <c:formatCode>0.00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0.55000000000000004</c:v>
                </c:pt>
                <c:pt idx="29">
                  <c:v>0.6</c:v>
                </c:pt>
                <c:pt idx="30">
                  <c:v>0.65</c:v>
                </c:pt>
                <c:pt idx="31">
                  <c:v>0.70000000000000007</c:v>
                </c:pt>
                <c:pt idx="32">
                  <c:v>0.75</c:v>
                </c:pt>
                <c:pt idx="33">
                  <c:v>0.8</c:v>
                </c:pt>
                <c:pt idx="34">
                  <c:v>0.85</c:v>
                </c:pt>
                <c:pt idx="35">
                  <c:v>0.9</c:v>
                </c:pt>
                <c:pt idx="36">
                  <c:v>0.95000000000000007</c:v>
                </c:pt>
                <c:pt idx="37">
                  <c:v>0.96</c:v>
                </c:pt>
                <c:pt idx="38">
                  <c:v>0.98</c:v>
                </c:pt>
                <c:pt idx="39">
                  <c:v>1</c:v>
                </c:pt>
                <c:pt idx="40">
                  <c:v>1.05</c:v>
                </c:pt>
                <c:pt idx="41">
                  <c:v>1.1000000000000001</c:v>
                </c:pt>
                <c:pt idx="42">
                  <c:v>1.1500000000000001</c:v>
                </c:pt>
                <c:pt idx="43">
                  <c:v>1.2</c:v>
                </c:pt>
                <c:pt idx="44">
                  <c:v>1.25</c:v>
                </c:pt>
                <c:pt idx="45">
                  <c:v>1.3</c:v>
                </c:pt>
                <c:pt idx="46">
                  <c:v>1.35</c:v>
                </c:pt>
                <c:pt idx="47">
                  <c:v>1.4000000000000001</c:v>
                </c:pt>
                <c:pt idx="48">
                  <c:v>1.45</c:v>
                </c:pt>
                <c:pt idx="49">
                  <c:v>1.46</c:v>
                </c:pt>
                <c:pt idx="50">
                  <c:v>1.48</c:v>
                </c:pt>
              </c:numCache>
            </c:numRef>
          </c:xVal>
          <c:yVal>
            <c:numRef>
              <c:f>'Pull-out(E)'!$AI$14:$AI$98</c:f>
              <c:numCache>
                <c:formatCode>0.00</c:formatCode>
                <c:ptCount val="51"/>
                <c:pt idx="0">
                  <c:v>0</c:v>
                </c:pt>
                <c:pt idx="1">
                  <c:v>38.85</c:v>
                </c:pt>
                <c:pt idx="2">
                  <c:v>49.949999999999996</c:v>
                </c:pt>
                <c:pt idx="3">
                  <c:v>77.7</c:v>
                </c:pt>
                <c:pt idx="4">
                  <c:v>94.35</c:v>
                </c:pt>
                <c:pt idx="5">
                  <c:v>111</c:v>
                </c:pt>
                <c:pt idx="6">
                  <c:v>122.1</c:v>
                </c:pt>
                <c:pt idx="7">
                  <c:v>133.19999999999999</c:v>
                </c:pt>
                <c:pt idx="8">
                  <c:v>149.85</c:v>
                </c:pt>
                <c:pt idx="9">
                  <c:v>155.4</c:v>
                </c:pt>
                <c:pt idx="10">
                  <c:v>166.5</c:v>
                </c:pt>
                <c:pt idx="11">
                  <c:v>177.6</c:v>
                </c:pt>
                <c:pt idx="12">
                  <c:v>188.7</c:v>
                </c:pt>
                <c:pt idx="13">
                  <c:v>199.79999999999998</c:v>
                </c:pt>
                <c:pt idx="14">
                  <c:v>210.9</c:v>
                </c:pt>
                <c:pt idx="15">
                  <c:v>222</c:v>
                </c:pt>
                <c:pt idx="16">
                  <c:v>227.54999999999998</c:v>
                </c:pt>
                <c:pt idx="17">
                  <c:v>238.65</c:v>
                </c:pt>
                <c:pt idx="18">
                  <c:v>244.2</c:v>
                </c:pt>
                <c:pt idx="19">
                  <c:v>249.75</c:v>
                </c:pt>
                <c:pt idx="20">
                  <c:v>255.29999999999998</c:v>
                </c:pt>
                <c:pt idx="21">
                  <c:v>266.39999999999998</c:v>
                </c:pt>
                <c:pt idx="22">
                  <c:v>271.95</c:v>
                </c:pt>
                <c:pt idx="23">
                  <c:v>277.5</c:v>
                </c:pt>
                <c:pt idx="24">
                  <c:v>283.05</c:v>
                </c:pt>
                <c:pt idx="25">
                  <c:v>288.59999999999997</c:v>
                </c:pt>
                <c:pt idx="26">
                  <c:v>294.14999999999998</c:v>
                </c:pt>
                <c:pt idx="27">
                  <c:v>299.7</c:v>
                </c:pt>
                <c:pt idx="28">
                  <c:v>299.7</c:v>
                </c:pt>
                <c:pt idx="29">
                  <c:v>310.8</c:v>
                </c:pt>
                <c:pt idx="30">
                  <c:v>321.89999999999998</c:v>
                </c:pt>
                <c:pt idx="31">
                  <c:v>327.45</c:v>
                </c:pt>
                <c:pt idx="32">
                  <c:v>333</c:v>
                </c:pt>
                <c:pt idx="33">
                  <c:v>344.09999999999997</c:v>
                </c:pt>
                <c:pt idx="34">
                  <c:v>349.65</c:v>
                </c:pt>
                <c:pt idx="35">
                  <c:v>355.2</c:v>
                </c:pt>
                <c:pt idx="36">
                  <c:v>360.75</c:v>
                </c:pt>
                <c:pt idx="37">
                  <c:v>360.75</c:v>
                </c:pt>
                <c:pt idx="38">
                  <c:v>360.75</c:v>
                </c:pt>
                <c:pt idx="39">
                  <c:v>366.3</c:v>
                </c:pt>
                <c:pt idx="40">
                  <c:v>366.3</c:v>
                </c:pt>
                <c:pt idx="41">
                  <c:v>377.4</c:v>
                </c:pt>
                <c:pt idx="42">
                  <c:v>382.95</c:v>
                </c:pt>
                <c:pt idx="43">
                  <c:v>388.5</c:v>
                </c:pt>
                <c:pt idx="44">
                  <c:v>394.05</c:v>
                </c:pt>
                <c:pt idx="45">
                  <c:v>399.59999999999997</c:v>
                </c:pt>
                <c:pt idx="46">
                  <c:v>405.15</c:v>
                </c:pt>
                <c:pt idx="47">
                  <c:v>410.7</c:v>
                </c:pt>
                <c:pt idx="48">
                  <c:v>421.8</c:v>
                </c:pt>
                <c:pt idx="49">
                  <c:v>427.34999999999997</c:v>
                </c:pt>
                <c:pt idx="50">
                  <c:v>421.8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8386-4EB1-ABC2-ECDC939E18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7498320"/>
        <c:axId val="1157510288"/>
      </c:scatterChart>
      <c:valAx>
        <c:axId val="11574983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DISPLACEMENT(cm)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out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7510288"/>
        <c:crosses val="autoZero"/>
        <c:crossBetween val="midCat"/>
      </c:valAx>
      <c:valAx>
        <c:axId val="11575102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</a:t>
                </a:r>
                <a:r>
                  <a:rPr lang="en-US" baseline="0"/>
                  <a:t> LOAD(kN)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749832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legendEntry>
      <c:layout>
        <c:manualLayout>
          <c:xMode val="edge"/>
          <c:yMode val="edge"/>
          <c:x val="0.29111373578302713"/>
          <c:y val="0.87094852726742478"/>
          <c:w val="0.51221697287839019"/>
          <c:h val="7.812554680664916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L-</a:t>
            </a:r>
            <a:r>
              <a:rPr lang="el-GR"/>
              <a:t>δ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2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gradFill>
                <a:gsLst>
                  <a:gs pos="0">
                    <a:schemeClr val="accent1">
                      <a:lumMod val="5000"/>
                      <a:lumOff val="95000"/>
                    </a:schemeClr>
                  </a:gs>
                  <a:gs pos="74000">
                    <a:schemeClr val="accent1">
                      <a:lumMod val="45000"/>
                      <a:lumOff val="55000"/>
                    </a:schemeClr>
                  </a:gs>
                  <a:gs pos="83000">
                    <a:schemeClr val="accent1">
                      <a:lumMod val="45000"/>
                      <a:lumOff val="55000"/>
                    </a:schemeClr>
                  </a:gs>
                  <a:gs pos="100000">
                    <a:schemeClr val="accent1">
                      <a:lumMod val="30000"/>
                      <a:lumOff val="70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'Pull-out(E)'!$U$115:$U$124</c:f>
              <c:numCache>
                <c:formatCode>0.00</c:formatCode>
                <c:ptCount val="10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</c:numCache>
            </c:numRef>
          </c:xVal>
          <c:yVal>
            <c:numRef>
              <c:f>'Pull-out(E)'!$W$115:$W$124</c:f>
              <c:numCache>
                <c:formatCode>0.00</c:formatCode>
                <c:ptCount val="10"/>
                <c:pt idx="0">
                  <c:v>0</c:v>
                </c:pt>
                <c:pt idx="1">
                  <c:v>5.55</c:v>
                </c:pt>
                <c:pt idx="2">
                  <c:v>22.2</c:v>
                </c:pt>
                <c:pt idx="3">
                  <c:v>33.299999999999997</c:v>
                </c:pt>
                <c:pt idx="4">
                  <c:v>44.4</c:v>
                </c:pt>
                <c:pt idx="5">
                  <c:v>55.5</c:v>
                </c:pt>
                <c:pt idx="6">
                  <c:v>55.5</c:v>
                </c:pt>
                <c:pt idx="7">
                  <c:v>55.5</c:v>
                </c:pt>
                <c:pt idx="8">
                  <c:v>61.05</c:v>
                </c:pt>
                <c:pt idx="9">
                  <c:v>61.05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3A2D-4CE5-8A98-ACC12E07C846}"/>
            </c:ext>
          </c:extLst>
        </c:ser>
        <c:ser>
          <c:idx val="1"/>
          <c:order val="1"/>
          <c:tx>
            <c:v>3.33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'Pull-out(E)'!$AA$115:$AA$140</c:f>
              <c:numCache>
                <c:formatCode>0.00</c:formatCode>
                <c:ptCount val="26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</c:numCache>
            </c:numRef>
          </c:xVal>
          <c:yVal>
            <c:numRef>
              <c:f>'Pull-out(E)'!$AC$115:$AC$140</c:f>
              <c:numCache>
                <c:formatCode>0.00</c:formatCode>
                <c:ptCount val="26"/>
                <c:pt idx="0">
                  <c:v>0</c:v>
                </c:pt>
                <c:pt idx="1">
                  <c:v>16.649999999999999</c:v>
                </c:pt>
                <c:pt idx="2">
                  <c:v>49.949999999999996</c:v>
                </c:pt>
                <c:pt idx="3">
                  <c:v>83.25</c:v>
                </c:pt>
                <c:pt idx="4">
                  <c:v>94.35</c:v>
                </c:pt>
                <c:pt idx="5">
                  <c:v>99.899999999999991</c:v>
                </c:pt>
                <c:pt idx="6">
                  <c:v>111</c:v>
                </c:pt>
                <c:pt idx="7">
                  <c:v>122.1</c:v>
                </c:pt>
                <c:pt idx="8">
                  <c:v>133.19999999999999</c:v>
                </c:pt>
                <c:pt idx="9">
                  <c:v>138.75</c:v>
                </c:pt>
                <c:pt idx="10">
                  <c:v>144.29999999999998</c:v>
                </c:pt>
                <c:pt idx="11">
                  <c:v>149.85</c:v>
                </c:pt>
                <c:pt idx="12">
                  <c:v>155.4</c:v>
                </c:pt>
                <c:pt idx="13">
                  <c:v>160.94999999999999</c:v>
                </c:pt>
                <c:pt idx="14">
                  <c:v>160.94999999999999</c:v>
                </c:pt>
                <c:pt idx="15">
                  <c:v>166.5</c:v>
                </c:pt>
                <c:pt idx="16">
                  <c:v>166.5</c:v>
                </c:pt>
                <c:pt idx="17">
                  <c:v>166.5</c:v>
                </c:pt>
                <c:pt idx="18">
                  <c:v>172.04999999999998</c:v>
                </c:pt>
                <c:pt idx="19">
                  <c:v>177.6</c:v>
                </c:pt>
                <c:pt idx="20">
                  <c:v>177.6</c:v>
                </c:pt>
                <c:pt idx="21">
                  <c:v>183.15</c:v>
                </c:pt>
                <c:pt idx="22">
                  <c:v>188.7</c:v>
                </c:pt>
                <c:pt idx="23">
                  <c:v>194.25</c:v>
                </c:pt>
                <c:pt idx="24">
                  <c:v>194.25</c:v>
                </c:pt>
                <c:pt idx="25">
                  <c:v>194.25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3A2D-4CE5-8A98-ACC12E07C846}"/>
            </c:ext>
          </c:extLst>
        </c:ser>
        <c:ser>
          <c:idx val="2"/>
          <c:order val="2"/>
          <c:tx>
            <c:v>5.33</c:v>
          </c:tx>
          <c:spPr>
            <a:ln w="22225" cap="rnd">
              <a:solidFill>
                <a:schemeClr val="accent3"/>
              </a:solidFill>
            </a:ln>
            <a:effectLst>
              <a:glow rad="139700">
                <a:schemeClr val="accent3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3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'Pull-out(E)'!$AG$115:$AG$208</c:f>
              <c:numCache>
                <c:formatCode>0.00</c:formatCode>
                <c:ptCount val="92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0.55000000000000004</c:v>
                </c:pt>
                <c:pt idx="29">
                  <c:v>0.56000000000000005</c:v>
                </c:pt>
                <c:pt idx="30">
                  <c:v>0.57999999999999996</c:v>
                </c:pt>
                <c:pt idx="31">
                  <c:v>0.6</c:v>
                </c:pt>
                <c:pt idx="32">
                  <c:v>0.62</c:v>
                </c:pt>
                <c:pt idx="33">
                  <c:v>0.64</c:v>
                </c:pt>
                <c:pt idx="34">
                  <c:v>0.65</c:v>
                </c:pt>
                <c:pt idx="35">
                  <c:v>0.66</c:v>
                </c:pt>
                <c:pt idx="36">
                  <c:v>0.68</c:v>
                </c:pt>
                <c:pt idx="37">
                  <c:v>0.70000000000000007</c:v>
                </c:pt>
                <c:pt idx="38">
                  <c:v>0.75</c:v>
                </c:pt>
                <c:pt idx="39">
                  <c:v>0.76</c:v>
                </c:pt>
                <c:pt idx="40">
                  <c:v>0.78</c:v>
                </c:pt>
                <c:pt idx="41">
                  <c:v>0.8</c:v>
                </c:pt>
                <c:pt idx="42">
                  <c:v>0.82000000000000006</c:v>
                </c:pt>
                <c:pt idx="43">
                  <c:v>0.84</c:v>
                </c:pt>
                <c:pt idx="44">
                  <c:v>0.85</c:v>
                </c:pt>
                <c:pt idx="45">
                  <c:v>0.86</c:v>
                </c:pt>
                <c:pt idx="46">
                  <c:v>0.88</c:v>
                </c:pt>
                <c:pt idx="47">
                  <c:v>0.9</c:v>
                </c:pt>
                <c:pt idx="48">
                  <c:v>0.92</c:v>
                </c:pt>
                <c:pt idx="49">
                  <c:v>0.94000000000000006</c:v>
                </c:pt>
                <c:pt idx="50">
                  <c:v>0.95000000000000007</c:v>
                </c:pt>
                <c:pt idx="51">
                  <c:v>0.96</c:v>
                </c:pt>
                <c:pt idx="52">
                  <c:v>0.98</c:v>
                </c:pt>
                <c:pt idx="53">
                  <c:v>1</c:v>
                </c:pt>
                <c:pt idx="54">
                  <c:v>1.02</c:v>
                </c:pt>
                <c:pt idx="55">
                  <c:v>1.04</c:v>
                </c:pt>
                <c:pt idx="56">
                  <c:v>1.05</c:v>
                </c:pt>
                <c:pt idx="57">
                  <c:v>1.06</c:v>
                </c:pt>
                <c:pt idx="58">
                  <c:v>1.08</c:v>
                </c:pt>
                <c:pt idx="59">
                  <c:v>1.1000000000000001</c:v>
                </c:pt>
                <c:pt idx="60">
                  <c:v>1.1200000000000001</c:v>
                </c:pt>
                <c:pt idx="61">
                  <c:v>1.1400000000000001</c:v>
                </c:pt>
                <c:pt idx="62">
                  <c:v>1.1500000000000001</c:v>
                </c:pt>
                <c:pt idx="63">
                  <c:v>1.1599999999999999</c:v>
                </c:pt>
                <c:pt idx="64">
                  <c:v>1.18</c:v>
                </c:pt>
                <c:pt idx="65">
                  <c:v>1.2</c:v>
                </c:pt>
                <c:pt idx="66">
                  <c:v>1.22</c:v>
                </c:pt>
                <c:pt idx="67">
                  <c:v>1.24</c:v>
                </c:pt>
                <c:pt idx="68">
                  <c:v>1.25</c:v>
                </c:pt>
                <c:pt idx="69">
                  <c:v>1.26</c:v>
                </c:pt>
                <c:pt idx="70">
                  <c:v>1.28</c:v>
                </c:pt>
                <c:pt idx="71">
                  <c:v>1.3</c:v>
                </c:pt>
                <c:pt idx="72">
                  <c:v>1.32</c:v>
                </c:pt>
                <c:pt idx="73">
                  <c:v>1.34</c:v>
                </c:pt>
                <c:pt idx="74">
                  <c:v>1.35</c:v>
                </c:pt>
                <c:pt idx="75">
                  <c:v>1.36</c:v>
                </c:pt>
                <c:pt idx="76">
                  <c:v>1.3800000000000001</c:v>
                </c:pt>
                <c:pt idx="77">
                  <c:v>1.4000000000000001</c:v>
                </c:pt>
                <c:pt idx="78">
                  <c:v>1.42</c:v>
                </c:pt>
                <c:pt idx="79">
                  <c:v>1.44</c:v>
                </c:pt>
                <c:pt idx="80">
                  <c:v>1.45</c:v>
                </c:pt>
                <c:pt idx="81">
                  <c:v>1.46</c:v>
                </c:pt>
                <c:pt idx="82">
                  <c:v>1.48</c:v>
                </c:pt>
                <c:pt idx="83">
                  <c:v>1.5</c:v>
                </c:pt>
                <c:pt idx="84">
                  <c:v>1.52</c:v>
                </c:pt>
                <c:pt idx="85">
                  <c:v>1.54</c:v>
                </c:pt>
                <c:pt idx="86">
                  <c:v>1.55</c:v>
                </c:pt>
                <c:pt idx="87">
                  <c:v>1.56</c:v>
                </c:pt>
                <c:pt idx="88">
                  <c:v>1.58</c:v>
                </c:pt>
                <c:pt idx="89">
                  <c:v>1.6</c:v>
                </c:pt>
                <c:pt idx="90">
                  <c:v>1.62</c:v>
                </c:pt>
                <c:pt idx="91">
                  <c:v>1.6400000000000001</c:v>
                </c:pt>
              </c:numCache>
            </c:numRef>
          </c:xVal>
          <c:yVal>
            <c:numRef>
              <c:f>'Pull-out(E)'!$AI$115:$AI$208</c:f>
              <c:numCache>
                <c:formatCode>0.00</c:formatCode>
                <c:ptCount val="92"/>
                <c:pt idx="0">
                  <c:v>0</c:v>
                </c:pt>
                <c:pt idx="1">
                  <c:v>66.599999999999994</c:v>
                </c:pt>
                <c:pt idx="2">
                  <c:v>122.1</c:v>
                </c:pt>
                <c:pt idx="3">
                  <c:v>194.25</c:v>
                </c:pt>
                <c:pt idx="4">
                  <c:v>249.75</c:v>
                </c:pt>
                <c:pt idx="5">
                  <c:v>299.7</c:v>
                </c:pt>
                <c:pt idx="6">
                  <c:v>333</c:v>
                </c:pt>
                <c:pt idx="7">
                  <c:v>360.75</c:v>
                </c:pt>
                <c:pt idx="8">
                  <c:v>388.5</c:v>
                </c:pt>
                <c:pt idx="9">
                  <c:v>410.7</c:v>
                </c:pt>
                <c:pt idx="10">
                  <c:v>427.34999999999997</c:v>
                </c:pt>
                <c:pt idx="11">
                  <c:v>444</c:v>
                </c:pt>
                <c:pt idx="12">
                  <c:v>466.2</c:v>
                </c:pt>
                <c:pt idx="13">
                  <c:v>477.3</c:v>
                </c:pt>
                <c:pt idx="14">
                  <c:v>493.95</c:v>
                </c:pt>
                <c:pt idx="15">
                  <c:v>505.05</c:v>
                </c:pt>
                <c:pt idx="16">
                  <c:v>510.59999999999997</c:v>
                </c:pt>
                <c:pt idx="17">
                  <c:v>521.69999999999993</c:v>
                </c:pt>
                <c:pt idx="18">
                  <c:v>532.79999999999995</c:v>
                </c:pt>
                <c:pt idx="19">
                  <c:v>543.9</c:v>
                </c:pt>
                <c:pt idx="20">
                  <c:v>549.44999999999993</c:v>
                </c:pt>
                <c:pt idx="21">
                  <c:v>555</c:v>
                </c:pt>
                <c:pt idx="22">
                  <c:v>560.54999999999995</c:v>
                </c:pt>
                <c:pt idx="23">
                  <c:v>571.65</c:v>
                </c:pt>
                <c:pt idx="24">
                  <c:v>577.19999999999993</c:v>
                </c:pt>
                <c:pt idx="25">
                  <c:v>582.75</c:v>
                </c:pt>
                <c:pt idx="26">
                  <c:v>588.29999999999995</c:v>
                </c:pt>
                <c:pt idx="27">
                  <c:v>593.85</c:v>
                </c:pt>
                <c:pt idx="28">
                  <c:v>593.85</c:v>
                </c:pt>
                <c:pt idx="29">
                  <c:v>599.4</c:v>
                </c:pt>
                <c:pt idx="30">
                  <c:v>604.94999999999993</c:v>
                </c:pt>
                <c:pt idx="31">
                  <c:v>610.5</c:v>
                </c:pt>
                <c:pt idx="32">
                  <c:v>616.04999999999995</c:v>
                </c:pt>
                <c:pt idx="33">
                  <c:v>621.6</c:v>
                </c:pt>
                <c:pt idx="34">
                  <c:v>621.6</c:v>
                </c:pt>
                <c:pt idx="35">
                  <c:v>621.6</c:v>
                </c:pt>
                <c:pt idx="36">
                  <c:v>621.6</c:v>
                </c:pt>
                <c:pt idx="37">
                  <c:v>627.15</c:v>
                </c:pt>
                <c:pt idx="38">
                  <c:v>632.69999999999993</c:v>
                </c:pt>
                <c:pt idx="39">
                  <c:v>638.25</c:v>
                </c:pt>
                <c:pt idx="40">
                  <c:v>638.25</c:v>
                </c:pt>
                <c:pt idx="41">
                  <c:v>643.79999999999995</c:v>
                </c:pt>
                <c:pt idx="42">
                  <c:v>643.79999999999995</c:v>
                </c:pt>
                <c:pt idx="43">
                  <c:v>649.35</c:v>
                </c:pt>
                <c:pt idx="44">
                  <c:v>649.35</c:v>
                </c:pt>
                <c:pt idx="45">
                  <c:v>649.35</c:v>
                </c:pt>
                <c:pt idx="46">
                  <c:v>654.9</c:v>
                </c:pt>
                <c:pt idx="47">
                  <c:v>654.9</c:v>
                </c:pt>
                <c:pt idx="48">
                  <c:v>654.9</c:v>
                </c:pt>
                <c:pt idx="49">
                  <c:v>660.44999999999993</c:v>
                </c:pt>
                <c:pt idx="50">
                  <c:v>660.44999999999993</c:v>
                </c:pt>
                <c:pt idx="51">
                  <c:v>660.44999999999993</c:v>
                </c:pt>
                <c:pt idx="52">
                  <c:v>666</c:v>
                </c:pt>
                <c:pt idx="53">
                  <c:v>666</c:v>
                </c:pt>
                <c:pt idx="54">
                  <c:v>666</c:v>
                </c:pt>
                <c:pt idx="55">
                  <c:v>666</c:v>
                </c:pt>
                <c:pt idx="56">
                  <c:v>666</c:v>
                </c:pt>
                <c:pt idx="57">
                  <c:v>671.55</c:v>
                </c:pt>
                <c:pt idx="58">
                  <c:v>671.55</c:v>
                </c:pt>
                <c:pt idx="59">
                  <c:v>671.55</c:v>
                </c:pt>
                <c:pt idx="60">
                  <c:v>671.55</c:v>
                </c:pt>
                <c:pt idx="61">
                  <c:v>677.1</c:v>
                </c:pt>
                <c:pt idx="62">
                  <c:v>677.1</c:v>
                </c:pt>
                <c:pt idx="63">
                  <c:v>677.1</c:v>
                </c:pt>
                <c:pt idx="64">
                  <c:v>677.1</c:v>
                </c:pt>
                <c:pt idx="65">
                  <c:v>682.65</c:v>
                </c:pt>
                <c:pt idx="66">
                  <c:v>682.65</c:v>
                </c:pt>
                <c:pt idx="67">
                  <c:v>682.65</c:v>
                </c:pt>
                <c:pt idx="68">
                  <c:v>688.19999999999993</c:v>
                </c:pt>
                <c:pt idx="69">
                  <c:v>688.19999999999993</c:v>
                </c:pt>
                <c:pt idx="70">
                  <c:v>688.19999999999993</c:v>
                </c:pt>
                <c:pt idx="71">
                  <c:v>693.75</c:v>
                </c:pt>
                <c:pt idx="72">
                  <c:v>693.75</c:v>
                </c:pt>
                <c:pt idx="73">
                  <c:v>693.75</c:v>
                </c:pt>
                <c:pt idx="74">
                  <c:v>693.75</c:v>
                </c:pt>
                <c:pt idx="75">
                  <c:v>699.3</c:v>
                </c:pt>
                <c:pt idx="76">
                  <c:v>699.3</c:v>
                </c:pt>
                <c:pt idx="77">
                  <c:v>699.3</c:v>
                </c:pt>
                <c:pt idx="78">
                  <c:v>704.85</c:v>
                </c:pt>
                <c:pt idx="79">
                  <c:v>704.85</c:v>
                </c:pt>
                <c:pt idx="80">
                  <c:v>704.85</c:v>
                </c:pt>
                <c:pt idx="81">
                  <c:v>704.85</c:v>
                </c:pt>
                <c:pt idx="82">
                  <c:v>710.4</c:v>
                </c:pt>
                <c:pt idx="83">
                  <c:v>710.4</c:v>
                </c:pt>
                <c:pt idx="84">
                  <c:v>710.4</c:v>
                </c:pt>
                <c:pt idx="85">
                  <c:v>715.94999999999993</c:v>
                </c:pt>
                <c:pt idx="86">
                  <c:v>715.94999999999993</c:v>
                </c:pt>
                <c:pt idx="87">
                  <c:v>715.94999999999993</c:v>
                </c:pt>
                <c:pt idx="88">
                  <c:v>715.94999999999993</c:v>
                </c:pt>
                <c:pt idx="89">
                  <c:v>721.5</c:v>
                </c:pt>
                <c:pt idx="90">
                  <c:v>721.5</c:v>
                </c:pt>
                <c:pt idx="91">
                  <c:v>721.5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3A2D-4CE5-8A98-ACC12E07C8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7493424"/>
        <c:axId val="1157511920"/>
      </c:scatterChart>
      <c:valAx>
        <c:axId val="1157493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DISPLACEMENT(cm)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out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7511920"/>
        <c:crosses val="autoZero"/>
        <c:crossBetween val="midCat"/>
      </c:valAx>
      <c:valAx>
        <c:axId val="11575119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</a:t>
                </a:r>
                <a:r>
                  <a:rPr lang="en-US" baseline="0"/>
                  <a:t> LOAD(kN)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749342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legendEntry>
      <c:layout>
        <c:manualLayout>
          <c:xMode val="edge"/>
          <c:yMode val="edge"/>
          <c:x val="0.29111373578302713"/>
          <c:y val="0.87094852726742478"/>
          <c:w val="0.51221697287839019"/>
          <c:h val="7.812554680664916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L-</a:t>
            </a:r>
            <a:r>
              <a:rPr lang="el-GR"/>
              <a:t>δ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2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gradFill>
                <a:gsLst>
                  <a:gs pos="0">
                    <a:schemeClr val="accent1">
                      <a:lumMod val="5000"/>
                      <a:lumOff val="95000"/>
                    </a:schemeClr>
                  </a:gs>
                  <a:gs pos="74000">
                    <a:schemeClr val="accent1">
                      <a:lumMod val="45000"/>
                      <a:lumOff val="55000"/>
                    </a:schemeClr>
                  </a:gs>
                  <a:gs pos="83000">
                    <a:schemeClr val="accent1">
                      <a:lumMod val="45000"/>
                      <a:lumOff val="55000"/>
                    </a:schemeClr>
                  </a:gs>
                  <a:gs pos="100000">
                    <a:schemeClr val="accent1">
                      <a:lumMod val="30000"/>
                      <a:lumOff val="70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'Pull-out(E)'!$U$226:$U$237</c:f>
              <c:numCache>
                <c:formatCode>0.00</c:formatCode>
                <c:ptCount val="12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</c:numCache>
            </c:numRef>
          </c:xVal>
          <c:yVal>
            <c:numRef>
              <c:f>'Pull-out(E)'!$W$226:$W$237</c:f>
              <c:numCache>
                <c:formatCode>0.00</c:formatCode>
                <c:ptCount val="12"/>
                <c:pt idx="0">
                  <c:v>0</c:v>
                </c:pt>
                <c:pt idx="1">
                  <c:v>11.1</c:v>
                </c:pt>
                <c:pt idx="2">
                  <c:v>33.299999999999997</c:v>
                </c:pt>
                <c:pt idx="3">
                  <c:v>44.4</c:v>
                </c:pt>
                <c:pt idx="4">
                  <c:v>49.949999999999996</c:v>
                </c:pt>
                <c:pt idx="5">
                  <c:v>55.5</c:v>
                </c:pt>
                <c:pt idx="6">
                  <c:v>55.5</c:v>
                </c:pt>
                <c:pt idx="7">
                  <c:v>55.5</c:v>
                </c:pt>
                <c:pt idx="8">
                  <c:v>61.05</c:v>
                </c:pt>
                <c:pt idx="9">
                  <c:v>61.05</c:v>
                </c:pt>
                <c:pt idx="10">
                  <c:v>66.599999999999994</c:v>
                </c:pt>
                <c:pt idx="11">
                  <c:v>66.599999999999994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5677-485E-8291-6B68286E1695}"/>
            </c:ext>
          </c:extLst>
        </c:ser>
        <c:ser>
          <c:idx val="1"/>
          <c:order val="1"/>
          <c:tx>
            <c:v>3.33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'Pull-out(E)'!$AA$226:$AA$248</c:f>
              <c:numCache>
                <c:formatCode>0.00</c:formatCode>
                <c:ptCount val="23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</c:numCache>
            </c:numRef>
          </c:xVal>
          <c:yVal>
            <c:numRef>
              <c:f>'Pull-out(E)'!$AC$226:$AC$248</c:f>
              <c:numCache>
                <c:formatCode>0.00</c:formatCode>
                <c:ptCount val="23"/>
                <c:pt idx="0">
                  <c:v>0</c:v>
                </c:pt>
                <c:pt idx="1">
                  <c:v>49.949999999999996</c:v>
                </c:pt>
                <c:pt idx="2">
                  <c:v>105.45</c:v>
                </c:pt>
                <c:pt idx="3">
                  <c:v>149.85</c:v>
                </c:pt>
                <c:pt idx="4">
                  <c:v>160.94999999999999</c:v>
                </c:pt>
                <c:pt idx="5">
                  <c:v>172.04999999999998</c:v>
                </c:pt>
                <c:pt idx="6">
                  <c:v>183.15</c:v>
                </c:pt>
                <c:pt idx="7">
                  <c:v>188.7</c:v>
                </c:pt>
                <c:pt idx="8">
                  <c:v>194.25</c:v>
                </c:pt>
                <c:pt idx="9">
                  <c:v>199.79999999999998</c:v>
                </c:pt>
                <c:pt idx="10">
                  <c:v>199.79999999999998</c:v>
                </c:pt>
                <c:pt idx="11">
                  <c:v>205.35</c:v>
                </c:pt>
                <c:pt idx="12">
                  <c:v>210.9</c:v>
                </c:pt>
                <c:pt idx="13">
                  <c:v>216.45</c:v>
                </c:pt>
                <c:pt idx="14">
                  <c:v>216.45</c:v>
                </c:pt>
                <c:pt idx="15">
                  <c:v>222</c:v>
                </c:pt>
                <c:pt idx="16">
                  <c:v>222</c:v>
                </c:pt>
                <c:pt idx="17">
                  <c:v>227.54999999999998</c:v>
                </c:pt>
                <c:pt idx="18">
                  <c:v>227.54999999999998</c:v>
                </c:pt>
                <c:pt idx="19">
                  <c:v>233.1</c:v>
                </c:pt>
                <c:pt idx="20">
                  <c:v>233.1</c:v>
                </c:pt>
                <c:pt idx="21">
                  <c:v>233.1</c:v>
                </c:pt>
                <c:pt idx="22">
                  <c:v>238.65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5677-485E-8291-6B68286E1695}"/>
            </c:ext>
          </c:extLst>
        </c:ser>
        <c:ser>
          <c:idx val="2"/>
          <c:order val="2"/>
          <c:tx>
            <c:v>5.33</c:v>
          </c:tx>
          <c:spPr>
            <a:ln w="22225" cap="rnd">
              <a:solidFill>
                <a:schemeClr val="accent3"/>
              </a:solidFill>
            </a:ln>
            <a:effectLst>
              <a:glow rad="139700">
                <a:schemeClr val="accent3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3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'Pull-out(E)'!$AG$226:$AG$325</c:f>
              <c:numCache>
                <c:formatCode>0.00</c:formatCode>
                <c:ptCount val="77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0.55000000000000004</c:v>
                </c:pt>
                <c:pt idx="29">
                  <c:v>0.56000000000000005</c:v>
                </c:pt>
                <c:pt idx="30">
                  <c:v>0.57999999999999996</c:v>
                </c:pt>
                <c:pt idx="31">
                  <c:v>0.6</c:v>
                </c:pt>
                <c:pt idx="32">
                  <c:v>0.62</c:v>
                </c:pt>
                <c:pt idx="33">
                  <c:v>0.64</c:v>
                </c:pt>
                <c:pt idx="34">
                  <c:v>0.65</c:v>
                </c:pt>
                <c:pt idx="35">
                  <c:v>0.66</c:v>
                </c:pt>
                <c:pt idx="36">
                  <c:v>0.68</c:v>
                </c:pt>
                <c:pt idx="37">
                  <c:v>0.70000000000000007</c:v>
                </c:pt>
                <c:pt idx="38">
                  <c:v>0.72</c:v>
                </c:pt>
                <c:pt idx="39">
                  <c:v>0.74</c:v>
                </c:pt>
                <c:pt idx="40">
                  <c:v>0.75</c:v>
                </c:pt>
                <c:pt idx="41">
                  <c:v>0.76</c:v>
                </c:pt>
                <c:pt idx="42">
                  <c:v>0.78</c:v>
                </c:pt>
                <c:pt idx="43">
                  <c:v>0.8</c:v>
                </c:pt>
                <c:pt idx="44">
                  <c:v>0.82000000000000006</c:v>
                </c:pt>
                <c:pt idx="45">
                  <c:v>0.84</c:v>
                </c:pt>
                <c:pt idx="46">
                  <c:v>0.85</c:v>
                </c:pt>
                <c:pt idx="47">
                  <c:v>0.86</c:v>
                </c:pt>
                <c:pt idx="48">
                  <c:v>0.88</c:v>
                </c:pt>
                <c:pt idx="49">
                  <c:v>0.9</c:v>
                </c:pt>
                <c:pt idx="50">
                  <c:v>0.92</c:v>
                </c:pt>
                <c:pt idx="51">
                  <c:v>0.94000000000000006</c:v>
                </c:pt>
                <c:pt idx="52">
                  <c:v>0.95000000000000007</c:v>
                </c:pt>
                <c:pt idx="53">
                  <c:v>0.96</c:v>
                </c:pt>
                <c:pt idx="54">
                  <c:v>0.98</c:v>
                </c:pt>
                <c:pt idx="55">
                  <c:v>1</c:v>
                </c:pt>
                <c:pt idx="56">
                  <c:v>1.02</c:v>
                </c:pt>
                <c:pt idx="57">
                  <c:v>1.04</c:v>
                </c:pt>
                <c:pt idx="58">
                  <c:v>1.05</c:v>
                </c:pt>
                <c:pt idx="59">
                  <c:v>1.06</c:v>
                </c:pt>
                <c:pt idx="60">
                  <c:v>1.08</c:v>
                </c:pt>
                <c:pt idx="61">
                  <c:v>1.1000000000000001</c:v>
                </c:pt>
                <c:pt idx="62">
                  <c:v>1.1500000000000001</c:v>
                </c:pt>
                <c:pt idx="63">
                  <c:v>1.2</c:v>
                </c:pt>
                <c:pt idx="64">
                  <c:v>1.25</c:v>
                </c:pt>
                <c:pt idx="65">
                  <c:v>1.3</c:v>
                </c:pt>
                <c:pt idx="66">
                  <c:v>1.35</c:v>
                </c:pt>
                <c:pt idx="67">
                  <c:v>1.4000000000000001</c:v>
                </c:pt>
                <c:pt idx="68">
                  <c:v>1.45</c:v>
                </c:pt>
                <c:pt idx="69">
                  <c:v>1.5</c:v>
                </c:pt>
                <c:pt idx="70">
                  <c:v>1.55</c:v>
                </c:pt>
                <c:pt idx="71">
                  <c:v>1.6</c:v>
                </c:pt>
                <c:pt idx="72">
                  <c:v>1.6500000000000001</c:v>
                </c:pt>
                <c:pt idx="73">
                  <c:v>1.7</c:v>
                </c:pt>
                <c:pt idx="74">
                  <c:v>1.72</c:v>
                </c:pt>
                <c:pt idx="75">
                  <c:v>1.74</c:v>
                </c:pt>
                <c:pt idx="76">
                  <c:v>1.75</c:v>
                </c:pt>
              </c:numCache>
            </c:numRef>
          </c:xVal>
          <c:yVal>
            <c:numRef>
              <c:f>'Pull-out(E)'!$AI$226:$AI$325</c:f>
              <c:numCache>
                <c:formatCode>0.00</c:formatCode>
                <c:ptCount val="77"/>
                <c:pt idx="0">
                  <c:v>0</c:v>
                </c:pt>
                <c:pt idx="1">
                  <c:v>61.05</c:v>
                </c:pt>
                <c:pt idx="2">
                  <c:v>105.45</c:v>
                </c:pt>
                <c:pt idx="3">
                  <c:v>210.9</c:v>
                </c:pt>
                <c:pt idx="4">
                  <c:v>244.2</c:v>
                </c:pt>
                <c:pt idx="5">
                  <c:v>310.8</c:v>
                </c:pt>
                <c:pt idx="6">
                  <c:v>349.65</c:v>
                </c:pt>
                <c:pt idx="7">
                  <c:v>388.5</c:v>
                </c:pt>
                <c:pt idx="8">
                  <c:v>449.55</c:v>
                </c:pt>
                <c:pt idx="9">
                  <c:v>482.84999999999997</c:v>
                </c:pt>
                <c:pt idx="10">
                  <c:v>510.59999999999997</c:v>
                </c:pt>
                <c:pt idx="11">
                  <c:v>532.79999999999995</c:v>
                </c:pt>
                <c:pt idx="12">
                  <c:v>566.1</c:v>
                </c:pt>
                <c:pt idx="13">
                  <c:v>593.85</c:v>
                </c:pt>
                <c:pt idx="14">
                  <c:v>610.5</c:v>
                </c:pt>
                <c:pt idx="15">
                  <c:v>632.69999999999993</c:v>
                </c:pt>
                <c:pt idx="16">
                  <c:v>643.79999999999995</c:v>
                </c:pt>
                <c:pt idx="17">
                  <c:v>666</c:v>
                </c:pt>
                <c:pt idx="18">
                  <c:v>682.65</c:v>
                </c:pt>
                <c:pt idx="19">
                  <c:v>699.3</c:v>
                </c:pt>
                <c:pt idx="20">
                  <c:v>710.4</c:v>
                </c:pt>
                <c:pt idx="21">
                  <c:v>727.05</c:v>
                </c:pt>
                <c:pt idx="22">
                  <c:v>743.69999999999993</c:v>
                </c:pt>
                <c:pt idx="23">
                  <c:v>754.8</c:v>
                </c:pt>
                <c:pt idx="24">
                  <c:v>760.35</c:v>
                </c:pt>
                <c:pt idx="25">
                  <c:v>771.44999999999993</c:v>
                </c:pt>
                <c:pt idx="26">
                  <c:v>782.55</c:v>
                </c:pt>
                <c:pt idx="27">
                  <c:v>793.65</c:v>
                </c:pt>
                <c:pt idx="28">
                  <c:v>793.65</c:v>
                </c:pt>
                <c:pt idx="29">
                  <c:v>799.19999999999993</c:v>
                </c:pt>
                <c:pt idx="30">
                  <c:v>804.75</c:v>
                </c:pt>
                <c:pt idx="31">
                  <c:v>810.3</c:v>
                </c:pt>
                <c:pt idx="32">
                  <c:v>821.4</c:v>
                </c:pt>
                <c:pt idx="33">
                  <c:v>826.94999999999993</c:v>
                </c:pt>
                <c:pt idx="34">
                  <c:v>826.94999999999993</c:v>
                </c:pt>
                <c:pt idx="35">
                  <c:v>832.5</c:v>
                </c:pt>
                <c:pt idx="36">
                  <c:v>843.6</c:v>
                </c:pt>
                <c:pt idx="37">
                  <c:v>854.69999999999993</c:v>
                </c:pt>
                <c:pt idx="38">
                  <c:v>854.69999999999993</c:v>
                </c:pt>
                <c:pt idx="39">
                  <c:v>860.25</c:v>
                </c:pt>
                <c:pt idx="40">
                  <c:v>860.25</c:v>
                </c:pt>
                <c:pt idx="41">
                  <c:v>865.8</c:v>
                </c:pt>
                <c:pt idx="42">
                  <c:v>871.35</c:v>
                </c:pt>
                <c:pt idx="43">
                  <c:v>876.9</c:v>
                </c:pt>
                <c:pt idx="44">
                  <c:v>876.9</c:v>
                </c:pt>
                <c:pt idx="45">
                  <c:v>882.44999999999993</c:v>
                </c:pt>
                <c:pt idx="46">
                  <c:v>882.44999999999993</c:v>
                </c:pt>
                <c:pt idx="47">
                  <c:v>888</c:v>
                </c:pt>
                <c:pt idx="48">
                  <c:v>899.1</c:v>
                </c:pt>
                <c:pt idx="49">
                  <c:v>904.65</c:v>
                </c:pt>
                <c:pt idx="50">
                  <c:v>915.75</c:v>
                </c:pt>
                <c:pt idx="51">
                  <c:v>915.75</c:v>
                </c:pt>
                <c:pt idx="52">
                  <c:v>915.75</c:v>
                </c:pt>
                <c:pt idx="53">
                  <c:v>921.3</c:v>
                </c:pt>
                <c:pt idx="54">
                  <c:v>921.3</c:v>
                </c:pt>
                <c:pt idx="55">
                  <c:v>926.85</c:v>
                </c:pt>
                <c:pt idx="56">
                  <c:v>926.85</c:v>
                </c:pt>
                <c:pt idx="57">
                  <c:v>932.4</c:v>
                </c:pt>
                <c:pt idx="58">
                  <c:v>932.4</c:v>
                </c:pt>
                <c:pt idx="59">
                  <c:v>937.94999999999993</c:v>
                </c:pt>
                <c:pt idx="60">
                  <c:v>943.5</c:v>
                </c:pt>
                <c:pt idx="61">
                  <c:v>943.5</c:v>
                </c:pt>
                <c:pt idx="62">
                  <c:v>954.6</c:v>
                </c:pt>
                <c:pt idx="63">
                  <c:v>971.25</c:v>
                </c:pt>
                <c:pt idx="64">
                  <c:v>976.8</c:v>
                </c:pt>
                <c:pt idx="65">
                  <c:v>976.8</c:v>
                </c:pt>
                <c:pt idx="66">
                  <c:v>982.35</c:v>
                </c:pt>
                <c:pt idx="67">
                  <c:v>987.9</c:v>
                </c:pt>
                <c:pt idx="68">
                  <c:v>987.9</c:v>
                </c:pt>
                <c:pt idx="69">
                  <c:v>993.44999999999993</c:v>
                </c:pt>
                <c:pt idx="70">
                  <c:v>993.44999999999993</c:v>
                </c:pt>
                <c:pt idx="71">
                  <c:v>999</c:v>
                </c:pt>
                <c:pt idx="72">
                  <c:v>1004.55</c:v>
                </c:pt>
                <c:pt idx="73">
                  <c:v>1004.55</c:v>
                </c:pt>
                <c:pt idx="74">
                  <c:v>1010.1</c:v>
                </c:pt>
                <c:pt idx="75">
                  <c:v>1010.1</c:v>
                </c:pt>
                <c:pt idx="76">
                  <c:v>1010.1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5677-485E-8291-6B68286E16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7495600"/>
        <c:axId val="1157513008"/>
      </c:scatterChart>
      <c:valAx>
        <c:axId val="11574956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DISPLACEMENT(cm)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out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7513008"/>
        <c:crosses val="autoZero"/>
        <c:crossBetween val="midCat"/>
      </c:valAx>
      <c:valAx>
        <c:axId val="1157513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</a:t>
                </a:r>
                <a:r>
                  <a:rPr lang="en-US" baseline="0"/>
                  <a:t> LOAD(kN)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749560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legendEntry>
      <c:layout>
        <c:manualLayout>
          <c:xMode val="edge"/>
          <c:yMode val="edge"/>
          <c:x val="0.29111373578302713"/>
          <c:y val="0.87094852726742478"/>
          <c:w val="0.51221697287839019"/>
          <c:h val="7.812554680664916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L-</a:t>
            </a:r>
            <a:r>
              <a:rPr lang="el-GR"/>
              <a:t>δ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1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gradFill>
                <a:gsLst>
                  <a:gs pos="0">
                    <a:schemeClr val="accent1">
                      <a:lumMod val="5000"/>
                      <a:lumOff val="95000"/>
                    </a:schemeClr>
                  </a:gs>
                  <a:gs pos="74000">
                    <a:schemeClr val="accent1">
                      <a:lumMod val="45000"/>
                      <a:lumOff val="55000"/>
                    </a:schemeClr>
                  </a:gs>
                  <a:gs pos="83000">
                    <a:schemeClr val="accent1">
                      <a:lumMod val="45000"/>
                      <a:lumOff val="55000"/>
                    </a:schemeClr>
                  </a:gs>
                  <a:gs pos="100000">
                    <a:schemeClr val="accent1">
                      <a:lumMod val="30000"/>
                      <a:lumOff val="70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'Pull-out(E)'!$C$14:$C$21</c:f>
              <c:numCache>
                <c:formatCode>0.00</c:formatCode>
                <c:ptCount val="8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</c:numCache>
            </c:numRef>
          </c:xVal>
          <c:yVal>
            <c:numRef>
              <c:f>'Pull-out(E)'!$E$14:$E$21</c:f>
              <c:numCache>
                <c:formatCode>0.00</c:formatCode>
                <c:ptCount val="8"/>
                <c:pt idx="0">
                  <c:v>0</c:v>
                </c:pt>
                <c:pt idx="1">
                  <c:v>38.85</c:v>
                </c:pt>
                <c:pt idx="2">
                  <c:v>66.599999999999994</c:v>
                </c:pt>
                <c:pt idx="3">
                  <c:v>105.45</c:v>
                </c:pt>
                <c:pt idx="4">
                  <c:v>105.45</c:v>
                </c:pt>
                <c:pt idx="5">
                  <c:v>111</c:v>
                </c:pt>
                <c:pt idx="6">
                  <c:v>111</c:v>
                </c:pt>
                <c:pt idx="7">
                  <c:v>111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7621-429F-B058-61F224C70312}"/>
            </c:ext>
          </c:extLst>
        </c:ser>
        <c:ser>
          <c:idx val="1"/>
          <c:order val="1"/>
          <c:tx>
            <c:v>1.67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'Pull-out(E)'!$I$14:$I$40</c:f>
              <c:numCache>
                <c:formatCode>0.00</c:formatCode>
                <c:ptCount val="27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</c:numCache>
            </c:numRef>
          </c:xVal>
          <c:yVal>
            <c:numRef>
              <c:f>'Pull-out(E)'!$K$14:$K$40</c:f>
              <c:numCache>
                <c:formatCode>0.00</c:formatCode>
                <c:ptCount val="27"/>
                <c:pt idx="0">
                  <c:v>0</c:v>
                </c:pt>
                <c:pt idx="1">
                  <c:v>44.4</c:v>
                </c:pt>
                <c:pt idx="2">
                  <c:v>77.7</c:v>
                </c:pt>
                <c:pt idx="3">
                  <c:v>149.85</c:v>
                </c:pt>
                <c:pt idx="4">
                  <c:v>199.79999999999998</c:v>
                </c:pt>
                <c:pt idx="5">
                  <c:v>222</c:v>
                </c:pt>
                <c:pt idx="6">
                  <c:v>227.54999999999998</c:v>
                </c:pt>
                <c:pt idx="7">
                  <c:v>238.65</c:v>
                </c:pt>
                <c:pt idx="8">
                  <c:v>249.75</c:v>
                </c:pt>
                <c:pt idx="9">
                  <c:v>249.75</c:v>
                </c:pt>
                <c:pt idx="10">
                  <c:v>255.29999999999998</c:v>
                </c:pt>
                <c:pt idx="11">
                  <c:v>255.29999999999998</c:v>
                </c:pt>
                <c:pt idx="12">
                  <c:v>260.84999999999997</c:v>
                </c:pt>
                <c:pt idx="13">
                  <c:v>266.39999999999998</c:v>
                </c:pt>
                <c:pt idx="14">
                  <c:v>266.39999999999998</c:v>
                </c:pt>
                <c:pt idx="15">
                  <c:v>266.39999999999998</c:v>
                </c:pt>
                <c:pt idx="16">
                  <c:v>271.95</c:v>
                </c:pt>
                <c:pt idx="17">
                  <c:v>271.95</c:v>
                </c:pt>
                <c:pt idx="18">
                  <c:v>277.5</c:v>
                </c:pt>
                <c:pt idx="19">
                  <c:v>277.5</c:v>
                </c:pt>
                <c:pt idx="20">
                  <c:v>283.05</c:v>
                </c:pt>
                <c:pt idx="21">
                  <c:v>283.05</c:v>
                </c:pt>
                <c:pt idx="22">
                  <c:v>288.59999999999997</c:v>
                </c:pt>
                <c:pt idx="23">
                  <c:v>288.59999999999997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7621-429F-B058-61F224C70312}"/>
            </c:ext>
          </c:extLst>
        </c:ser>
        <c:ser>
          <c:idx val="2"/>
          <c:order val="2"/>
          <c:tx>
            <c:v>2.67</c:v>
          </c:tx>
          <c:spPr>
            <a:ln w="22225" cap="rnd">
              <a:solidFill>
                <a:schemeClr val="accent3"/>
              </a:solidFill>
            </a:ln>
            <a:effectLst>
              <a:glow rad="139700">
                <a:schemeClr val="accent3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3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'Pull-out(E)'!$O$14:$O$69</c:f>
              <c:numCache>
                <c:formatCode>0.00</c:formatCode>
                <c:ptCount val="40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0.55000000000000004</c:v>
                </c:pt>
                <c:pt idx="29">
                  <c:v>0.6</c:v>
                </c:pt>
                <c:pt idx="30">
                  <c:v>0.65</c:v>
                </c:pt>
                <c:pt idx="31">
                  <c:v>0.70000000000000007</c:v>
                </c:pt>
                <c:pt idx="32">
                  <c:v>0.75</c:v>
                </c:pt>
                <c:pt idx="33">
                  <c:v>0.8</c:v>
                </c:pt>
                <c:pt idx="34">
                  <c:v>0.85</c:v>
                </c:pt>
                <c:pt idx="35">
                  <c:v>0.9</c:v>
                </c:pt>
                <c:pt idx="36">
                  <c:v>0.95000000000000007</c:v>
                </c:pt>
                <c:pt idx="37">
                  <c:v>0.96</c:v>
                </c:pt>
                <c:pt idx="38">
                  <c:v>0.98</c:v>
                </c:pt>
                <c:pt idx="39">
                  <c:v>1</c:v>
                </c:pt>
              </c:numCache>
            </c:numRef>
          </c:xVal>
          <c:yVal>
            <c:numRef>
              <c:f>'Pull-out(E)'!$Q$14:$Q$69</c:f>
              <c:numCache>
                <c:formatCode>0.00</c:formatCode>
                <c:ptCount val="40"/>
                <c:pt idx="0">
                  <c:v>0</c:v>
                </c:pt>
                <c:pt idx="1">
                  <c:v>88.8</c:v>
                </c:pt>
                <c:pt idx="2">
                  <c:v>305.25</c:v>
                </c:pt>
                <c:pt idx="3">
                  <c:v>349.65</c:v>
                </c:pt>
                <c:pt idx="4">
                  <c:v>399.59999999999997</c:v>
                </c:pt>
                <c:pt idx="5">
                  <c:v>427.34999999999997</c:v>
                </c:pt>
                <c:pt idx="6">
                  <c:v>444</c:v>
                </c:pt>
                <c:pt idx="7">
                  <c:v>460.65</c:v>
                </c:pt>
                <c:pt idx="8">
                  <c:v>471.75</c:v>
                </c:pt>
                <c:pt idx="9">
                  <c:v>488.4</c:v>
                </c:pt>
                <c:pt idx="10">
                  <c:v>499.5</c:v>
                </c:pt>
                <c:pt idx="11">
                  <c:v>510.59999999999997</c:v>
                </c:pt>
                <c:pt idx="12">
                  <c:v>521.69999999999993</c:v>
                </c:pt>
                <c:pt idx="13">
                  <c:v>527.25</c:v>
                </c:pt>
                <c:pt idx="14">
                  <c:v>538.35</c:v>
                </c:pt>
                <c:pt idx="15">
                  <c:v>549.44999999999993</c:v>
                </c:pt>
                <c:pt idx="16">
                  <c:v>560.54999999999995</c:v>
                </c:pt>
                <c:pt idx="17">
                  <c:v>566.1</c:v>
                </c:pt>
                <c:pt idx="18">
                  <c:v>571.65</c:v>
                </c:pt>
                <c:pt idx="19">
                  <c:v>582.75</c:v>
                </c:pt>
                <c:pt idx="20">
                  <c:v>588.29999999999995</c:v>
                </c:pt>
                <c:pt idx="21">
                  <c:v>593.85</c:v>
                </c:pt>
                <c:pt idx="22">
                  <c:v>593.85</c:v>
                </c:pt>
                <c:pt idx="23">
                  <c:v>604.94999999999993</c:v>
                </c:pt>
                <c:pt idx="24">
                  <c:v>610.5</c:v>
                </c:pt>
                <c:pt idx="25">
                  <c:v>610.5</c:v>
                </c:pt>
                <c:pt idx="26">
                  <c:v>616.04999999999995</c:v>
                </c:pt>
                <c:pt idx="27">
                  <c:v>621.6</c:v>
                </c:pt>
                <c:pt idx="28">
                  <c:v>621.6</c:v>
                </c:pt>
                <c:pt idx="29">
                  <c:v>638.25</c:v>
                </c:pt>
                <c:pt idx="30">
                  <c:v>643.79999999999995</c:v>
                </c:pt>
                <c:pt idx="31">
                  <c:v>654.9</c:v>
                </c:pt>
                <c:pt idx="32">
                  <c:v>660.44999999999993</c:v>
                </c:pt>
                <c:pt idx="33">
                  <c:v>666</c:v>
                </c:pt>
                <c:pt idx="34">
                  <c:v>671.55</c:v>
                </c:pt>
                <c:pt idx="35">
                  <c:v>682.65</c:v>
                </c:pt>
                <c:pt idx="36">
                  <c:v>688.19999999999993</c:v>
                </c:pt>
                <c:pt idx="37">
                  <c:v>693.75</c:v>
                </c:pt>
                <c:pt idx="38">
                  <c:v>699.3</c:v>
                </c:pt>
                <c:pt idx="39">
                  <c:v>693.75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7621-429F-B058-61F224C703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7493968"/>
        <c:axId val="1157519536"/>
      </c:scatterChart>
      <c:valAx>
        <c:axId val="11574939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DISPLACEMENT(cm)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out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7519536"/>
        <c:crosses val="autoZero"/>
        <c:crossBetween val="midCat"/>
      </c:valAx>
      <c:valAx>
        <c:axId val="11575195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</a:t>
                </a:r>
                <a:r>
                  <a:rPr lang="en-US" baseline="0"/>
                  <a:t> LOAD(kN)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749396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legendEntry>
      <c:layout>
        <c:manualLayout>
          <c:xMode val="edge"/>
          <c:yMode val="edge"/>
          <c:x val="0.29111373578302713"/>
          <c:y val="0.87094852726742478"/>
          <c:w val="0.51221697287839019"/>
          <c:h val="7.812554680664916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L-</a:t>
            </a:r>
            <a:r>
              <a:rPr lang="el-GR"/>
              <a:t>δ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2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gradFill>
                <a:gsLst>
                  <a:gs pos="0">
                    <a:schemeClr val="accent1">
                      <a:lumMod val="5000"/>
                      <a:lumOff val="95000"/>
                    </a:schemeClr>
                  </a:gs>
                  <a:gs pos="74000">
                    <a:schemeClr val="accent1">
                      <a:lumMod val="45000"/>
                      <a:lumOff val="55000"/>
                    </a:schemeClr>
                  </a:gs>
                  <a:gs pos="83000">
                    <a:schemeClr val="accent1">
                      <a:lumMod val="45000"/>
                      <a:lumOff val="55000"/>
                    </a:schemeClr>
                  </a:gs>
                  <a:gs pos="100000">
                    <a:schemeClr val="accent1">
                      <a:lumMod val="30000"/>
                      <a:lumOff val="70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'Pull-out(E)'!$C$115:$C$124</c:f>
              <c:numCache>
                <c:formatCode>0.00</c:formatCode>
                <c:ptCount val="10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</c:numCache>
            </c:numRef>
          </c:xVal>
          <c:yVal>
            <c:numRef>
              <c:f>'Pull-out(E)'!$E$115:$E$124</c:f>
              <c:numCache>
                <c:formatCode>0.00</c:formatCode>
                <c:ptCount val="10"/>
                <c:pt idx="0">
                  <c:v>0</c:v>
                </c:pt>
                <c:pt idx="1">
                  <c:v>44.4</c:v>
                </c:pt>
                <c:pt idx="2">
                  <c:v>72.149999999999991</c:v>
                </c:pt>
                <c:pt idx="3">
                  <c:v>116.55</c:v>
                </c:pt>
                <c:pt idx="4">
                  <c:v>116.55</c:v>
                </c:pt>
                <c:pt idx="5">
                  <c:v>122.1</c:v>
                </c:pt>
                <c:pt idx="6">
                  <c:v>127.64999999999999</c:v>
                </c:pt>
                <c:pt idx="7">
                  <c:v>133.19999999999999</c:v>
                </c:pt>
                <c:pt idx="8">
                  <c:v>133.19999999999999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3D0F-49B6-8770-4FD300E1EE6F}"/>
            </c:ext>
          </c:extLst>
        </c:ser>
        <c:ser>
          <c:idx val="1"/>
          <c:order val="1"/>
          <c:tx>
            <c:v>1.67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'Pull-out(E)'!$I$115:$I$140</c:f>
              <c:numCache>
                <c:formatCode>0.00</c:formatCode>
                <c:ptCount val="26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</c:numCache>
            </c:numRef>
          </c:xVal>
          <c:yVal>
            <c:numRef>
              <c:f>'Pull-out(E)'!$K$115:$K$140</c:f>
              <c:numCache>
                <c:formatCode>0.00</c:formatCode>
                <c:ptCount val="26"/>
                <c:pt idx="0">
                  <c:v>0</c:v>
                </c:pt>
                <c:pt idx="1">
                  <c:v>49.949999999999996</c:v>
                </c:pt>
                <c:pt idx="2">
                  <c:v>83.25</c:v>
                </c:pt>
                <c:pt idx="3">
                  <c:v>160.94999999999999</c:v>
                </c:pt>
                <c:pt idx="4">
                  <c:v>199.79999999999998</c:v>
                </c:pt>
                <c:pt idx="5">
                  <c:v>227.54999999999998</c:v>
                </c:pt>
                <c:pt idx="6">
                  <c:v>238.65</c:v>
                </c:pt>
                <c:pt idx="7">
                  <c:v>249.75</c:v>
                </c:pt>
                <c:pt idx="8">
                  <c:v>260.84999999999997</c:v>
                </c:pt>
                <c:pt idx="9">
                  <c:v>271.95</c:v>
                </c:pt>
                <c:pt idx="10">
                  <c:v>277.5</c:v>
                </c:pt>
                <c:pt idx="11">
                  <c:v>283.05</c:v>
                </c:pt>
                <c:pt idx="12">
                  <c:v>288.59999999999997</c:v>
                </c:pt>
                <c:pt idx="13">
                  <c:v>294.14999999999998</c:v>
                </c:pt>
                <c:pt idx="14">
                  <c:v>294.14999999999998</c:v>
                </c:pt>
                <c:pt idx="15">
                  <c:v>299.7</c:v>
                </c:pt>
                <c:pt idx="16">
                  <c:v>305.25</c:v>
                </c:pt>
                <c:pt idx="17">
                  <c:v>305.25</c:v>
                </c:pt>
                <c:pt idx="18">
                  <c:v>305.25</c:v>
                </c:pt>
                <c:pt idx="19">
                  <c:v>305.25</c:v>
                </c:pt>
                <c:pt idx="20">
                  <c:v>310.8</c:v>
                </c:pt>
                <c:pt idx="21">
                  <c:v>310.8</c:v>
                </c:pt>
                <c:pt idx="22">
                  <c:v>316.34999999999997</c:v>
                </c:pt>
                <c:pt idx="23">
                  <c:v>321.89999999999998</c:v>
                </c:pt>
                <c:pt idx="24">
                  <c:v>321.89999999999998</c:v>
                </c:pt>
                <c:pt idx="25">
                  <c:v>316.34999999999997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3D0F-49B6-8770-4FD300E1EE6F}"/>
            </c:ext>
          </c:extLst>
        </c:ser>
        <c:ser>
          <c:idx val="2"/>
          <c:order val="2"/>
          <c:tx>
            <c:v>2.67</c:v>
          </c:tx>
          <c:spPr>
            <a:ln w="22225" cap="rnd">
              <a:solidFill>
                <a:schemeClr val="accent3"/>
              </a:solidFill>
            </a:ln>
            <a:effectLst>
              <a:glow rad="139700">
                <a:schemeClr val="accent3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3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'Pull-out(E)'!$O$115:$O$156</c:f>
              <c:numCache>
                <c:formatCode>0.00</c:formatCode>
                <c:ptCount val="40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0.55000000000000004</c:v>
                </c:pt>
                <c:pt idx="29">
                  <c:v>0.56000000000000005</c:v>
                </c:pt>
                <c:pt idx="30">
                  <c:v>0.57999999999999996</c:v>
                </c:pt>
                <c:pt idx="31">
                  <c:v>0.6</c:v>
                </c:pt>
                <c:pt idx="32">
                  <c:v>0.62</c:v>
                </c:pt>
                <c:pt idx="33">
                  <c:v>0.64</c:v>
                </c:pt>
                <c:pt idx="34">
                  <c:v>0.65</c:v>
                </c:pt>
                <c:pt idx="35">
                  <c:v>0.66</c:v>
                </c:pt>
                <c:pt idx="36">
                  <c:v>0.68</c:v>
                </c:pt>
                <c:pt idx="37">
                  <c:v>0.70000000000000007</c:v>
                </c:pt>
                <c:pt idx="38">
                  <c:v>0.75</c:v>
                </c:pt>
                <c:pt idx="39">
                  <c:v>0.76</c:v>
                </c:pt>
              </c:numCache>
            </c:numRef>
          </c:xVal>
          <c:yVal>
            <c:numRef>
              <c:f>'Pull-out(E)'!$Q$115:$Q$156</c:f>
              <c:numCache>
                <c:formatCode>0.00</c:formatCode>
                <c:ptCount val="40"/>
                <c:pt idx="0">
                  <c:v>0</c:v>
                </c:pt>
                <c:pt idx="1">
                  <c:v>105.45</c:v>
                </c:pt>
                <c:pt idx="2">
                  <c:v>338.55</c:v>
                </c:pt>
                <c:pt idx="3">
                  <c:v>505.05</c:v>
                </c:pt>
                <c:pt idx="4">
                  <c:v>543.9</c:v>
                </c:pt>
                <c:pt idx="5">
                  <c:v>582.75</c:v>
                </c:pt>
                <c:pt idx="6">
                  <c:v>616.04999999999995</c:v>
                </c:pt>
                <c:pt idx="7">
                  <c:v>649.35</c:v>
                </c:pt>
                <c:pt idx="8">
                  <c:v>688.19999999999993</c:v>
                </c:pt>
                <c:pt idx="9">
                  <c:v>721.5</c:v>
                </c:pt>
                <c:pt idx="10">
                  <c:v>738.15</c:v>
                </c:pt>
                <c:pt idx="11">
                  <c:v>749.25</c:v>
                </c:pt>
                <c:pt idx="12">
                  <c:v>765.9</c:v>
                </c:pt>
                <c:pt idx="13">
                  <c:v>777</c:v>
                </c:pt>
                <c:pt idx="14">
                  <c:v>788.1</c:v>
                </c:pt>
                <c:pt idx="15">
                  <c:v>793.65</c:v>
                </c:pt>
                <c:pt idx="16">
                  <c:v>799.19999999999993</c:v>
                </c:pt>
                <c:pt idx="17">
                  <c:v>810.3</c:v>
                </c:pt>
                <c:pt idx="18">
                  <c:v>815.85</c:v>
                </c:pt>
                <c:pt idx="19">
                  <c:v>832.5</c:v>
                </c:pt>
                <c:pt idx="20">
                  <c:v>838.05</c:v>
                </c:pt>
                <c:pt idx="21">
                  <c:v>843.6</c:v>
                </c:pt>
                <c:pt idx="22">
                  <c:v>849.15</c:v>
                </c:pt>
                <c:pt idx="23">
                  <c:v>854.69999999999993</c:v>
                </c:pt>
                <c:pt idx="24">
                  <c:v>854.69999999999993</c:v>
                </c:pt>
                <c:pt idx="25">
                  <c:v>860.25</c:v>
                </c:pt>
                <c:pt idx="26">
                  <c:v>860.25</c:v>
                </c:pt>
                <c:pt idx="27">
                  <c:v>865.8</c:v>
                </c:pt>
                <c:pt idx="28">
                  <c:v>865.8</c:v>
                </c:pt>
                <c:pt idx="29">
                  <c:v>871.35</c:v>
                </c:pt>
                <c:pt idx="30">
                  <c:v>871.35</c:v>
                </c:pt>
                <c:pt idx="31">
                  <c:v>876.9</c:v>
                </c:pt>
                <c:pt idx="32">
                  <c:v>876.9</c:v>
                </c:pt>
                <c:pt idx="33">
                  <c:v>876.9</c:v>
                </c:pt>
                <c:pt idx="34">
                  <c:v>882.44999999999993</c:v>
                </c:pt>
                <c:pt idx="35">
                  <c:v>882.44999999999993</c:v>
                </c:pt>
                <c:pt idx="36">
                  <c:v>888</c:v>
                </c:pt>
                <c:pt idx="37">
                  <c:v>888</c:v>
                </c:pt>
                <c:pt idx="38">
                  <c:v>893.55</c:v>
                </c:pt>
                <c:pt idx="39">
                  <c:v>893.55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3D0F-49B6-8770-4FD300E1EE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7494512"/>
        <c:axId val="1157508656"/>
      </c:scatterChart>
      <c:valAx>
        <c:axId val="11574945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DISPLACEMENT(cm)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out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7508656"/>
        <c:crosses val="autoZero"/>
        <c:crossBetween val="midCat"/>
      </c:valAx>
      <c:valAx>
        <c:axId val="11575086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</a:t>
                </a:r>
                <a:r>
                  <a:rPr lang="en-US" baseline="0"/>
                  <a:t> LOAD(kN)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749451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legendEntry>
      <c:layout>
        <c:manualLayout>
          <c:xMode val="edge"/>
          <c:yMode val="edge"/>
          <c:x val="0.29111373578302713"/>
          <c:y val="0.87094852726742478"/>
          <c:w val="0.51221697287839019"/>
          <c:h val="7.812554680664916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L-</a:t>
            </a:r>
            <a:r>
              <a:rPr lang="el-GR"/>
              <a:t>δ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1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gradFill>
                <a:gsLst>
                  <a:gs pos="0">
                    <a:schemeClr val="accent1">
                      <a:lumMod val="5000"/>
                      <a:lumOff val="95000"/>
                    </a:schemeClr>
                  </a:gs>
                  <a:gs pos="74000">
                    <a:schemeClr val="accent1">
                      <a:lumMod val="45000"/>
                      <a:lumOff val="55000"/>
                    </a:schemeClr>
                  </a:gs>
                  <a:gs pos="83000">
                    <a:schemeClr val="accent1">
                      <a:lumMod val="45000"/>
                      <a:lumOff val="55000"/>
                    </a:schemeClr>
                  </a:gs>
                  <a:gs pos="100000">
                    <a:schemeClr val="accent1">
                      <a:lumMod val="30000"/>
                      <a:lumOff val="70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'Pull-out(E)'!$C$226:$C$238</c:f>
              <c:numCache>
                <c:formatCode>0.00</c:formatCode>
                <c:ptCount val="13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</c:numCache>
            </c:numRef>
          </c:xVal>
          <c:yVal>
            <c:numRef>
              <c:f>'Pull-out(E)'!$E$226:$E$238</c:f>
              <c:numCache>
                <c:formatCode>0.00</c:formatCode>
                <c:ptCount val="13"/>
                <c:pt idx="0">
                  <c:v>0</c:v>
                </c:pt>
                <c:pt idx="1">
                  <c:v>55.5</c:v>
                </c:pt>
                <c:pt idx="2">
                  <c:v>77.7</c:v>
                </c:pt>
                <c:pt idx="3">
                  <c:v>116.55</c:v>
                </c:pt>
                <c:pt idx="4">
                  <c:v>122.1</c:v>
                </c:pt>
                <c:pt idx="5">
                  <c:v>122.1</c:v>
                </c:pt>
                <c:pt idx="6">
                  <c:v>127.64999999999999</c:v>
                </c:pt>
                <c:pt idx="7">
                  <c:v>133.19999999999999</c:v>
                </c:pt>
                <c:pt idx="8">
                  <c:v>138.75</c:v>
                </c:pt>
                <c:pt idx="9">
                  <c:v>144.29999999999998</c:v>
                </c:pt>
                <c:pt idx="10">
                  <c:v>144.29999999999998</c:v>
                </c:pt>
                <c:pt idx="11">
                  <c:v>144.29999999999998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42F4-4DC2-8228-FFC79575B80C}"/>
            </c:ext>
          </c:extLst>
        </c:ser>
        <c:ser>
          <c:idx val="1"/>
          <c:order val="1"/>
          <c:tx>
            <c:v>1.67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'Pull-out(E)'!$I$226:$I$249</c:f>
              <c:numCache>
                <c:formatCode>0.00</c:formatCode>
                <c:ptCount val="24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</c:numCache>
            </c:numRef>
          </c:xVal>
          <c:yVal>
            <c:numRef>
              <c:f>'Pull-out(E)'!$K$226:$K$249</c:f>
              <c:numCache>
                <c:formatCode>0.00</c:formatCode>
                <c:ptCount val="24"/>
                <c:pt idx="0">
                  <c:v>0</c:v>
                </c:pt>
                <c:pt idx="1">
                  <c:v>66.599999999999994</c:v>
                </c:pt>
                <c:pt idx="2">
                  <c:v>105.45</c:v>
                </c:pt>
                <c:pt idx="3">
                  <c:v>172.04999999999998</c:v>
                </c:pt>
                <c:pt idx="4">
                  <c:v>222</c:v>
                </c:pt>
                <c:pt idx="5">
                  <c:v>277.5</c:v>
                </c:pt>
                <c:pt idx="6">
                  <c:v>305.25</c:v>
                </c:pt>
                <c:pt idx="7">
                  <c:v>321.89999999999998</c:v>
                </c:pt>
                <c:pt idx="8">
                  <c:v>338.55</c:v>
                </c:pt>
                <c:pt idx="9">
                  <c:v>349.65</c:v>
                </c:pt>
                <c:pt idx="10">
                  <c:v>360.75</c:v>
                </c:pt>
                <c:pt idx="11">
                  <c:v>366.3</c:v>
                </c:pt>
                <c:pt idx="12">
                  <c:v>371.84999999999997</c:v>
                </c:pt>
                <c:pt idx="13">
                  <c:v>382.95</c:v>
                </c:pt>
                <c:pt idx="14">
                  <c:v>388.5</c:v>
                </c:pt>
                <c:pt idx="15">
                  <c:v>388.5</c:v>
                </c:pt>
                <c:pt idx="16">
                  <c:v>394.05</c:v>
                </c:pt>
                <c:pt idx="17">
                  <c:v>394.05</c:v>
                </c:pt>
                <c:pt idx="18">
                  <c:v>399.59999999999997</c:v>
                </c:pt>
                <c:pt idx="19">
                  <c:v>399.59999999999997</c:v>
                </c:pt>
                <c:pt idx="20">
                  <c:v>399.59999999999997</c:v>
                </c:pt>
                <c:pt idx="21">
                  <c:v>405.15</c:v>
                </c:pt>
                <c:pt idx="22">
                  <c:v>405.15</c:v>
                </c:pt>
                <c:pt idx="23">
                  <c:v>410.7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42F4-4DC2-8228-FFC79575B80C}"/>
            </c:ext>
          </c:extLst>
        </c:ser>
        <c:ser>
          <c:idx val="2"/>
          <c:order val="2"/>
          <c:tx>
            <c:v>2.67</c:v>
          </c:tx>
          <c:spPr>
            <a:ln w="22225" cap="rnd">
              <a:solidFill>
                <a:schemeClr val="accent3"/>
              </a:solidFill>
            </a:ln>
            <a:effectLst>
              <a:glow rad="139700">
                <a:schemeClr val="accent3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3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'Pull-out(E)'!$O$226:$O$277</c:f>
              <c:numCache>
                <c:formatCode>0.00</c:formatCode>
                <c:ptCount val="52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0.55000000000000004</c:v>
                </c:pt>
                <c:pt idx="29">
                  <c:v>0.56000000000000005</c:v>
                </c:pt>
                <c:pt idx="30">
                  <c:v>0.57999999999999996</c:v>
                </c:pt>
                <c:pt idx="31">
                  <c:v>0.6</c:v>
                </c:pt>
                <c:pt idx="32">
                  <c:v>0.62</c:v>
                </c:pt>
                <c:pt idx="33">
                  <c:v>0.64</c:v>
                </c:pt>
                <c:pt idx="34">
                  <c:v>0.65</c:v>
                </c:pt>
                <c:pt idx="35">
                  <c:v>0.66</c:v>
                </c:pt>
                <c:pt idx="36">
                  <c:v>0.68</c:v>
                </c:pt>
                <c:pt idx="37">
                  <c:v>0.70000000000000007</c:v>
                </c:pt>
                <c:pt idx="38">
                  <c:v>0.72</c:v>
                </c:pt>
                <c:pt idx="39">
                  <c:v>0.74</c:v>
                </c:pt>
                <c:pt idx="40">
                  <c:v>0.75</c:v>
                </c:pt>
                <c:pt idx="41">
                  <c:v>0.76</c:v>
                </c:pt>
                <c:pt idx="42">
                  <c:v>0.78</c:v>
                </c:pt>
                <c:pt idx="43">
                  <c:v>0.8</c:v>
                </c:pt>
                <c:pt idx="44">
                  <c:v>0.82000000000000006</c:v>
                </c:pt>
                <c:pt idx="45">
                  <c:v>0.84</c:v>
                </c:pt>
                <c:pt idx="46">
                  <c:v>0.85</c:v>
                </c:pt>
                <c:pt idx="47">
                  <c:v>0.86</c:v>
                </c:pt>
                <c:pt idx="48">
                  <c:v>0.88</c:v>
                </c:pt>
                <c:pt idx="49">
                  <c:v>0.9</c:v>
                </c:pt>
                <c:pt idx="50">
                  <c:v>0.92</c:v>
                </c:pt>
                <c:pt idx="51">
                  <c:v>0.94000000000000006</c:v>
                </c:pt>
              </c:numCache>
            </c:numRef>
          </c:xVal>
          <c:yVal>
            <c:numRef>
              <c:f>'Pull-out(E)'!$Q$226:$Q$277</c:f>
              <c:numCache>
                <c:formatCode>0.00</c:formatCode>
                <c:ptCount val="52"/>
                <c:pt idx="0">
                  <c:v>0</c:v>
                </c:pt>
                <c:pt idx="1">
                  <c:v>116.55</c:v>
                </c:pt>
                <c:pt idx="2">
                  <c:v>344.09999999999997</c:v>
                </c:pt>
                <c:pt idx="3">
                  <c:v>599.4</c:v>
                </c:pt>
                <c:pt idx="4">
                  <c:v>649.35</c:v>
                </c:pt>
                <c:pt idx="5">
                  <c:v>771.44999999999993</c:v>
                </c:pt>
                <c:pt idx="6">
                  <c:v>871.35</c:v>
                </c:pt>
                <c:pt idx="7">
                  <c:v>915.75</c:v>
                </c:pt>
                <c:pt idx="8">
                  <c:v>976.8</c:v>
                </c:pt>
                <c:pt idx="9">
                  <c:v>1015.65</c:v>
                </c:pt>
                <c:pt idx="10">
                  <c:v>1043.3999999999999</c:v>
                </c:pt>
                <c:pt idx="11">
                  <c:v>1060.05</c:v>
                </c:pt>
                <c:pt idx="12">
                  <c:v>1082.25</c:v>
                </c:pt>
                <c:pt idx="13">
                  <c:v>1098.8999999999999</c:v>
                </c:pt>
                <c:pt idx="14">
                  <c:v>1110</c:v>
                </c:pt>
                <c:pt idx="15">
                  <c:v>1132.2</c:v>
                </c:pt>
                <c:pt idx="16">
                  <c:v>1143.3</c:v>
                </c:pt>
                <c:pt idx="17">
                  <c:v>1154.3999999999999</c:v>
                </c:pt>
                <c:pt idx="18">
                  <c:v>1165.5</c:v>
                </c:pt>
                <c:pt idx="19">
                  <c:v>1171.05</c:v>
                </c:pt>
                <c:pt idx="20">
                  <c:v>1187.7</c:v>
                </c:pt>
                <c:pt idx="21">
                  <c:v>1193.25</c:v>
                </c:pt>
                <c:pt idx="22">
                  <c:v>1204.3499999999999</c:v>
                </c:pt>
                <c:pt idx="23">
                  <c:v>1215.45</c:v>
                </c:pt>
                <c:pt idx="24">
                  <c:v>1221</c:v>
                </c:pt>
                <c:pt idx="25">
                  <c:v>1226.55</c:v>
                </c:pt>
                <c:pt idx="26">
                  <c:v>1232.0999999999999</c:v>
                </c:pt>
                <c:pt idx="27">
                  <c:v>1232.0999999999999</c:v>
                </c:pt>
                <c:pt idx="28">
                  <c:v>1237.6499999999999</c:v>
                </c:pt>
                <c:pt idx="29">
                  <c:v>1243.2</c:v>
                </c:pt>
                <c:pt idx="30">
                  <c:v>1248.75</c:v>
                </c:pt>
                <c:pt idx="31">
                  <c:v>1248.75</c:v>
                </c:pt>
                <c:pt idx="32">
                  <c:v>1254.3</c:v>
                </c:pt>
                <c:pt idx="33">
                  <c:v>1254.3</c:v>
                </c:pt>
                <c:pt idx="34">
                  <c:v>1259.8499999999999</c:v>
                </c:pt>
                <c:pt idx="35">
                  <c:v>1259.8499999999999</c:v>
                </c:pt>
                <c:pt idx="36">
                  <c:v>1259.8499999999999</c:v>
                </c:pt>
                <c:pt idx="37">
                  <c:v>1265.3999999999999</c:v>
                </c:pt>
                <c:pt idx="38">
                  <c:v>1265.3999999999999</c:v>
                </c:pt>
                <c:pt idx="39">
                  <c:v>1265.3999999999999</c:v>
                </c:pt>
                <c:pt idx="40">
                  <c:v>1270.95</c:v>
                </c:pt>
                <c:pt idx="41">
                  <c:v>1270.95</c:v>
                </c:pt>
                <c:pt idx="42">
                  <c:v>1270.95</c:v>
                </c:pt>
                <c:pt idx="43">
                  <c:v>1276.5</c:v>
                </c:pt>
                <c:pt idx="44">
                  <c:v>1276.5</c:v>
                </c:pt>
                <c:pt idx="45">
                  <c:v>1276.5</c:v>
                </c:pt>
                <c:pt idx="46">
                  <c:v>1282.05</c:v>
                </c:pt>
                <c:pt idx="47">
                  <c:v>1282.05</c:v>
                </c:pt>
                <c:pt idx="48">
                  <c:v>1282.05</c:v>
                </c:pt>
                <c:pt idx="49">
                  <c:v>1282.05</c:v>
                </c:pt>
                <c:pt idx="50">
                  <c:v>1287.5999999999999</c:v>
                </c:pt>
                <c:pt idx="51">
                  <c:v>1287.5999999999999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42F4-4DC2-8228-FFC79575B8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7513552"/>
        <c:axId val="1157505392"/>
      </c:scatterChart>
      <c:valAx>
        <c:axId val="11575135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DISPLACEMENT(cm)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out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7505392"/>
        <c:crosses val="autoZero"/>
        <c:crossBetween val="midCat"/>
      </c:valAx>
      <c:valAx>
        <c:axId val="1157505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</a:t>
                </a:r>
                <a:r>
                  <a:rPr lang="en-US" baseline="0"/>
                  <a:t> LOAD(kN)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751355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legendEntry>
      <c:layout>
        <c:manualLayout>
          <c:xMode val="edge"/>
          <c:yMode val="edge"/>
          <c:x val="0.29111373578302713"/>
          <c:y val="0.87094852726742478"/>
          <c:w val="0.51221697287839019"/>
          <c:h val="7.812554680664916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35/0.3/0.3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'Pull-out(E)'!$C$14:$C$21</c:f>
              <c:numCache>
                <c:formatCode>0.00</c:formatCode>
                <c:ptCount val="8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</c:numCache>
            </c:numRef>
          </c:xVal>
          <c:yVal>
            <c:numRef>
              <c:f>'Pull-out(E)'!$E$14:$E$21</c:f>
              <c:numCache>
                <c:formatCode>0.00</c:formatCode>
                <c:ptCount val="8"/>
                <c:pt idx="0">
                  <c:v>0</c:v>
                </c:pt>
                <c:pt idx="1">
                  <c:v>38.85</c:v>
                </c:pt>
                <c:pt idx="2">
                  <c:v>66.599999999999994</c:v>
                </c:pt>
                <c:pt idx="3">
                  <c:v>105.45</c:v>
                </c:pt>
                <c:pt idx="4">
                  <c:v>105.45</c:v>
                </c:pt>
                <c:pt idx="5">
                  <c:v>111</c:v>
                </c:pt>
                <c:pt idx="6">
                  <c:v>111</c:v>
                </c:pt>
                <c:pt idx="7">
                  <c:v>111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4-AE24-4732-9C73-884209CD3576}"/>
            </c:ext>
          </c:extLst>
        </c:ser>
        <c:ser>
          <c:idx val="1"/>
          <c:order val="1"/>
          <c:tx>
            <c:v>35/0.3/0.5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'Pull-out(E)'!$I$14:$I$37</c:f>
              <c:numCache>
                <c:formatCode>0.00</c:formatCode>
                <c:ptCount val="24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</c:numCache>
            </c:numRef>
          </c:xVal>
          <c:yVal>
            <c:numRef>
              <c:f>'Pull-out(E)'!$K$14:$K$37</c:f>
              <c:numCache>
                <c:formatCode>0.00</c:formatCode>
                <c:ptCount val="24"/>
                <c:pt idx="0">
                  <c:v>0</c:v>
                </c:pt>
                <c:pt idx="1">
                  <c:v>44.4</c:v>
                </c:pt>
                <c:pt idx="2">
                  <c:v>77.7</c:v>
                </c:pt>
                <c:pt idx="3">
                  <c:v>149.85</c:v>
                </c:pt>
                <c:pt idx="4">
                  <c:v>199.79999999999998</c:v>
                </c:pt>
                <c:pt idx="5">
                  <c:v>222</c:v>
                </c:pt>
                <c:pt idx="6">
                  <c:v>227.54999999999998</c:v>
                </c:pt>
                <c:pt idx="7">
                  <c:v>238.65</c:v>
                </c:pt>
                <c:pt idx="8">
                  <c:v>249.75</c:v>
                </c:pt>
                <c:pt idx="9">
                  <c:v>249.75</c:v>
                </c:pt>
                <c:pt idx="10">
                  <c:v>255.29999999999998</c:v>
                </c:pt>
                <c:pt idx="11">
                  <c:v>255.29999999999998</c:v>
                </c:pt>
                <c:pt idx="12">
                  <c:v>260.84999999999997</c:v>
                </c:pt>
                <c:pt idx="13">
                  <c:v>266.39999999999998</c:v>
                </c:pt>
                <c:pt idx="14">
                  <c:v>266.39999999999998</c:v>
                </c:pt>
                <c:pt idx="15">
                  <c:v>266.39999999999998</c:v>
                </c:pt>
                <c:pt idx="16">
                  <c:v>271.95</c:v>
                </c:pt>
                <c:pt idx="17">
                  <c:v>271.95</c:v>
                </c:pt>
                <c:pt idx="18">
                  <c:v>277.5</c:v>
                </c:pt>
                <c:pt idx="19">
                  <c:v>277.5</c:v>
                </c:pt>
                <c:pt idx="20">
                  <c:v>283.05</c:v>
                </c:pt>
                <c:pt idx="21">
                  <c:v>283.05</c:v>
                </c:pt>
                <c:pt idx="22">
                  <c:v>288.59999999999997</c:v>
                </c:pt>
                <c:pt idx="23">
                  <c:v>288.59999999999997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7-AE24-4732-9C73-884209CD3576}"/>
            </c:ext>
          </c:extLst>
        </c:ser>
        <c:ser>
          <c:idx val="2"/>
          <c:order val="2"/>
          <c:tx>
            <c:v>35/0.3/0.8</c:v>
          </c:tx>
          <c:spPr>
            <a:ln w="22225" cap="rnd">
              <a:solidFill>
                <a:schemeClr val="accent3"/>
              </a:solidFill>
            </a:ln>
            <a:effectLst>
              <a:glow rad="139700">
                <a:schemeClr val="accent3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3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'Pull-out(E)'!$O$14:$O$69</c:f>
              <c:numCache>
                <c:formatCode>0.00</c:formatCode>
                <c:ptCount val="40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0.55000000000000004</c:v>
                </c:pt>
                <c:pt idx="29">
                  <c:v>0.6</c:v>
                </c:pt>
                <c:pt idx="30">
                  <c:v>0.65</c:v>
                </c:pt>
                <c:pt idx="31">
                  <c:v>0.70000000000000007</c:v>
                </c:pt>
                <c:pt idx="32">
                  <c:v>0.75</c:v>
                </c:pt>
                <c:pt idx="33">
                  <c:v>0.8</c:v>
                </c:pt>
                <c:pt idx="34">
                  <c:v>0.85</c:v>
                </c:pt>
                <c:pt idx="35">
                  <c:v>0.9</c:v>
                </c:pt>
                <c:pt idx="36">
                  <c:v>0.95000000000000007</c:v>
                </c:pt>
                <c:pt idx="37">
                  <c:v>0.96</c:v>
                </c:pt>
                <c:pt idx="38">
                  <c:v>0.98</c:v>
                </c:pt>
                <c:pt idx="39">
                  <c:v>1</c:v>
                </c:pt>
              </c:numCache>
            </c:numRef>
          </c:xVal>
          <c:yVal>
            <c:numRef>
              <c:f>'Pull-out(E)'!$Q$14:$Q$69</c:f>
              <c:numCache>
                <c:formatCode>0.00</c:formatCode>
                <c:ptCount val="40"/>
                <c:pt idx="0">
                  <c:v>0</c:v>
                </c:pt>
                <c:pt idx="1">
                  <c:v>88.8</c:v>
                </c:pt>
                <c:pt idx="2">
                  <c:v>305.25</c:v>
                </c:pt>
                <c:pt idx="3">
                  <c:v>349.65</c:v>
                </c:pt>
                <c:pt idx="4">
                  <c:v>399.59999999999997</c:v>
                </c:pt>
                <c:pt idx="5">
                  <c:v>427.34999999999997</c:v>
                </c:pt>
                <c:pt idx="6">
                  <c:v>444</c:v>
                </c:pt>
                <c:pt idx="7">
                  <c:v>460.65</c:v>
                </c:pt>
                <c:pt idx="8">
                  <c:v>471.75</c:v>
                </c:pt>
                <c:pt idx="9">
                  <c:v>488.4</c:v>
                </c:pt>
                <c:pt idx="10">
                  <c:v>499.5</c:v>
                </c:pt>
                <c:pt idx="11">
                  <c:v>510.59999999999997</c:v>
                </c:pt>
                <c:pt idx="12">
                  <c:v>521.69999999999993</c:v>
                </c:pt>
                <c:pt idx="13">
                  <c:v>527.25</c:v>
                </c:pt>
                <c:pt idx="14">
                  <c:v>538.35</c:v>
                </c:pt>
                <c:pt idx="15">
                  <c:v>549.44999999999993</c:v>
                </c:pt>
                <c:pt idx="16">
                  <c:v>560.54999999999995</c:v>
                </c:pt>
                <c:pt idx="17">
                  <c:v>566.1</c:v>
                </c:pt>
                <c:pt idx="18">
                  <c:v>571.65</c:v>
                </c:pt>
                <c:pt idx="19">
                  <c:v>582.75</c:v>
                </c:pt>
                <c:pt idx="20">
                  <c:v>588.29999999999995</c:v>
                </c:pt>
                <c:pt idx="21">
                  <c:v>593.85</c:v>
                </c:pt>
                <c:pt idx="22">
                  <c:v>593.85</c:v>
                </c:pt>
                <c:pt idx="23">
                  <c:v>604.94999999999993</c:v>
                </c:pt>
                <c:pt idx="24">
                  <c:v>610.5</c:v>
                </c:pt>
                <c:pt idx="25">
                  <c:v>610.5</c:v>
                </c:pt>
                <c:pt idx="26">
                  <c:v>616.04999999999995</c:v>
                </c:pt>
                <c:pt idx="27">
                  <c:v>621.6</c:v>
                </c:pt>
                <c:pt idx="28">
                  <c:v>621.6</c:v>
                </c:pt>
                <c:pt idx="29">
                  <c:v>638.25</c:v>
                </c:pt>
                <c:pt idx="30">
                  <c:v>643.79999999999995</c:v>
                </c:pt>
                <c:pt idx="31">
                  <c:v>654.9</c:v>
                </c:pt>
                <c:pt idx="32">
                  <c:v>660.44999999999993</c:v>
                </c:pt>
                <c:pt idx="33">
                  <c:v>666</c:v>
                </c:pt>
                <c:pt idx="34">
                  <c:v>671.55</c:v>
                </c:pt>
                <c:pt idx="35">
                  <c:v>682.65</c:v>
                </c:pt>
                <c:pt idx="36">
                  <c:v>688.19999999999993</c:v>
                </c:pt>
                <c:pt idx="37">
                  <c:v>693.75</c:v>
                </c:pt>
                <c:pt idx="38">
                  <c:v>699.3</c:v>
                </c:pt>
                <c:pt idx="39">
                  <c:v>693.75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8-AE24-4732-9C73-884209CD3576}"/>
            </c:ext>
          </c:extLst>
        </c:ser>
        <c:ser>
          <c:idx val="3"/>
          <c:order val="3"/>
          <c:tx>
            <c:v>60/0.3/0.3</c:v>
          </c:tx>
          <c:spPr>
            <a:ln w="22225" cap="rnd">
              <a:solidFill>
                <a:schemeClr val="accent4"/>
              </a:solidFill>
            </a:ln>
            <a:effectLst>
              <a:glow rad="139700">
                <a:schemeClr val="accent4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4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'Pull-out(E)'!$C$115:$C$123</c:f>
              <c:numCache>
                <c:formatCode>0.00</c:formatCode>
                <c:ptCount val="9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</c:numCache>
            </c:numRef>
          </c:xVal>
          <c:yVal>
            <c:numRef>
              <c:f>'Pull-out(E)'!$E$115:$E$123</c:f>
              <c:numCache>
                <c:formatCode>0.00</c:formatCode>
                <c:ptCount val="9"/>
                <c:pt idx="0">
                  <c:v>0</c:v>
                </c:pt>
                <c:pt idx="1">
                  <c:v>44.4</c:v>
                </c:pt>
                <c:pt idx="2">
                  <c:v>72.149999999999991</c:v>
                </c:pt>
                <c:pt idx="3">
                  <c:v>116.55</c:v>
                </c:pt>
                <c:pt idx="4">
                  <c:v>116.55</c:v>
                </c:pt>
                <c:pt idx="5">
                  <c:v>122.1</c:v>
                </c:pt>
                <c:pt idx="6">
                  <c:v>127.64999999999999</c:v>
                </c:pt>
                <c:pt idx="7">
                  <c:v>133.19999999999999</c:v>
                </c:pt>
                <c:pt idx="8">
                  <c:v>133.19999999999999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9-AE24-4732-9C73-884209CD3576}"/>
            </c:ext>
          </c:extLst>
        </c:ser>
        <c:ser>
          <c:idx val="4"/>
          <c:order val="4"/>
          <c:tx>
            <c:v>60/0.3/0.5</c:v>
          </c:tx>
          <c:spPr>
            <a:ln w="22225" cap="rnd">
              <a:solidFill>
                <a:schemeClr val="accent5"/>
              </a:solidFill>
            </a:ln>
            <a:effectLst>
              <a:glow rad="139700">
                <a:schemeClr val="accent5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5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'Pull-out(E)'!$I$115:$I$140</c:f>
              <c:numCache>
                <c:formatCode>0.00</c:formatCode>
                <c:ptCount val="26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</c:numCache>
            </c:numRef>
          </c:xVal>
          <c:yVal>
            <c:numRef>
              <c:f>'Pull-out(E)'!$K$115:$K$140</c:f>
              <c:numCache>
                <c:formatCode>0.00</c:formatCode>
                <c:ptCount val="26"/>
                <c:pt idx="0">
                  <c:v>0</c:v>
                </c:pt>
                <c:pt idx="1">
                  <c:v>49.949999999999996</c:v>
                </c:pt>
                <c:pt idx="2">
                  <c:v>83.25</c:v>
                </c:pt>
                <c:pt idx="3">
                  <c:v>160.94999999999999</c:v>
                </c:pt>
                <c:pt idx="4">
                  <c:v>199.79999999999998</c:v>
                </c:pt>
                <c:pt idx="5">
                  <c:v>227.54999999999998</c:v>
                </c:pt>
                <c:pt idx="6">
                  <c:v>238.65</c:v>
                </c:pt>
                <c:pt idx="7">
                  <c:v>249.75</c:v>
                </c:pt>
                <c:pt idx="8">
                  <c:v>260.84999999999997</c:v>
                </c:pt>
                <c:pt idx="9">
                  <c:v>271.95</c:v>
                </c:pt>
                <c:pt idx="10">
                  <c:v>277.5</c:v>
                </c:pt>
                <c:pt idx="11">
                  <c:v>283.05</c:v>
                </c:pt>
                <c:pt idx="12">
                  <c:v>288.59999999999997</c:v>
                </c:pt>
                <c:pt idx="13">
                  <c:v>294.14999999999998</c:v>
                </c:pt>
                <c:pt idx="14">
                  <c:v>294.14999999999998</c:v>
                </c:pt>
                <c:pt idx="15">
                  <c:v>299.7</c:v>
                </c:pt>
                <c:pt idx="16">
                  <c:v>305.25</c:v>
                </c:pt>
                <c:pt idx="17">
                  <c:v>305.25</c:v>
                </c:pt>
                <c:pt idx="18">
                  <c:v>305.25</c:v>
                </c:pt>
                <c:pt idx="19">
                  <c:v>305.25</c:v>
                </c:pt>
                <c:pt idx="20">
                  <c:v>310.8</c:v>
                </c:pt>
                <c:pt idx="21">
                  <c:v>310.8</c:v>
                </c:pt>
                <c:pt idx="22">
                  <c:v>316.34999999999997</c:v>
                </c:pt>
                <c:pt idx="23">
                  <c:v>321.89999999999998</c:v>
                </c:pt>
                <c:pt idx="24">
                  <c:v>321.89999999999998</c:v>
                </c:pt>
                <c:pt idx="25">
                  <c:v>316.34999999999997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A-AE24-4732-9C73-884209CD3576}"/>
            </c:ext>
          </c:extLst>
        </c:ser>
        <c:ser>
          <c:idx val="5"/>
          <c:order val="5"/>
          <c:tx>
            <c:v>60/0.3/0.8</c:v>
          </c:tx>
          <c:spPr>
            <a:ln w="22225" cap="rnd">
              <a:solidFill>
                <a:schemeClr val="accent6"/>
              </a:solidFill>
            </a:ln>
            <a:effectLst>
              <a:glow rad="139700">
                <a:schemeClr val="accent6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6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'Pull-out(E)'!$O$115:$O$171</c:f>
              <c:numCache>
                <c:formatCode>0.00</c:formatCode>
                <c:ptCount val="55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0.55000000000000004</c:v>
                </c:pt>
                <c:pt idx="29">
                  <c:v>0.56000000000000005</c:v>
                </c:pt>
                <c:pt idx="30">
                  <c:v>0.57999999999999996</c:v>
                </c:pt>
                <c:pt idx="31">
                  <c:v>0.6</c:v>
                </c:pt>
                <c:pt idx="32">
                  <c:v>0.62</c:v>
                </c:pt>
                <c:pt idx="33">
                  <c:v>0.64</c:v>
                </c:pt>
                <c:pt idx="34">
                  <c:v>0.65</c:v>
                </c:pt>
                <c:pt idx="35">
                  <c:v>0.66</c:v>
                </c:pt>
                <c:pt idx="36">
                  <c:v>0.68</c:v>
                </c:pt>
                <c:pt idx="37">
                  <c:v>0.70000000000000007</c:v>
                </c:pt>
                <c:pt idx="38">
                  <c:v>0.75</c:v>
                </c:pt>
                <c:pt idx="39">
                  <c:v>0.76</c:v>
                </c:pt>
                <c:pt idx="40">
                  <c:v>0.78</c:v>
                </c:pt>
                <c:pt idx="41">
                  <c:v>0.8</c:v>
                </c:pt>
                <c:pt idx="42">
                  <c:v>0.82000000000000006</c:v>
                </c:pt>
                <c:pt idx="43">
                  <c:v>0.84</c:v>
                </c:pt>
                <c:pt idx="44">
                  <c:v>0.85</c:v>
                </c:pt>
                <c:pt idx="45">
                  <c:v>0.86</c:v>
                </c:pt>
                <c:pt idx="46">
                  <c:v>0.88</c:v>
                </c:pt>
                <c:pt idx="47">
                  <c:v>0.9</c:v>
                </c:pt>
                <c:pt idx="48">
                  <c:v>0.92</c:v>
                </c:pt>
                <c:pt idx="49">
                  <c:v>0.94000000000000006</c:v>
                </c:pt>
                <c:pt idx="50">
                  <c:v>0.95000000000000007</c:v>
                </c:pt>
                <c:pt idx="51">
                  <c:v>0.96</c:v>
                </c:pt>
                <c:pt idx="52">
                  <c:v>0.98</c:v>
                </c:pt>
                <c:pt idx="53">
                  <c:v>1</c:v>
                </c:pt>
                <c:pt idx="54">
                  <c:v>1.02</c:v>
                </c:pt>
              </c:numCache>
            </c:numRef>
          </c:xVal>
          <c:yVal>
            <c:numRef>
              <c:f>'Pull-out(E)'!$Q$115:$Q$171</c:f>
              <c:numCache>
                <c:formatCode>0.00</c:formatCode>
                <c:ptCount val="55"/>
                <c:pt idx="0">
                  <c:v>0</c:v>
                </c:pt>
                <c:pt idx="1">
                  <c:v>105.45</c:v>
                </c:pt>
                <c:pt idx="2">
                  <c:v>338.55</c:v>
                </c:pt>
                <c:pt idx="3">
                  <c:v>505.05</c:v>
                </c:pt>
                <c:pt idx="4">
                  <c:v>543.9</c:v>
                </c:pt>
                <c:pt idx="5">
                  <c:v>582.75</c:v>
                </c:pt>
                <c:pt idx="6">
                  <c:v>616.04999999999995</c:v>
                </c:pt>
                <c:pt idx="7">
                  <c:v>649.35</c:v>
                </c:pt>
                <c:pt idx="8">
                  <c:v>688.19999999999993</c:v>
                </c:pt>
                <c:pt idx="9">
                  <c:v>721.5</c:v>
                </c:pt>
                <c:pt idx="10">
                  <c:v>738.15</c:v>
                </c:pt>
                <c:pt idx="11">
                  <c:v>749.25</c:v>
                </c:pt>
                <c:pt idx="12">
                  <c:v>765.9</c:v>
                </c:pt>
                <c:pt idx="13">
                  <c:v>777</c:v>
                </c:pt>
                <c:pt idx="14">
                  <c:v>788.1</c:v>
                </c:pt>
                <c:pt idx="15">
                  <c:v>793.65</c:v>
                </c:pt>
                <c:pt idx="16">
                  <c:v>799.19999999999993</c:v>
                </c:pt>
                <c:pt idx="17">
                  <c:v>810.3</c:v>
                </c:pt>
                <c:pt idx="18">
                  <c:v>815.85</c:v>
                </c:pt>
                <c:pt idx="19">
                  <c:v>832.5</c:v>
                </c:pt>
                <c:pt idx="20">
                  <c:v>838.05</c:v>
                </c:pt>
                <c:pt idx="21">
                  <c:v>843.6</c:v>
                </c:pt>
                <c:pt idx="22">
                  <c:v>849.15</c:v>
                </c:pt>
                <c:pt idx="23">
                  <c:v>854.69999999999993</c:v>
                </c:pt>
                <c:pt idx="24">
                  <c:v>854.69999999999993</c:v>
                </c:pt>
                <c:pt idx="25">
                  <c:v>860.25</c:v>
                </c:pt>
                <c:pt idx="26">
                  <c:v>860.25</c:v>
                </c:pt>
                <c:pt idx="27">
                  <c:v>865.8</c:v>
                </c:pt>
                <c:pt idx="28">
                  <c:v>865.8</c:v>
                </c:pt>
                <c:pt idx="29">
                  <c:v>871.35</c:v>
                </c:pt>
                <c:pt idx="30">
                  <c:v>871.35</c:v>
                </c:pt>
                <c:pt idx="31">
                  <c:v>876.9</c:v>
                </c:pt>
                <c:pt idx="32">
                  <c:v>876.9</c:v>
                </c:pt>
                <c:pt idx="33">
                  <c:v>876.9</c:v>
                </c:pt>
                <c:pt idx="34">
                  <c:v>882.44999999999993</c:v>
                </c:pt>
                <c:pt idx="35">
                  <c:v>882.44999999999993</c:v>
                </c:pt>
                <c:pt idx="36">
                  <c:v>888</c:v>
                </c:pt>
                <c:pt idx="37">
                  <c:v>888</c:v>
                </c:pt>
                <c:pt idx="38">
                  <c:v>893.55</c:v>
                </c:pt>
                <c:pt idx="39">
                  <c:v>893.55</c:v>
                </c:pt>
                <c:pt idx="40">
                  <c:v>893.55</c:v>
                </c:pt>
                <c:pt idx="41">
                  <c:v>899.1</c:v>
                </c:pt>
                <c:pt idx="42">
                  <c:v>899.1</c:v>
                </c:pt>
                <c:pt idx="43">
                  <c:v>899.1</c:v>
                </c:pt>
                <c:pt idx="44">
                  <c:v>899.1</c:v>
                </c:pt>
                <c:pt idx="45">
                  <c:v>904.65</c:v>
                </c:pt>
                <c:pt idx="46">
                  <c:v>904.65</c:v>
                </c:pt>
                <c:pt idx="47">
                  <c:v>904.65</c:v>
                </c:pt>
                <c:pt idx="48">
                  <c:v>904.65</c:v>
                </c:pt>
                <c:pt idx="49">
                  <c:v>910.19999999999993</c:v>
                </c:pt>
                <c:pt idx="50">
                  <c:v>910.19999999999993</c:v>
                </c:pt>
                <c:pt idx="51">
                  <c:v>910.19999999999993</c:v>
                </c:pt>
                <c:pt idx="52">
                  <c:v>915.75</c:v>
                </c:pt>
                <c:pt idx="53">
                  <c:v>915.75</c:v>
                </c:pt>
                <c:pt idx="54">
                  <c:v>915.75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AE24-4732-9C73-884209CD3576}"/>
            </c:ext>
          </c:extLst>
        </c:ser>
        <c:ser>
          <c:idx val="6"/>
          <c:order val="6"/>
          <c:tx>
            <c:v>80/0.3/0.3</c:v>
          </c:tx>
          <c:spPr>
            <a:ln w="22225" cap="rnd">
              <a:solidFill>
                <a:schemeClr val="accent1">
                  <a:lumMod val="60000"/>
                </a:schemeClr>
              </a:solidFill>
            </a:ln>
            <a:effectLst>
              <a:glow rad="139700">
                <a:schemeClr val="accent1">
                  <a:lumMod val="60000"/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lumMod val="60000"/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'Pull-out(E)'!$C$226:$C$237</c:f>
              <c:numCache>
                <c:formatCode>0.00</c:formatCode>
                <c:ptCount val="12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</c:numCache>
            </c:numRef>
          </c:xVal>
          <c:yVal>
            <c:numRef>
              <c:f>'Pull-out(E)'!$E$226:$E$237</c:f>
              <c:numCache>
                <c:formatCode>0.00</c:formatCode>
                <c:ptCount val="12"/>
                <c:pt idx="0">
                  <c:v>0</c:v>
                </c:pt>
                <c:pt idx="1">
                  <c:v>55.5</c:v>
                </c:pt>
                <c:pt idx="2">
                  <c:v>77.7</c:v>
                </c:pt>
                <c:pt idx="3">
                  <c:v>116.55</c:v>
                </c:pt>
                <c:pt idx="4">
                  <c:v>122.1</c:v>
                </c:pt>
                <c:pt idx="5">
                  <c:v>122.1</c:v>
                </c:pt>
                <c:pt idx="6">
                  <c:v>127.64999999999999</c:v>
                </c:pt>
                <c:pt idx="7">
                  <c:v>133.19999999999999</c:v>
                </c:pt>
                <c:pt idx="8">
                  <c:v>138.75</c:v>
                </c:pt>
                <c:pt idx="9">
                  <c:v>144.29999999999998</c:v>
                </c:pt>
                <c:pt idx="10">
                  <c:v>144.29999999999998</c:v>
                </c:pt>
                <c:pt idx="11">
                  <c:v>144.29999999999998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C-AE24-4732-9C73-884209CD3576}"/>
            </c:ext>
          </c:extLst>
        </c:ser>
        <c:ser>
          <c:idx val="7"/>
          <c:order val="7"/>
          <c:tx>
            <c:v>80/0.3/0.5</c:v>
          </c:tx>
          <c:spPr>
            <a:ln w="22225" cap="rnd">
              <a:solidFill>
                <a:schemeClr val="accent2">
                  <a:lumMod val="60000"/>
                </a:schemeClr>
              </a:solidFill>
            </a:ln>
            <a:effectLst>
              <a:glow rad="139700">
                <a:schemeClr val="accent2">
                  <a:lumMod val="60000"/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lumMod val="60000"/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'Pull-out(E)'!$I$226:$I$251</c:f>
              <c:numCache>
                <c:formatCode>0.00</c:formatCode>
                <c:ptCount val="26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</c:numCache>
            </c:numRef>
          </c:xVal>
          <c:yVal>
            <c:numRef>
              <c:f>'Pull-out(E)'!$K$226:$K$251</c:f>
              <c:numCache>
                <c:formatCode>0.00</c:formatCode>
                <c:ptCount val="26"/>
                <c:pt idx="0">
                  <c:v>0</c:v>
                </c:pt>
                <c:pt idx="1">
                  <c:v>66.599999999999994</c:v>
                </c:pt>
                <c:pt idx="2">
                  <c:v>105.45</c:v>
                </c:pt>
                <c:pt idx="3">
                  <c:v>172.04999999999998</c:v>
                </c:pt>
                <c:pt idx="4">
                  <c:v>222</c:v>
                </c:pt>
                <c:pt idx="5">
                  <c:v>277.5</c:v>
                </c:pt>
                <c:pt idx="6">
                  <c:v>305.25</c:v>
                </c:pt>
                <c:pt idx="7">
                  <c:v>321.89999999999998</c:v>
                </c:pt>
                <c:pt idx="8">
                  <c:v>338.55</c:v>
                </c:pt>
                <c:pt idx="9">
                  <c:v>349.65</c:v>
                </c:pt>
                <c:pt idx="10">
                  <c:v>360.75</c:v>
                </c:pt>
                <c:pt idx="11">
                  <c:v>366.3</c:v>
                </c:pt>
                <c:pt idx="12">
                  <c:v>371.84999999999997</c:v>
                </c:pt>
                <c:pt idx="13">
                  <c:v>382.95</c:v>
                </c:pt>
                <c:pt idx="14">
                  <c:v>388.5</c:v>
                </c:pt>
                <c:pt idx="15">
                  <c:v>388.5</c:v>
                </c:pt>
                <c:pt idx="16">
                  <c:v>394.05</c:v>
                </c:pt>
                <c:pt idx="17">
                  <c:v>394.05</c:v>
                </c:pt>
                <c:pt idx="18">
                  <c:v>399.59999999999997</c:v>
                </c:pt>
                <c:pt idx="19">
                  <c:v>399.59999999999997</c:v>
                </c:pt>
                <c:pt idx="20">
                  <c:v>399.59999999999997</c:v>
                </c:pt>
                <c:pt idx="21">
                  <c:v>405.15</c:v>
                </c:pt>
                <c:pt idx="22">
                  <c:v>405.15</c:v>
                </c:pt>
                <c:pt idx="23">
                  <c:v>410.7</c:v>
                </c:pt>
                <c:pt idx="24">
                  <c:v>410.7</c:v>
                </c:pt>
                <c:pt idx="25">
                  <c:v>410.7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D-AE24-4732-9C73-884209CD3576}"/>
            </c:ext>
          </c:extLst>
        </c:ser>
        <c:ser>
          <c:idx val="8"/>
          <c:order val="8"/>
          <c:tx>
            <c:v>80/0.3/0.8</c:v>
          </c:tx>
          <c:spPr>
            <a:ln w="22225" cap="rnd">
              <a:solidFill>
                <a:schemeClr val="accent3">
                  <a:lumMod val="60000"/>
                </a:schemeClr>
              </a:solidFill>
            </a:ln>
            <a:effectLst>
              <a:glow rad="139700">
                <a:schemeClr val="accent3">
                  <a:lumMod val="60000"/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3">
                  <a:lumMod val="60000"/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3">
                    <a:lumMod val="60000"/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'Pull-out(E)'!$O$226:$O$285</c:f>
              <c:numCache>
                <c:formatCode>0.00</c:formatCode>
                <c:ptCount val="60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0.55000000000000004</c:v>
                </c:pt>
                <c:pt idx="29">
                  <c:v>0.56000000000000005</c:v>
                </c:pt>
                <c:pt idx="30">
                  <c:v>0.57999999999999996</c:v>
                </c:pt>
                <c:pt idx="31">
                  <c:v>0.6</c:v>
                </c:pt>
                <c:pt idx="32">
                  <c:v>0.62</c:v>
                </c:pt>
                <c:pt idx="33">
                  <c:v>0.64</c:v>
                </c:pt>
                <c:pt idx="34">
                  <c:v>0.65</c:v>
                </c:pt>
                <c:pt idx="35">
                  <c:v>0.66</c:v>
                </c:pt>
                <c:pt idx="36">
                  <c:v>0.68</c:v>
                </c:pt>
                <c:pt idx="37">
                  <c:v>0.70000000000000007</c:v>
                </c:pt>
                <c:pt idx="38">
                  <c:v>0.72</c:v>
                </c:pt>
                <c:pt idx="39">
                  <c:v>0.74</c:v>
                </c:pt>
                <c:pt idx="40">
                  <c:v>0.75</c:v>
                </c:pt>
                <c:pt idx="41">
                  <c:v>0.76</c:v>
                </c:pt>
                <c:pt idx="42">
                  <c:v>0.78</c:v>
                </c:pt>
                <c:pt idx="43">
                  <c:v>0.8</c:v>
                </c:pt>
                <c:pt idx="44">
                  <c:v>0.82000000000000006</c:v>
                </c:pt>
                <c:pt idx="45">
                  <c:v>0.84</c:v>
                </c:pt>
                <c:pt idx="46">
                  <c:v>0.85</c:v>
                </c:pt>
                <c:pt idx="47">
                  <c:v>0.86</c:v>
                </c:pt>
                <c:pt idx="48">
                  <c:v>0.88</c:v>
                </c:pt>
                <c:pt idx="49">
                  <c:v>0.9</c:v>
                </c:pt>
                <c:pt idx="50">
                  <c:v>0.92</c:v>
                </c:pt>
                <c:pt idx="51">
                  <c:v>0.94000000000000006</c:v>
                </c:pt>
                <c:pt idx="52">
                  <c:v>0.96</c:v>
                </c:pt>
                <c:pt idx="53">
                  <c:v>0.98</c:v>
                </c:pt>
                <c:pt idx="54">
                  <c:v>1</c:v>
                </c:pt>
                <c:pt idx="55">
                  <c:v>1.02</c:v>
                </c:pt>
                <c:pt idx="56">
                  <c:v>1.04</c:v>
                </c:pt>
                <c:pt idx="57">
                  <c:v>1.05</c:v>
                </c:pt>
                <c:pt idx="58">
                  <c:v>1.06</c:v>
                </c:pt>
                <c:pt idx="59">
                  <c:v>1.08</c:v>
                </c:pt>
              </c:numCache>
            </c:numRef>
          </c:xVal>
          <c:yVal>
            <c:numRef>
              <c:f>'Pull-out(E)'!$Q$226:$Q$285</c:f>
              <c:numCache>
                <c:formatCode>0.00</c:formatCode>
                <c:ptCount val="60"/>
                <c:pt idx="0">
                  <c:v>0</c:v>
                </c:pt>
                <c:pt idx="1">
                  <c:v>116.55</c:v>
                </c:pt>
                <c:pt idx="2">
                  <c:v>344.09999999999997</c:v>
                </c:pt>
                <c:pt idx="3">
                  <c:v>599.4</c:v>
                </c:pt>
                <c:pt idx="4">
                  <c:v>649.35</c:v>
                </c:pt>
                <c:pt idx="5">
                  <c:v>771.44999999999993</c:v>
                </c:pt>
                <c:pt idx="6">
                  <c:v>871.35</c:v>
                </c:pt>
                <c:pt idx="7">
                  <c:v>915.75</c:v>
                </c:pt>
                <c:pt idx="8">
                  <c:v>976.8</c:v>
                </c:pt>
                <c:pt idx="9">
                  <c:v>1015.65</c:v>
                </c:pt>
                <c:pt idx="10">
                  <c:v>1043.3999999999999</c:v>
                </c:pt>
                <c:pt idx="11">
                  <c:v>1060.05</c:v>
                </c:pt>
                <c:pt idx="12">
                  <c:v>1082.25</c:v>
                </c:pt>
                <c:pt idx="13">
                  <c:v>1098.8999999999999</c:v>
                </c:pt>
                <c:pt idx="14">
                  <c:v>1110</c:v>
                </c:pt>
                <c:pt idx="15">
                  <c:v>1132.2</c:v>
                </c:pt>
                <c:pt idx="16">
                  <c:v>1143.3</c:v>
                </c:pt>
                <c:pt idx="17">
                  <c:v>1154.3999999999999</c:v>
                </c:pt>
                <c:pt idx="18">
                  <c:v>1165.5</c:v>
                </c:pt>
                <c:pt idx="19">
                  <c:v>1171.05</c:v>
                </c:pt>
                <c:pt idx="20">
                  <c:v>1187.7</c:v>
                </c:pt>
                <c:pt idx="21">
                  <c:v>1193.25</c:v>
                </c:pt>
                <c:pt idx="22">
                  <c:v>1204.3499999999999</c:v>
                </c:pt>
                <c:pt idx="23">
                  <c:v>1215.45</c:v>
                </c:pt>
                <c:pt idx="24">
                  <c:v>1221</c:v>
                </c:pt>
                <c:pt idx="25">
                  <c:v>1226.55</c:v>
                </c:pt>
                <c:pt idx="26">
                  <c:v>1232.0999999999999</c:v>
                </c:pt>
                <c:pt idx="27">
                  <c:v>1232.0999999999999</c:v>
                </c:pt>
                <c:pt idx="28">
                  <c:v>1237.6499999999999</c:v>
                </c:pt>
                <c:pt idx="29">
                  <c:v>1243.2</c:v>
                </c:pt>
                <c:pt idx="30">
                  <c:v>1248.75</c:v>
                </c:pt>
                <c:pt idx="31">
                  <c:v>1248.75</c:v>
                </c:pt>
                <c:pt idx="32">
                  <c:v>1254.3</c:v>
                </c:pt>
                <c:pt idx="33">
                  <c:v>1254.3</c:v>
                </c:pt>
                <c:pt idx="34">
                  <c:v>1259.8499999999999</c:v>
                </c:pt>
                <c:pt idx="35">
                  <c:v>1259.8499999999999</c:v>
                </c:pt>
                <c:pt idx="36">
                  <c:v>1259.8499999999999</c:v>
                </c:pt>
                <c:pt idx="37">
                  <c:v>1265.3999999999999</c:v>
                </c:pt>
                <c:pt idx="38">
                  <c:v>1265.3999999999999</c:v>
                </c:pt>
                <c:pt idx="39">
                  <c:v>1265.3999999999999</c:v>
                </c:pt>
                <c:pt idx="40">
                  <c:v>1270.95</c:v>
                </c:pt>
                <c:pt idx="41">
                  <c:v>1270.95</c:v>
                </c:pt>
                <c:pt idx="42">
                  <c:v>1270.95</c:v>
                </c:pt>
                <c:pt idx="43">
                  <c:v>1276.5</c:v>
                </c:pt>
                <c:pt idx="44">
                  <c:v>1276.5</c:v>
                </c:pt>
                <c:pt idx="45">
                  <c:v>1276.5</c:v>
                </c:pt>
                <c:pt idx="46">
                  <c:v>1282.05</c:v>
                </c:pt>
                <c:pt idx="47">
                  <c:v>1282.05</c:v>
                </c:pt>
                <c:pt idx="48">
                  <c:v>1282.05</c:v>
                </c:pt>
                <c:pt idx="49">
                  <c:v>1282.05</c:v>
                </c:pt>
                <c:pt idx="50">
                  <c:v>1287.5999999999999</c:v>
                </c:pt>
                <c:pt idx="51">
                  <c:v>1287.5999999999999</c:v>
                </c:pt>
                <c:pt idx="52">
                  <c:v>1287.5999999999999</c:v>
                </c:pt>
                <c:pt idx="53">
                  <c:v>1293.1499999999999</c:v>
                </c:pt>
                <c:pt idx="54">
                  <c:v>1293.1499999999999</c:v>
                </c:pt>
                <c:pt idx="55">
                  <c:v>1293.1499999999999</c:v>
                </c:pt>
                <c:pt idx="56">
                  <c:v>1293.1499999999999</c:v>
                </c:pt>
                <c:pt idx="57">
                  <c:v>1298.7</c:v>
                </c:pt>
                <c:pt idx="58">
                  <c:v>1298.7</c:v>
                </c:pt>
                <c:pt idx="59">
                  <c:v>1298.7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AE24-4732-9C73-884209CD35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7522256"/>
        <c:axId val="1157515184"/>
      </c:scatterChart>
      <c:valAx>
        <c:axId val="11575222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DISPLACEMENT(cm)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7515184"/>
        <c:crosses val="autoZero"/>
        <c:crossBetween val="midCat"/>
      </c:valAx>
      <c:valAx>
        <c:axId val="11575151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LOAD(kg)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752225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2722484689413822"/>
          <c:y val="0.86631889763779524"/>
          <c:w val="0.67277518481291398"/>
          <c:h val="0.1336812887896266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35/0.15/0.3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'Pull-out(E)'!$U$14:$U$22</c:f>
              <c:numCache>
                <c:formatCode>0.00</c:formatCode>
                <c:ptCount val="9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</c:numCache>
            </c:numRef>
          </c:xVal>
          <c:yVal>
            <c:numRef>
              <c:f>'Pull-out(E)'!$W$14:$W$22</c:f>
              <c:numCache>
                <c:formatCode>0.00</c:formatCode>
                <c:ptCount val="9"/>
                <c:pt idx="0">
                  <c:v>0</c:v>
                </c:pt>
                <c:pt idx="1">
                  <c:v>5.55</c:v>
                </c:pt>
                <c:pt idx="2">
                  <c:v>16.649999999999999</c:v>
                </c:pt>
                <c:pt idx="3">
                  <c:v>27.75</c:v>
                </c:pt>
                <c:pt idx="4">
                  <c:v>33.299999999999997</c:v>
                </c:pt>
                <c:pt idx="5">
                  <c:v>38.85</c:v>
                </c:pt>
                <c:pt idx="6">
                  <c:v>44.4</c:v>
                </c:pt>
                <c:pt idx="7">
                  <c:v>49.949999999999996</c:v>
                </c:pt>
                <c:pt idx="8">
                  <c:v>49.949999999999996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D-25AF-45B1-AB21-24BB718008FF}"/>
            </c:ext>
          </c:extLst>
        </c:ser>
        <c:ser>
          <c:idx val="1"/>
          <c:order val="1"/>
          <c:tx>
            <c:v>35/0.15/0.5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'Pull-out(E)'!$AA$14:$AA$38</c:f>
              <c:numCache>
                <c:formatCode>0.00</c:formatCode>
                <c:ptCount val="25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</c:numCache>
            </c:numRef>
          </c:xVal>
          <c:yVal>
            <c:numRef>
              <c:f>'Pull-out(E)'!$AC$14:$AC$38</c:f>
              <c:numCache>
                <c:formatCode>0.00</c:formatCode>
                <c:ptCount val="25"/>
                <c:pt idx="0">
                  <c:v>0</c:v>
                </c:pt>
                <c:pt idx="1">
                  <c:v>11.1</c:v>
                </c:pt>
                <c:pt idx="2">
                  <c:v>22.2</c:v>
                </c:pt>
                <c:pt idx="3">
                  <c:v>61.05</c:v>
                </c:pt>
                <c:pt idx="4">
                  <c:v>72.149999999999991</c:v>
                </c:pt>
                <c:pt idx="5">
                  <c:v>88.8</c:v>
                </c:pt>
                <c:pt idx="6">
                  <c:v>99.899999999999991</c:v>
                </c:pt>
                <c:pt idx="7">
                  <c:v>105.45</c:v>
                </c:pt>
                <c:pt idx="8">
                  <c:v>116.55</c:v>
                </c:pt>
                <c:pt idx="9">
                  <c:v>122.1</c:v>
                </c:pt>
                <c:pt idx="10">
                  <c:v>122.1</c:v>
                </c:pt>
                <c:pt idx="11">
                  <c:v>127.64999999999999</c:v>
                </c:pt>
                <c:pt idx="12">
                  <c:v>127.64999999999999</c:v>
                </c:pt>
                <c:pt idx="13">
                  <c:v>133.19999999999999</c:v>
                </c:pt>
                <c:pt idx="14">
                  <c:v>138.75</c:v>
                </c:pt>
                <c:pt idx="15">
                  <c:v>138.75</c:v>
                </c:pt>
                <c:pt idx="16">
                  <c:v>138.75</c:v>
                </c:pt>
                <c:pt idx="17">
                  <c:v>144.29999999999998</c:v>
                </c:pt>
                <c:pt idx="18">
                  <c:v>144.29999999999998</c:v>
                </c:pt>
                <c:pt idx="19">
                  <c:v>149.85</c:v>
                </c:pt>
                <c:pt idx="20">
                  <c:v>149.85</c:v>
                </c:pt>
                <c:pt idx="21">
                  <c:v>149.85</c:v>
                </c:pt>
                <c:pt idx="22">
                  <c:v>149.85</c:v>
                </c:pt>
                <c:pt idx="23">
                  <c:v>155.4</c:v>
                </c:pt>
                <c:pt idx="24">
                  <c:v>155.4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25AF-45B1-AB21-24BB718008FF}"/>
            </c:ext>
          </c:extLst>
        </c:ser>
        <c:ser>
          <c:idx val="2"/>
          <c:order val="2"/>
          <c:tx>
            <c:v>35/0.15/0.8</c:v>
          </c:tx>
          <c:spPr>
            <a:ln w="22225" cap="rnd">
              <a:solidFill>
                <a:schemeClr val="accent3"/>
              </a:solidFill>
            </a:ln>
            <a:effectLst>
              <a:glow rad="139700">
                <a:schemeClr val="accent3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3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'Pull-out(E)'!$AG$14:$AG$98</c:f>
              <c:numCache>
                <c:formatCode>0.00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0.55000000000000004</c:v>
                </c:pt>
                <c:pt idx="29">
                  <c:v>0.6</c:v>
                </c:pt>
                <c:pt idx="30">
                  <c:v>0.65</c:v>
                </c:pt>
                <c:pt idx="31">
                  <c:v>0.70000000000000007</c:v>
                </c:pt>
                <c:pt idx="32">
                  <c:v>0.75</c:v>
                </c:pt>
                <c:pt idx="33">
                  <c:v>0.8</c:v>
                </c:pt>
                <c:pt idx="34">
                  <c:v>0.85</c:v>
                </c:pt>
                <c:pt idx="35">
                  <c:v>0.9</c:v>
                </c:pt>
                <c:pt idx="36">
                  <c:v>0.95000000000000007</c:v>
                </c:pt>
                <c:pt idx="37">
                  <c:v>0.96</c:v>
                </c:pt>
                <c:pt idx="38">
                  <c:v>0.98</c:v>
                </c:pt>
                <c:pt idx="39">
                  <c:v>1</c:v>
                </c:pt>
                <c:pt idx="40">
                  <c:v>1.05</c:v>
                </c:pt>
                <c:pt idx="41">
                  <c:v>1.1000000000000001</c:v>
                </c:pt>
                <c:pt idx="42">
                  <c:v>1.1500000000000001</c:v>
                </c:pt>
                <c:pt idx="43">
                  <c:v>1.2</c:v>
                </c:pt>
                <c:pt idx="44">
                  <c:v>1.25</c:v>
                </c:pt>
                <c:pt idx="45">
                  <c:v>1.3</c:v>
                </c:pt>
                <c:pt idx="46">
                  <c:v>1.35</c:v>
                </c:pt>
                <c:pt idx="47">
                  <c:v>1.4000000000000001</c:v>
                </c:pt>
                <c:pt idx="48">
                  <c:v>1.45</c:v>
                </c:pt>
                <c:pt idx="49">
                  <c:v>1.46</c:v>
                </c:pt>
                <c:pt idx="50">
                  <c:v>1.48</c:v>
                </c:pt>
              </c:numCache>
            </c:numRef>
          </c:xVal>
          <c:yVal>
            <c:numRef>
              <c:f>'Pull-out(E)'!$AI$14:$AI$98</c:f>
              <c:numCache>
                <c:formatCode>0.00</c:formatCode>
                <c:ptCount val="51"/>
                <c:pt idx="0">
                  <c:v>0</c:v>
                </c:pt>
                <c:pt idx="1">
                  <c:v>38.85</c:v>
                </c:pt>
                <c:pt idx="2">
                  <c:v>49.949999999999996</c:v>
                </c:pt>
                <c:pt idx="3">
                  <c:v>77.7</c:v>
                </c:pt>
                <c:pt idx="4">
                  <c:v>94.35</c:v>
                </c:pt>
                <c:pt idx="5">
                  <c:v>111</c:v>
                </c:pt>
                <c:pt idx="6">
                  <c:v>122.1</c:v>
                </c:pt>
                <c:pt idx="7">
                  <c:v>133.19999999999999</c:v>
                </c:pt>
                <c:pt idx="8">
                  <c:v>149.85</c:v>
                </c:pt>
                <c:pt idx="9">
                  <c:v>155.4</c:v>
                </c:pt>
                <c:pt idx="10">
                  <c:v>166.5</c:v>
                </c:pt>
                <c:pt idx="11">
                  <c:v>177.6</c:v>
                </c:pt>
                <c:pt idx="12">
                  <c:v>188.7</c:v>
                </c:pt>
                <c:pt idx="13">
                  <c:v>199.79999999999998</c:v>
                </c:pt>
                <c:pt idx="14">
                  <c:v>210.9</c:v>
                </c:pt>
                <c:pt idx="15">
                  <c:v>222</c:v>
                </c:pt>
                <c:pt idx="16">
                  <c:v>227.54999999999998</c:v>
                </c:pt>
                <c:pt idx="17">
                  <c:v>238.65</c:v>
                </c:pt>
                <c:pt idx="18">
                  <c:v>244.2</c:v>
                </c:pt>
                <c:pt idx="19">
                  <c:v>249.75</c:v>
                </c:pt>
                <c:pt idx="20">
                  <c:v>255.29999999999998</c:v>
                </c:pt>
                <c:pt idx="21">
                  <c:v>266.39999999999998</c:v>
                </c:pt>
                <c:pt idx="22">
                  <c:v>271.95</c:v>
                </c:pt>
                <c:pt idx="23">
                  <c:v>277.5</c:v>
                </c:pt>
                <c:pt idx="24">
                  <c:v>283.05</c:v>
                </c:pt>
                <c:pt idx="25">
                  <c:v>288.59999999999997</c:v>
                </c:pt>
                <c:pt idx="26">
                  <c:v>294.14999999999998</c:v>
                </c:pt>
                <c:pt idx="27">
                  <c:v>299.7</c:v>
                </c:pt>
                <c:pt idx="28">
                  <c:v>299.7</c:v>
                </c:pt>
                <c:pt idx="29">
                  <c:v>310.8</c:v>
                </c:pt>
                <c:pt idx="30">
                  <c:v>321.89999999999998</c:v>
                </c:pt>
                <c:pt idx="31">
                  <c:v>327.45</c:v>
                </c:pt>
                <c:pt idx="32">
                  <c:v>333</c:v>
                </c:pt>
                <c:pt idx="33">
                  <c:v>344.09999999999997</c:v>
                </c:pt>
                <c:pt idx="34">
                  <c:v>349.65</c:v>
                </c:pt>
                <c:pt idx="35">
                  <c:v>355.2</c:v>
                </c:pt>
                <c:pt idx="36">
                  <c:v>360.75</c:v>
                </c:pt>
                <c:pt idx="37">
                  <c:v>360.75</c:v>
                </c:pt>
                <c:pt idx="38">
                  <c:v>360.75</c:v>
                </c:pt>
                <c:pt idx="39">
                  <c:v>366.3</c:v>
                </c:pt>
                <c:pt idx="40">
                  <c:v>366.3</c:v>
                </c:pt>
                <c:pt idx="41">
                  <c:v>377.4</c:v>
                </c:pt>
                <c:pt idx="42">
                  <c:v>382.95</c:v>
                </c:pt>
                <c:pt idx="43">
                  <c:v>388.5</c:v>
                </c:pt>
                <c:pt idx="44">
                  <c:v>394.05</c:v>
                </c:pt>
                <c:pt idx="45">
                  <c:v>399.59999999999997</c:v>
                </c:pt>
                <c:pt idx="46">
                  <c:v>405.15</c:v>
                </c:pt>
                <c:pt idx="47">
                  <c:v>410.7</c:v>
                </c:pt>
                <c:pt idx="48">
                  <c:v>421.8</c:v>
                </c:pt>
                <c:pt idx="49">
                  <c:v>427.34999999999997</c:v>
                </c:pt>
                <c:pt idx="50">
                  <c:v>421.8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25AF-45B1-AB21-24BB718008FF}"/>
            </c:ext>
          </c:extLst>
        </c:ser>
        <c:ser>
          <c:idx val="3"/>
          <c:order val="3"/>
          <c:tx>
            <c:v>60/0.15/0.3</c:v>
          </c:tx>
          <c:spPr>
            <a:ln w="22225" cap="rnd">
              <a:solidFill>
                <a:schemeClr val="accent4"/>
              </a:solidFill>
            </a:ln>
            <a:effectLst>
              <a:glow rad="139700">
                <a:schemeClr val="accent4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4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'Pull-out(E)'!$U$115:$U$124</c:f>
              <c:numCache>
                <c:formatCode>0.00</c:formatCode>
                <c:ptCount val="10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</c:numCache>
            </c:numRef>
          </c:xVal>
          <c:yVal>
            <c:numRef>
              <c:f>'Pull-out(E)'!$W$115:$W$124</c:f>
              <c:numCache>
                <c:formatCode>0.00</c:formatCode>
                <c:ptCount val="10"/>
                <c:pt idx="0">
                  <c:v>0</c:v>
                </c:pt>
                <c:pt idx="1">
                  <c:v>5.55</c:v>
                </c:pt>
                <c:pt idx="2">
                  <c:v>22.2</c:v>
                </c:pt>
                <c:pt idx="3">
                  <c:v>33.299999999999997</c:v>
                </c:pt>
                <c:pt idx="4">
                  <c:v>44.4</c:v>
                </c:pt>
                <c:pt idx="5">
                  <c:v>55.5</c:v>
                </c:pt>
                <c:pt idx="6">
                  <c:v>55.5</c:v>
                </c:pt>
                <c:pt idx="7">
                  <c:v>55.5</c:v>
                </c:pt>
                <c:pt idx="8">
                  <c:v>61.05</c:v>
                </c:pt>
                <c:pt idx="9">
                  <c:v>61.05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0-25AF-45B1-AB21-24BB718008FF}"/>
            </c:ext>
          </c:extLst>
        </c:ser>
        <c:ser>
          <c:idx val="4"/>
          <c:order val="4"/>
          <c:tx>
            <c:v>60/0.15/0.5</c:v>
          </c:tx>
          <c:spPr>
            <a:ln w="22225" cap="rnd">
              <a:solidFill>
                <a:schemeClr val="accent5"/>
              </a:solidFill>
            </a:ln>
            <a:effectLst>
              <a:glow rad="139700">
                <a:schemeClr val="accent5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5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'Pull-out(E)'!$AA$115:$AA$140</c:f>
              <c:numCache>
                <c:formatCode>0.00</c:formatCode>
                <c:ptCount val="26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</c:numCache>
            </c:numRef>
          </c:xVal>
          <c:yVal>
            <c:numRef>
              <c:f>'Pull-out(E)'!$AC$115:$AC$140</c:f>
              <c:numCache>
                <c:formatCode>0.00</c:formatCode>
                <c:ptCount val="26"/>
                <c:pt idx="0">
                  <c:v>0</c:v>
                </c:pt>
                <c:pt idx="1">
                  <c:v>16.649999999999999</c:v>
                </c:pt>
                <c:pt idx="2">
                  <c:v>49.949999999999996</c:v>
                </c:pt>
                <c:pt idx="3">
                  <c:v>83.25</c:v>
                </c:pt>
                <c:pt idx="4">
                  <c:v>94.35</c:v>
                </c:pt>
                <c:pt idx="5">
                  <c:v>99.899999999999991</c:v>
                </c:pt>
                <c:pt idx="6">
                  <c:v>111</c:v>
                </c:pt>
                <c:pt idx="7">
                  <c:v>122.1</c:v>
                </c:pt>
                <c:pt idx="8">
                  <c:v>133.19999999999999</c:v>
                </c:pt>
                <c:pt idx="9">
                  <c:v>138.75</c:v>
                </c:pt>
                <c:pt idx="10">
                  <c:v>144.29999999999998</c:v>
                </c:pt>
                <c:pt idx="11">
                  <c:v>149.85</c:v>
                </c:pt>
                <c:pt idx="12">
                  <c:v>155.4</c:v>
                </c:pt>
                <c:pt idx="13">
                  <c:v>160.94999999999999</c:v>
                </c:pt>
                <c:pt idx="14">
                  <c:v>160.94999999999999</c:v>
                </c:pt>
                <c:pt idx="15">
                  <c:v>166.5</c:v>
                </c:pt>
                <c:pt idx="16">
                  <c:v>166.5</c:v>
                </c:pt>
                <c:pt idx="17">
                  <c:v>166.5</c:v>
                </c:pt>
                <c:pt idx="18">
                  <c:v>172.04999999999998</c:v>
                </c:pt>
                <c:pt idx="19">
                  <c:v>177.6</c:v>
                </c:pt>
                <c:pt idx="20">
                  <c:v>177.6</c:v>
                </c:pt>
                <c:pt idx="21">
                  <c:v>183.15</c:v>
                </c:pt>
                <c:pt idx="22">
                  <c:v>188.7</c:v>
                </c:pt>
                <c:pt idx="23">
                  <c:v>194.25</c:v>
                </c:pt>
                <c:pt idx="24">
                  <c:v>194.25</c:v>
                </c:pt>
                <c:pt idx="25">
                  <c:v>194.25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1-25AF-45B1-AB21-24BB718008FF}"/>
            </c:ext>
          </c:extLst>
        </c:ser>
        <c:ser>
          <c:idx val="5"/>
          <c:order val="5"/>
          <c:tx>
            <c:v>60/0.15/0.8</c:v>
          </c:tx>
          <c:spPr>
            <a:ln w="22225" cap="rnd">
              <a:solidFill>
                <a:schemeClr val="accent6"/>
              </a:solidFill>
            </a:ln>
            <a:effectLst>
              <a:glow rad="139700">
                <a:schemeClr val="accent6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6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'Pull-out(E)'!$AG$115:$AG$208</c:f>
              <c:numCache>
                <c:formatCode>0.00</c:formatCode>
                <c:ptCount val="92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0.55000000000000004</c:v>
                </c:pt>
                <c:pt idx="29">
                  <c:v>0.56000000000000005</c:v>
                </c:pt>
                <c:pt idx="30">
                  <c:v>0.57999999999999996</c:v>
                </c:pt>
                <c:pt idx="31">
                  <c:v>0.6</c:v>
                </c:pt>
                <c:pt idx="32">
                  <c:v>0.62</c:v>
                </c:pt>
                <c:pt idx="33">
                  <c:v>0.64</c:v>
                </c:pt>
                <c:pt idx="34">
                  <c:v>0.65</c:v>
                </c:pt>
                <c:pt idx="35">
                  <c:v>0.66</c:v>
                </c:pt>
                <c:pt idx="36">
                  <c:v>0.68</c:v>
                </c:pt>
                <c:pt idx="37">
                  <c:v>0.70000000000000007</c:v>
                </c:pt>
                <c:pt idx="38">
                  <c:v>0.75</c:v>
                </c:pt>
                <c:pt idx="39">
                  <c:v>0.76</c:v>
                </c:pt>
                <c:pt idx="40">
                  <c:v>0.78</c:v>
                </c:pt>
                <c:pt idx="41">
                  <c:v>0.8</c:v>
                </c:pt>
                <c:pt idx="42">
                  <c:v>0.82000000000000006</c:v>
                </c:pt>
                <c:pt idx="43">
                  <c:v>0.84</c:v>
                </c:pt>
                <c:pt idx="44">
                  <c:v>0.85</c:v>
                </c:pt>
                <c:pt idx="45">
                  <c:v>0.86</c:v>
                </c:pt>
                <c:pt idx="46">
                  <c:v>0.88</c:v>
                </c:pt>
                <c:pt idx="47">
                  <c:v>0.9</c:v>
                </c:pt>
                <c:pt idx="48">
                  <c:v>0.92</c:v>
                </c:pt>
                <c:pt idx="49">
                  <c:v>0.94000000000000006</c:v>
                </c:pt>
                <c:pt idx="50">
                  <c:v>0.95000000000000007</c:v>
                </c:pt>
                <c:pt idx="51">
                  <c:v>0.96</c:v>
                </c:pt>
                <c:pt idx="52">
                  <c:v>0.98</c:v>
                </c:pt>
                <c:pt idx="53">
                  <c:v>1</c:v>
                </c:pt>
                <c:pt idx="54">
                  <c:v>1.02</c:v>
                </c:pt>
                <c:pt idx="55">
                  <c:v>1.04</c:v>
                </c:pt>
                <c:pt idx="56">
                  <c:v>1.05</c:v>
                </c:pt>
                <c:pt idx="57">
                  <c:v>1.06</c:v>
                </c:pt>
                <c:pt idx="58">
                  <c:v>1.08</c:v>
                </c:pt>
                <c:pt idx="59">
                  <c:v>1.1000000000000001</c:v>
                </c:pt>
                <c:pt idx="60">
                  <c:v>1.1200000000000001</c:v>
                </c:pt>
                <c:pt idx="61">
                  <c:v>1.1400000000000001</c:v>
                </c:pt>
                <c:pt idx="62">
                  <c:v>1.1500000000000001</c:v>
                </c:pt>
                <c:pt idx="63">
                  <c:v>1.1599999999999999</c:v>
                </c:pt>
                <c:pt idx="64">
                  <c:v>1.18</c:v>
                </c:pt>
                <c:pt idx="65">
                  <c:v>1.2</c:v>
                </c:pt>
                <c:pt idx="66">
                  <c:v>1.22</c:v>
                </c:pt>
                <c:pt idx="67">
                  <c:v>1.24</c:v>
                </c:pt>
                <c:pt idx="68">
                  <c:v>1.25</c:v>
                </c:pt>
                <c:pt idx="69">
                  <c:v>1.26</c:v>
                </c:pt>
                <c:pt idx="70">
                  <c:v>1.28</c:v>
                </c:pt>
                <c:pt idx="71">
                  <c:v>1.3</c:v>
                </c:pt>
                <c:pt idx="72">
                  <c:v>1.32</c:v>
                </c:pt>
                <c:pt idx="73">
                  <c:v>1.34</c:v>
                </c:pt>
                <c:pt idx="74">
                  <c:v>1.35</c:v>
                </c:pt>
                <c:pt idx="75">
                  <c:v>1.36</c:v>
                </c:pt>
                <c:pt idx="76">
                  <c:v>1.3800000000000001</c:v>
                </c:pt>
                <c:pt idx="77">
                  <c:v>1.4000000000000001</c:v>
                </c:pt>
                <c:pt idx="78">
                  <c:v>1.42</c:v>
                </c:pt>
                <c:pt idx="79">
                  <c:v>1.44</c:v>
                </c:pt>
                <c:pt idx="80">
                  <c:v>1.45</c:v>
                </c:pt>
                <c:pt idx="81">
                  <c:v>1.46</c:v>
                </c:pt>
                <c:pt idx="82">
                  <c:v>1.48</c:v>
                </c:pt>
                <c:pt idx="83">
                  <c:v>1.5</c:v>
                </c:pt>
                <c:pt idx="84">
                  <c:v>1.52</c:v>
                </c:pt>
                <c:pt idx="85">
                  <c:v>1.54</c:v>
                </c:pt>
                <c:pt idx="86">
                  <c:v>1.55</c:v>
                </c:pt>
                <c:pt idx="87">
                  <c:v>1.56</c:v>
                </c:pt>
                <c:pt idx="88">
                  <c:v>1.58</c:v>
                </c:pt>
                <c:pt idx="89">
                  <c:v>1.6</c:v>
                </c:pt>
                <c:pt idx="90">
                  <c:v>1.62</c:v>
                </c:pt>
                <c:pt idx="91">
                  <c:v>1.6400000000000001</c:v>
                </c:pt>
              </c:numCache>
            </c:numRef>
          </c:xVal>
          <c:yVal>
            <c:numRef>
              <c:f>'Pull-out(E)'!$AI$115:$AI$208</c:f>
              <c:numCache>
                <c:formatCode>0.00</c:formatCode>
                <c:ptCount val="92"/>
                <c:pt idx="0">
                  <c:v>0</c:v>
                </c:pt>
                <c:pt idx="1">
                  <c:v>66.599999999999994</c:v>
                </c:pt>
                <c:pt idx="2">
                  <c:v>122.1</c:v>
                </c:pt>
                <c:pt idx="3">
                  <c:v>194.25</c:v>
                </c:pt>
                <c:pt idx="4">
                  <c:v>249.75</c:v>
                </c:pt>
                <c:pt idx="5">
                  <c:v>299.7</c:v>
                </c:pt>
                <c:pt idx="6">
                  <c:v>333</c:v>
                </c:pt>
                <c:pt idx="7">
                  <c:v>360.75</c:v>
                </c:pt>
                <c:pt idx="8">
                  <c:v>388.5</c:v>
                </c:pt>
                <c:pt idx="9">
                  <c:v>410.7</c:v>
                </c:pt>
                <c:pt idx="10">
                  <c:v>427.34999999999997</c:v>
                </c:pt>
                <c:pt idx="11">
                  <c:v>444</c:v>
                </c:pt>
                <c:pt idx="12">
                  <c:v>466.2</c:v>
                </c:pt>
                <c:pt idx="13">
                  <c:v>477.3</c:v>
                </c:pt>
                <c:pt idx="14">
                  <c:v>493.95</c:v>
                </c:pt>
                <c:pt idx="15">
                  <c:v>505.05</c:v>
                </c:pt>
                <c:pt idx="16">
                  <c:v>510.59999999999997</c:v>
                </c:pt>
                <c:pt idx="17">
                  <c:v>521.69999999999993</c:v>
                </c:pt>
                <c:pt idx="18">
                  <c:v>532.79999999999995</c:v>
                </c:pt>
                <c:pt idx="19">
                  <c:v>543.9</c:v>
                </c:pt>
                <c:pt idx="20">
                  <c:v>549.44999999999993</c:v>
                </c:pt>
                <c:pt idx="21">
                  <c:v>555</c:v>
                </c:pt>
                <c:pt idx="22">
                  <c:v>560.54999999999995</c:v>
                </c:pt>
                <c:pt idx="23">
                  <c:v>571.65</c:v>
                </c:pt>
                <c:pt idx="24">
                  <c:v>577.19999999999993</c:v>
                </c:pt>
                <c:pt idx="25">
                  <c:v>582.75</c:v>
                </c:pt>
                <c:pt idx="26">
                  <c:v>588.29999999999995</c:v>
                </c:pt>
                <c:pt idx="27">
                  <c:v>593.85</c:v>
                </c:pt>
                <c:pt idx="28">
                  <c:v>593.85</c:v>
                </c:pt>
                <c:pt idx="29">
                  <c:v>599.4</c:v>
                </c:pt>
                <c:pt idx="30">
                  <c:v>604.94999999999993</c:v>
                </c:pt>
                <c:pt idx="31">
                  <c:v>610.5</c:v>
                </c:pt>
                <c:pt idx="32">
                  <c:v>616.04999999999995</c:v>
                </c:pt>
                <c:pt idx="33">
                  <c:v>621.6</c:v>
                </c:pt>
                <c:pt idx="34">
                  <c:v>621.6</c:v>
                </c:pt>
                <c:pt idx="35">
                  <c:v>621.6</c:v>
                </c:pt>
                <c:pt idx="36">
                  <c:v>621.6</c:v>
                </c:pt>
                <c:pt idx="37">
                  <c:v>627.15</c:v>
                </c:pt>
                <c:pt idx="38">
                  <c:v>632.69999999999993</c:v>
                </c:pt>
                <c:pt idx="39">
                  <c:v>638.25</c:v>
                </c:pt>
                <c:pt idx="40">
                  <c:v>638.25</c:v>
                </c:pt>
                <c:pt idx="41">
                  <c:v>643.79999999999995</c:v>
                </c:pt>
                <c:pt idx="42">
                  <c:v>643.79999999999995</c:v>
                </c:pt>
                <c:pt idx="43">
                  <c:v>649.35</c:v>
                </c:pt>
                <c:pt idx="44">
                  <c:v>649.35</c:v>
                </c:pt>
                <c:pt idx="45">
                  <c:v>649.35</c:v>
                </c:pt>
                <c:pt idx="46">
                  <c:v>654.9</c:v>
                </c:pt>
                <c:pt idx="47">
                  <c:v>654.9</c:v>
                </c:pt>
                <c:pt idx="48">
                  <c:v>654.9</c:v>
                </c:pt>
                <c:pt idx="49">
                  <c:v>660.44999999999993</c:v>
                </c:pt>
                <c:pt idx="50">
                  <c:v>660.44999999999993</c:v>
                </c:pt>
                <c:pt idx="51">
                  <c:v>660.44999999999993</c:v>
                </c:pt>
                <c:pt idx="52">
                  <c:v>666</c:v>
                </c:pt>
                <c:pt idx="53">
                  <c:v>666</c:v>
                </c:pt>
                <c:pt idx="54">
                  <c:v>666</c:v>
                </c:pt>
                <c:pt idx="55">
                  <c:v>666</c:v>
                </c:pt>
                <c:pt idx="56">
                  <c:v>666</c:v>
                </c:pt>
                <c:pt idx="57">
                  <c:v>671.55</c:v>
                </c:pt>
                <c:pt idx="58">
                  <c:v>671.55</c:v>
                </c:pt>
                <c:pt idx="59">
                  <c:v>671.55</c:v>
                </c:pt>
                <c:pt idx="60">
                  <c:v>671.55</c:v>
                </c:pt>
                <c:pt idx="61">
                  <c:v>677.1</c:v>
                </c:pt>
                <c:pt idx="62">
                  <c:v>677.1</c:v>
                </c:pt>
                <c:pt idx="63">
                  <c:v>677.1</c:v>
                </c:pt>
                <c:pt idx="64">
                  <c:v>677.1</c:v>
                </c:pt>
                <c:pt idx="65">
                  <c:v>682.65</c:v>
                </c:pt>
                <c:pt idx="66">
                  <c:v>682.65</c:v>
                </c:pt>
                <c:pt idx="67">
                  <c:v>682.65</c:v>
                </c:pt>
                <c:pt idx="68">
                  <c:v>688.19999999999993</c:v>
                </c:pt>
                <c:pt idx="69">
                  <c:v>688.19999999999993</c:v>
                </c:pt>
                <c:pt idx="70">
                  <c:v>688.19999999999993</c:v>
                </c:pt>
                <c:pt idx="71">
                  <c:v>693.75</c:v>
                </c:pt>
                <c:pt idx="72">
                  <c:v>693.75</c:v>
                </c:pt>
                <c:pt idx="73">
                  <c:v>693.75</c:v>
                </c:pt>
                <c:pt idx="74">
                  <c:v>693.75</c:v>
                </c:pt>
                <c:pt idx="75">
                  <c:v>699.3</c:v>
                </c:pt>
                <c:pt idx="76">
                  <c:v>699.3</c:v>
                </c:pt>
                <c:pt idx="77">
                  <c:v>699.3</c:v>
                </c:pt>
                <c:pt idx="78">
                  <c:v>704.85</c:v>
                </c:pt>
                <c:pt idx="79">
                  <c:v>704.85</c:v>
                </c:pt>
                <c:pt idx="80">
                  <c:v>704.85</c:v>
                </c:pt>
                <c:pt idx="81">
                  <c:v>704.85</c:v>
                </c:pt>
                <c:pt idx="82">
                  <c:v>710.4</c:v>
                </c:pt>
                <c:pt idx="83">
                  <c:v>710.4</c:v>
                </c:pt>
                <c:pt idx="84">
                  <c:v>710.4</c:v>
                </c:pt>
                <c:pt idx="85">
                  <c:v>715.94999999999993</c:v>
                </c:pt>
                <c:pt idx="86">
                  <c:v>715.94999999999993</c:v>
                </c:pt>
                <c:pt idx="87">
                  <c:v>715.94999999999993</c:v>
                </c:pt>
                <c:pt idx="88">
                  <c:v>715.94999999999993</c:v>
                </c:pt>
                <c:pt idx="89">
                  <c:v>721.5</c:v>
                </c:pt>
                <c:pt idx="90">
                  <c:v>721.5</c:v>
                </c:pt>
                <c:pt idx="91">
                  <c:v>721.5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2-25AF-45B1-AB21-24BB718008FF}"/>
            </c:ext>
          </c:extLst>
        </c:ser>
        <c:ser>
          <c:idx val="6"/>
          <c:order val="6"/>
          <c:tx>
            <c:v>80/0.15/0.3</c:v>
          </c:tx>
          <c:spPr>
            <a:ln w="22225" cap="rnd">
              <a:solidFill>
                <a:schemeClr val="accent1">
                  <a:lumMod val="60000"/>
                </a:schemeClr>
              </a:solidFill>
            </a:ln>
            <a:effectLst>
              <a:glow rad="139700">
                <a:schemeClr val="accent1">
                  <a:lumMod val="60000"/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lumMod val="60000"/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'Pull-out(E)'!$U$226:$U$238</c:f>
              <c:numCache>
                <c:formatCode>0.00</c:formatCode>
                <c:ptCount val="13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</c:numCache>
            </c:numRef>
          </c:xVal>
          <c:yVal>
            <c:numRef>
              <c:f>'Pull-out(E)'!$W$226:$W$238</c:f>
              <c:numCache>
                <c:formatCode>0.00</c:formatCode>
                <c:ptCount val="13"/>
                <c:pt idx="0">
                  <c:v>0</c:v>
                </c:pt>
                <c:pt idx="1">
                  <c:v>11.1</c:v>
                </c:pt>
                <c:pt idx="2">
                  <c:v>33.299999999999997</c:v>
                </c:pt>
                <c:pt idx="3">
                  <c:v>44.4</c:v>
                </c:pt>
                <c:pt idx="4">
                  <c:v>49.949999999999996</c:v>
                </c:pt>
                <c:pt idx="5">
                  <c:v>55.5</c:v>
                </c:pt>
                <c:pt idx="6">
                  <c:v>55.5</c:v>
                </c:pt>
                <c:pt idx="7">
                  <c:v>55.5</c:v>
                </c:pt>
                <c:pt idx="8">
                  <c:v>61.05</c:v>
                </c:pt>
                <c:pt idx="9">
                  <c:v>61.05</c:v>
                </c:pt>
                <c:pt idx="10">
                  <c:v>66.599999999999994</c:v>
                </c:pt>
                <c:pt idx="11">
                  <c:v>66.599999999999994</c:v>
                </c:pt>
                <c:pt idx="12">
                  <c:v>66.599999999999994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3-25AF-45B1-AB21-24BB718008FF}"/>
            </c:ext>
          </c:extLst>
        </c:ser>
        <c:ser>
          <c:idx val="7"/>
          <c:order val="7"/>
          <c:tx>
            <c:v>80/0.15/0.5</c:v>
          </c:tx>
          <c:spPr>
            <a:ln w="22225" cap="rnd">
              <a:solidFill>
                <a:schemeClr val="accent2">
                  <a:lumMod val="60000"/>
                </a:schemeClr>
              </a:solidFill>
            </a:ln>
            <a:effectLst>
              <a:glow rad="139700">
                <a:schemeClr val="accent2">
                  <a:lumMod val="60000"/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lumMod val="60000"/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'Pull-out(E)'!$AA$226:$AA$252</c:f>
              <c:numCache>
                <c:formatCode>0.00</c:formatCode>
                <c:ptCount val="27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</c:numCache>
            </c:numRef>
          </c:xVal>
          <c:yVal>
            <c:numRef>
              <c:f>'Pull-out(E)'!$AC$226:$AC$252</c:f>
              <c:numCache>
                <c:formatCode>0.00</c:formatCode>
                <c:ptCount val="27"/>
                <c:pt idx="0">
                  <c:v>0</c:v>
                </c:pt>
                <c:pt idx="1">
                  <c:v>49.949999999999996</c:v>
                </c:pt>
                <c:pt idx="2">
                  <c:v>105.45</c:v>
                </c:pt>
                <c:pt idx="3">
                  <c:v>149.85</c:v>
                </c:pt>
                <c:pt idx="4">
                  <c:v>160.94999999999999</c:v>
                </c:pt>
                <c:pt idx="5">
                  <c:v>172.04999999999998</c:v>
                </c:pt>
                <c:pt idx="6">
                  <c:v>183.15</c:v>
                </c:pt>
                <c:pt idx="7">
                  <c:v>188.7</c:v>
                </c:pt>
                <c:pt idx="8">
                  <c:v>194.25</c:v>
                </c:pt>
                <c:pt idx="9">
                  <c:v>199.79999999999998</c:v>
                </c:pt>
                <c:pt idx="10">
                  <c:v>199.79999999999998</c:v>
                </c:pt>
                <c:pt idx="11">
                  <c:v>205.35</c:v>
                </c:pt>
                <c:pt idx="12">
                  <c:v>210.9</c:v>
                </c:pt>
                <c:pt idx="13">
                  <c:v>216.45</c:v>
                </c:pt>
                <c:pt idx="14">
                  <c:v>216.45</c:v>
                </c:pt>
                <c:pt idx="15">
                  <c:v>222</c:v>
                </c:pt>
                <c:pt idx="16">
                  <c:v>222</c:v>
                </c:pt>
                <c:pt idx="17">
                  <c:v>227.54999999999998</c:v>
                </c:pt>
                <c:pt idx="18">
                  <c:v>227.54999999999998</c:v>
                </c:pt>
                <c:pt idx="19">
                  <c:v>233.1</c:v>
                </c:pt>
                <c:pt idx="20">
                  <c:v>233.1</c:v>
                </c:pt>
                <c:pt idx="21">
                  <c:v>233.1</c:v>
                </c:pt>
                <c:pt idx="22">
                  <c:v>238.65</c:v>
                </c:pt>
                <c:pt idx="23">
                  <c:v>238.65</c:v>
                </c:pt>
                <c:pt idx="24">
                  <c:v>244.2</c:v>
                </c:pt>
                <c:pt idx="25">
                  <c:v>244.2</c:v>
                </c:pt>
                <c:pt idx="26">
                  <c:v>244.2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4-25AF-45B1-AB21-24BB718008FF}"/>
            </c:ext>
          </c:extLst>
        </c:ser>
        <c:ser>
          <c:idx val="8"/>
          <c:order val="8"/>
          <c:tx>
            <c:v>80/0.15/0.8</c:v>
          </c:tx>
          <c:spPr>
            <a:ln w="22225" cap="rnd">
              <a:solidFill>
                <a:schemeClr val="accent3">
                  <a:lumMod val="60000"/>
                </a:schemeClr>
              </a:solidFill>
            </a:ln>
            <a:effectLst>
              <a:glow rad="139700">
                <a:schemeClr val="accent3">
                  <a:lumMod val="60000"/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3">
                  <a:lumMod val="60000"/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3">
                    <a:lumMod val="60000"/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'Pull-out(E)'!$AG$226:$AG$325</c:f>
              <c:numCache>
                <c:formatCode>0.00</c:formatCode>
                <c:ptCount val="77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0.55000000000000004</c:v>
                </c:pt>
                <c:pt idx="29">
                  <c:v>0.56000000000000005</c:v>
                </c:pt>
                <c:pt idx="30">
                  <c:v>0.57999999999999996</c:v>
                </c:pt>
                <c:pt idx="31">
                  <c:v>0.6</c:v>
                </c:pt>
                <c:pt idx="32">
                  <c:v>0.62</c:v>
                </c:pt>
                <c:pt idx="33">
                  <c:v>0.64</c:v>
                </c:pt>
                <c:pt idx="34">
                  <c:v>0.65</c:v>
                </c:pt>
                <c:pt idx="35">
                  <c:v>0.66</c:v>
                </c:pt>
                <c:pt idx="36">
                  <c:v>0.68</c:v>
                </c:pt>
                <c:pt idx="37">
                  <c:v>0.70000000000000007</c:v>
                </c:pt>
                <c:pt idx="38">
                  <c:v>0.72</c:v>
                </c:pt>
                <c:pt idx="39">
                  <c:v>0.74</c:v>
                </c:pt>
                <c:pt idx="40">
                  <c:v>0.75</c:v>
                </c:pt>
                <c:pt idx="41">
                  <c:v>0.76</c:v>
                </c:pt>
                <c:pt idx="42">
                  <c:v>0.78</c:v>
                </c:pt>
                <c:pt idx="43">
                  <c:v>0.8</c:v>
                </c:pt>
                <c:pt idx="44">
                  <c:v>0.82000000000000006</c:v>
                </c:pt>
                <c:pt idx="45">
                  <c:v>0.84</c:v>
                </c:pt>
                <c:pt idx="46">
                  <c:v>0.85</c:v>
                </c:pt>
                <c:pt idx="47">
                  <c:v>0.86</c:v>
                </c:pt>
                <c:pt idx="48">
                  <c:v>0.88</c:v>
                </c:pt>
                <c:pt idx="49">
                  <c:v>0.9</c:v>
                </c:pt>
                <c:pt idx="50">
                  <c:v>0.92</c:v>
                </c:pt>
                <c:pt idx="51">
                  <c:v>0.94000000000000006</c:v>
                </c:pt>
                <c:pt idx="52">
                  <c:v>0.95000000000000007</c:v>
                </c:pt>
                <c:pt idx="53">
                  <c:v>0.96</c:v>
                </c:pt>
                <c:pt idx="54">
                  <c:v>0.98</c:v>
                </c:pt>
                <c:pt idx="55">
                  <c:v>1</c:v>
                </c:pt>
                <c:pt idx="56">
                  <c:v>1.02</c:v>
                </c:pt>
                <c:pt idx="57">
                  <c:v>1.04</c:v>
                </c:pt>
                <c:pt idx="58">
                  <c:v>1.05</c:v>
                </c:pt>
                <c:pt idx="59">
                  <c:v>1.06</c:v>
                </c:pt>
                <c:pt idx="60">
                  <c:v>1.08</c:v>
                </c:pt>
                <c:pt idx="61">
                  <c:v>1.1000000000000001</c:v>
                </c:pt>
                <c:pt idx="62">
                  <c:v>1.1500000000000001</c:v>
                </c:pt>
                <c:pt idx="63">
                  <c:v>1.2</c:v>
                </c:pt>
                <c:pt idx="64">
                  <c:v>1.25</c:v>
                </c:pt>
                <c:pt idx="65">
                  <c:v>1.3</c:v>
                </c:pt>
                <c:pt idx="66">
                  <c:v>1.35</c:v>
                </c:pt>
                <c:pt idx="67">
                  <c:v>1.4000000000000001</c:v>
                </c:pt>
                <c:pt idx="68">
                  <c:v>1.45</c:v>
                </c:pt>
                <c:pt idx="69">
                  <c:v>1.5</c:v>
                </c:pt>
                <c:pt idx="70">
                  <c:v>1.55</c:v>
                </c:pt>
                <c:pt idx="71">
                  <c:v>1.6</c:v>
                </c:pt>
                <c:pt idx="72">
                  <c:v>1.6500000000000001</c:v>
                </c:pt>
                <c:pt idx="73">
                  <c:v>1.7</c:v>
                </c:pt>
                <c:pt idx="74">
                  <c:v>1.72</c:v>
                </c:pt>
                <c:pt idx="75">
                  <c:v>1.74</c:v>
                </c:pt>
                <c:pt idx="76">
                  <c:v>1.75</c:v>
                </c:pt>
              </c:numCache>
            </c:numRef>
          </c:xVal>
          <c:yVal>
            <c:numRef>
              <c:f>'Pull-out(E)'!$AI$226:$AI$325</c:f>
              <c:numCache>
                <c:formatCode>0.00</c:formatCode>
                <c:ptCount val="77"/>
                <c:pt idx="0">
                  <c:v>0</c:v>
                </c:pt>
                <c:pt idx="1">
                  <c:v>61.05</c:v>
                </c:pt>
                <c:pt idx="2">
                  <c:v>105.45</c:v>
                </c:pt>
                <c:pt idx="3">
                  <c:v>210.9</c:v>
                </c:pt>
                <c:pt idx="4">
                  <c:v>244.2</c:v>
                </c:pt>
                <c:pt idx="5">
                  <c:v>310.8</c:v>
                </c:pt>
                <c:pt idx="6">
                  <c:v>349.65</c:v>
                </c:pt>
                <c:pt idx="7">
                  <c:v>388.5</c:v>
                </c:pt>
                <c:pt idx="8">
                  <c:v>449.55</c:v>
                </c:pt>
                <c:pt idx="9">
                  <c:v>482.84999999999997</c:v>
                </c:pt>
                <c:pt idx="10">
                  <c:v>510.59999999999997</c:v>
                </c:pt>
                <c:pt idx="11">
                  <c:v>532.79999999999995</c:v>
                </c:pt>
                <c:pt idx="12">
                  <c:v>566.1</c:v>
                </c:pt>
                <c:pt idx="13">
                  <c:v>593.85</c:v>
                </c:pt>
                <c:pt idx="14">
                  <c:v>610.5</c:v>
                </c:pt>
                <c:pt idx="15">
                  <c:v>632.69999999999993</c:v>
                </c:pt>
                <c:pt idx="16">
                  <c:v>643.79999999999995</c:v>
                </c:pt>
                <c:pt idx="17">
                  <c:v>666</c:v>
                </c:pt>
                <c:pt idx="18">
                  <c:v>682.65</c:v>
                </c:pt>
                <c:pt idx="19">
                  <c:v>699.3</c:v>
                </c:pt>
                <c:pt idx="20">
                  <c:v>710.4</c:v>
                </c:pt>
                <c:pt idx="21">
                  <c:v>727.05</c:v>
                </c:pt>
                <c:pt idx="22">
                  <c:v>743.69999999999993</c:v>
                </c:pt>
                <c:pt idx="23">
                  <c:v>754.8</c:v>
                </c:pt>
                <c:pt idx="24">
                  <c:v>760.35</c:v>
                </c:pt>
                <c:pt idx="25">
                  <c:v>771.44999999999993</c:v>
                </c:pt>
                <c:pt idx="26">
                  <c:v>782.55</c:v>
                </c:pt>
                <c:pt idx="27">
                  <c:v>793.65</c:v>
                </c:pt>
                <c:pt idx="28">
                  <c:v>793.65</c:v>
                </c:pt>
                <c:pt idx="29">
                  <c:v>799.19999999999993</c:v>
                </c:pt>
                <c:pt idx="30">
                  <c:v>804.75</c:v>
                </c:pt>
                <c:pt idx="31">
                  <c:v>810.3</c:v>
                </c:pt>
                <c:pt idx="32">
                  <c:v>821.4</c:v>
                </c:pt>
                <c:pt idx="33">
                  <c:v>826.94999999999993</c:v>
                </c:pt>
                <c:pt idx="34">
                  <c:v>826.94999999999993</c:v>
                </c:pt>
                <c:pt idx="35">
                  <c:v>832.5</c:v>
                </c:pt>
                <c:pt idx="36">
                  <c:v>843.6</c:v>
                </c:pt>
                <c:pt idx="37">
                  <c:v>854.69999999999993</c:v>
                </c:pt>
                <c:pt idx="38">
                  <c:v>854.69999999999993</c:v>
                </c:pt>
                <c:pt idx="39">
                  <c:v>860.25</c:v>
                </c:pt>
                <c:pt idx="40">
                  <c:v>860.25</c:v>
                </c:pt>
                <c:pt idx="41">
                  <c:v>865.8</c:v>
                </c:pt>
                <c:pt idx="42">
                  <c:v>871.35</c:v>
                </c:pt>
                <c:pt idx="43">
                  <c:v>876.9</c:v>
                </c:pt>
                <c:pt idx="44">
                  <c:v>876.9</c:v>
                </c:pt>
                <c:pt idx="45">
                  <c:v>882.44999999999993</c:v>
                </c:pt>
                <c:pt idx="46">
                  <c:v>882.44999999999993</c:v>
                </c:pt>
                <c:pt idx="47">
                  <c:v>888</c:v>
                </c:pt>
                <c:pt idx="48">
                  <c:v>899.1</c:v>
                </c:pt>
                <c:pt idx="49">
                  <c:v>904.65</c:v>
                </c:pt>
                <c:pt idx="50">
                  <c:v>915.75</c:v>
                </c:pt>
                <c:pt idx="51">
                  <c:v>915.75</c:v>
                </c:pt>
                <c:pt idx="52">
                  <c:v>915.75</c:v>
                </c:pt>
                <c:pt idx="53">
                  <c:v>921.3</c:v>
                </c:pt>
                <c:pt idx="54">
                  <c:v>921.3</c:v>
                </c:pt>
                <c:pt idx="55">
                  <c:v>926.85</c:v>
                </c:pt>
                <c:pt idx="56">
                  <c:v>926.85</c:v>
                </c:pt>
                <c:pt idx="57">
                  <c:v>932.4</c:v>
                </c:pt>
                <c:pt idx="58">
                  <c:v>932.4</c:v>
                </c:pt>
                <c:pt idx="59">
                  <c:v>937.94999999999993</c:v>
                </c:pt>
                <c:pt idx="60">
                  <c:v>943.5</c:v>
                </c:pt>
                <c:pt idx="61">
                  <c:v>943.5</c:v>
                </c:pt>
                <c:pt idx="62">
                  <c:v>954.6</c:v>
                </c:pt>
                <c:pt idx="63">
                  <c:v>971.25</c:v>
                </c:pt>
                <c:pt idx="64">
                  <c:v>976.8</c:v>
                </c:pt>
                <c:pt idx="65">
                  <c:v>976.8</c:v>
                </c:pt>
                <c:pt idx="66">
                  <c:v>982.35</c:v>
                </c:pt>
                <c:pt idx="67">
                  <c:v>987.9</c:v>
                </c:pt>
                <c:pt idx="68">
                  <c:v>987.9</c:v>
                </c:pt>
                <c:pt idx="69">
                  <c:v>993.44999999999993</c:v>
                </c:pt>
                <c:pt idx="70">
                  <c:v>993.44999999999993</c:v>
                </c:pt>
                <c:pt idx="71">
                  <c:v>999</c:v>
                </c:pt>
                <c:pt idx="72">
                  <c:v>1004.55</c:v>
                </c:pt>
                <c:pt idx="73">
                  <c:v>1004.55</c:v>
                </c:pt>
                <c:pt idx="74">
                  <c:v>1010.1</c:v>
                </c:pt>
                <c:pt idx="75">
                  <c:v>1010.1</c:v>
                </c:pt>
                <c:pt idx="76">
                  <c:v>1010.1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15-25AF-45B1-AB21-24BB718008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7522800"/>
        <c:axId val="1157497232"/>
      </c:scatterChart>
      <c:valAx>
        <c:axId val="11575228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DISPLACEMENT(cm)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7497232"/>
        <c:crosses val="autoZero"/>
        <c:crossBetween val="midCat"/>
      </c:valAx>
      <c:valAx>
        <c:axId val="11574972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LOAD(kg)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752280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2186673203339611"/>
          <c:y val="0.74907120022980755"/>
          <c:w val="0.54179089931428215"/>
          <c:h val="0.1336814771600298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A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'Result Comparison'!$G$8:$G$10</c:f>
              <c:numCache>
                <c:formatCode>0.00</c:formatCode>
                <c:ptCount val="3"/>
                <c:pt idx="0">
                  <c:v>2</c:v>
                </c:pt>
                <c:pt idx="1">
                  <c:v>3.3333333333333335</c:v>
                </c:pt>
                <c:pt idx="2">
                  <c:v>5.3333333333333339</c:v>
                </c:pt>
              </c:numCache>
            </c:numRef>
          </c:xVal>
          <c:yVal>
            <c:numRef>
              <c:f>'Result Comparison'!$H$8:$H$10</c:f>
              <c:numCache>
                <c:formatCode>0.00</c:formatCode>
                <c:ptCount val="3"/>
                <c:pt idx="0">
                  <c:v>0.52042507638601998</c:v>
                </c:pt>
                <c:pt idx="1">
                  <c:v>1.5649119948048364</c:v>
                </c:pt>
                <c:pt idx="2">
                  <c:v>4.7592559519667388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3AD2-4A9A-9B28-B4CAF8FF7D2B}"/>
            </c:ext>
          </c:extLst>
        </c:ser>
        <c:ser>
          <c:idx val="1"/>
          <c:order val="1"/>
          <c:tx>
            <c:v>E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'Result Comparison'!$G$8:$G$10</c:f>
              <c:numCache>
                <c:formatCode>0.00</c:formatCode>
                <c:ptCount val="3"/>
                <c:pt idx="0">
                  <c:v>2</c:v>
                </c:pt>
                <c:pt idx="1">
                  <c:v>3.3333333333333335</c:v>
                </c:pt>
                <c:pt idx="2">
                  <c:v>5.3333333333333339</c:v>
                </c:pt>
              </c:numCache>
            </c:numRef>
          </c:xVal>
          <c:yVal>
            <c:numRef>
              <c:f>'Result Comparison'!$I$8:$I$10</c:f>
              <c:numCache>
                <c:formatCode>0.00</c:formatCode>
                <c:ptCount val="3"/>
                <c:pt idx="0">
                  <c:v>0.49949999999999994</c:v>
                </c:pt>
                <c:pt idx="1">
                  <c:v>1.554</c:v>
                </c:pt>
                <c:pt idx="2">
                  <c:v>4.2734999999999994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3AD2-4A9A-9B28-B4CAF8FF7D2B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1157517904"/>
        <c:axId val="1157518448"/>
      </c:scatterChart>
      <c:valAx>
        <c:axId val="11575179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7518448"/>
        <c:crosses val="autoZero"/>
        <c:crossBetween val="midCat"/>
      </c:valAx>
      <c:valAx>
        <c:axId val="1157518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</a:t>
                </a:r>
                <a:r>
                  <a:rPr lang="en-US" baseline="0"/>
                  <a:t> Load, kN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751790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A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'Result Comparison'!$G$11:$G$13</c:f>
              <c:numCache>
                <c:formatCode>0.00</c:formatCode>
                <c:ptCount val="3"/>
                <c:pt idx="0">
                  <c:v>1</c:v>
                </c:pt>
                <c:pt idx="1">
                  <c:v>1.6666666666666667</c:v>
                </c:pt>
                <c:pt idx="2">
                  <c:v>2.666666666666667</c:v>
                </c:pt>
              </c:numCache>
            </c:numRef>
          </c:xVal>
          <c:yVal>
            <c:numRef>
              <c:f>'Result Comparison'!$H$11:$H$13</c:f>
              <c:numCache>
                <c:formatCode>0.00</c:formatCode>
                <c:ptCount val="3"/>
                <c:pt idx="0">
                  <c:v>1.1313207901564581</c:v>
                </c:pt>
                <c:pt idx="1">
                  <c:v>2.8930695330560545</c:v>
                </c:pt>
                <c:pt idx="2">
                  <c:v>7.628303249889858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10B6-41A2-9F53-2A1E82BB0EFB}"/>
            </c:ext>
          </c:extLst>
        </c:ser>
        <c:ser>
          <c:idx val="1"/>
          <c:order val="1"/>
          <c:tx>
            <c:v>E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'Result Comparison'!$G$11:$G$13</c:f>
              <c:numCache>
                <c:formatCode>0.00</c:formatCode>
                <c:ptCount val="3"/>
                <c:pt idx="0">
                  <c:v>1</c:v>
                </c:pt>
                <c:pt idx="1">
                  <c:v>1.6666666666666667</c:v>
                </c:pt>
                <c:pt idx="2">
                  <c:v>2.666666666666667</c:v>
                </c:pt>
              </c:numCache>
            </c:numRef>
          </c:xVal>
          <c:yVal>
            <c:numRef>
              <c:f>'Result Comparison'!$I$11:$I$13</c:f>
              <c:numCache>
                <c:formatCode>0.00</c:formatCode>
                <c:ptCount val="3"/>
                <c:pt idx="0">
                  <c:v>1.1100000000000001</c:v>
                </c:pt>
                <c:pt idx="1">
                  <c:v>2.8859999999999997</c:v>
                </c:pt>
                <c:pt idx="2">
                  <c:v>6.9929999999999994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3-10B6-41A2-9F53-2A1E82BB0EFB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1157520624"/>
        <c:axId val="1157500496"/>
      </c:scatterChart>
      <c:valAx>
        <c:axId val="11575206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7500496"/>
        <c:crosses val="autoZero"/>
        <c:crossBetween val="midCat"/>
      </c:valAx>
      <c:valAx>
        <c:axId val="11575004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</a:t>
                </a:r>
                <a:r>
                  <a:rPr lang="en-US" baseline="0"/>
                  <a:t> Load, kN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752062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A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'Result Comparison'!$G$14:$G$16</c:f>
              <c:numCache>
                <c:formatCode>0.00</c:formatCode>
                <c:ptCount val="3"/>
                <c:pt idx="0">
                  <c:v>2</c:v>
                </c:pt>
                <c:pt idx="1">
                  <c:v>3.3333333333333335</c:v>
                </c:pt>
                <c:pt idx="2">
                  <c:v>5.3333333333333339</c:v>
                </c:pt>
              </c:numCache>
            </c:numRef>
          </c:xVal>
          <c:yVal>
            <c:numRef>
              <c:f>'Result Comparison'!$H$14:$H$16</c:f>
              <c:numCache>
                <c:formatCode>0.00</c:formatCode>
                <c:ptCount val="3"/>
                <c:pt idx="0">
                  <c:v>0.84657900216368842</c:v>
                </c:pt>
                <c:pt idx="1">
                  <c:v>2.8342828666779312</c:v>
                </c:pt>
                <c:pt idx="2">
                  <c:v>9.4188343236594214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002E-438E-B96E-B88B4106E1B9}"/>
            </c:ext>
          </c:extLst>
        </c:ser>
        <c:ser>
          <c:idx val="1"/>
          <c:order val="1"/>
          <c:tx>
            <c:v>E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'Result Comparison'!$G$14:$G$16</c:f>
              <c:numCache>
                <c:formatCode>0.00</c:formatCode>
                <c:ptCount val="3"/>
                <c:pt idx="0">
                  <c:v>2</c:v>
                </c:pt>
                <c:pt idx="1">
                  <c:v>3.3333333333333335</c:v>
                </c:pt>
                <c:pt idx="2">
                  <c:v>5.3333333333333339</c:v>
                </c:pt>
              </c:numCache>
            </c:numRef>
          </c:xVal>
          <c:yVal>
            <c:numRef>
              <c:f>'Result Comparison'!$I$14:$I$16</c:f>
              <c:numCache>
                <c:formatCode>0.00</c:formatCode>
                <c:ptCount val="3"/>
                <c:pt idx="0">
                  <c:v>0.61049999999999993</c:v>
                </c:pt>
                <c:pt idx="1">
                  <c:v>1.9424999999999999</c:v>
                </c:pt>
                <c:pt idx="2">
                  <c:v>7.2149999999999999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3-002E-438E-B96E-B88B4106E1B9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1157524976"/>
        <c:axId val="1157499952"/>
      </c:scatterChart>
      <c:valAx>
        <c:axId val="11575249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7499952"/>
        <c:crosses val="autoZero"/>
        <c:crossBetween val="midCat"/>
      </c:valAx>
      <c:valAx>
        <c:axId val="1157499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</a:t>
                </a:r>
                <a:r>
                  <a:rPr lang="en-US" baseline="0"/>
                  <a:t> Load, kN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752497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A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'Result Comparison'!$G$17:$G$19</c:f>
              <c:numCache>
                <c:formatCode>0.00</c:formatCode>
                <c:ptCount val="3"/>
                <c:pt idx="0">
                  <c:v>1</c:v>
                </c:pt>
                <c:pt idx="1">
                  <c:v>1.6666666666666667</c:v>
                </c:pt>
                <c:pt idx="2">
                  <c:v>2.666666666666667</c:v>
                </c:pt>
              </c:numCache>
            </c:numRef>
          </c:xVal>
          <c:yVal>
            <c:numRef>
              <c:f>'Result Comparison'!$H$17:$H$19</c:f>
              <c:numCache>
                <c:formatCode>0.00</c:formatCode>
                <c:ptCount val="3"/>
                <c:pt idx="0">
                  <c:v>1.5950537595668268</c:v>
                </c:pt>
                <c:pt idx="1">
                  <c:v>4.5263794150199823</c:v>
                </c:pt>
                <c:pt idx="2">
                  <c:v>13.193321487415071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DE0D-4417-8E80-674EA12164A5}"/>
            </c:ext>
          </c:extLst>
        </c:ser>
        <c:ser>
          <c:idx val="1"/>
          <c:order val="1"/>
          <c:tx>
            <c:v>E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'Result Comparison'!$G$17:$G$19</c:f>
              <c:numCache>
                <c:formatCode>0.00</c:formatCode>
                <c:ptCount val="3"/>
                <c:pt idx="0">
                  <c:v>1</c:v>
                </c:pt>
                <c:pt idx="1">
                  <c:v>1.6666666666666667</c:v>
                </c:pt>
                <c:pt idx="2">
                  <c:v>2.666666666666667</c:v>
                </c:pt>
              </c:numCache>
            </c:numRef>
          </c:xVal>
          <c:yVal>
            <c:numRef>
              <c:f>'Result Comparison'!$I$17:$I$19</c:f>
              <c:numCache>
                <c:formatCode>0.00</c:formatCode>
                <c:ptCount val="3"/>
                <c:pt idx="0">
                  <c:v>1.3319999999999999</c:v>
                </c:pt>
                <c:pt idx="1">
                  <c:v>3.2189999999999999</c:v>
                </c:pt>
                <c:pt idx="2">
                  <c:v>9.1575000000000006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3-DE0D-4417-8E80-674EA12164A5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1157507024"/>
        <c:axId val="1157502672"/>
      </c:scatterChart>
      <c:valAx>
        <c:axId val="11575070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7502672"/>
        <c:crosses val="autoZero"/>
        <c:crossBetween val="midCat"/>
      </c:valAx>
      <c:valAx>
        <c:axId val="11575026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</a:t>
                </a:r>
                <a:r>
                  <a:rPr lang="en-US" baseline="0"/>
                  <a:t> Load, kN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750702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A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'Result Comparison'!$G$20:$G$22</c:f>
              <c:numCache>
                <c:formatCode>0.00</c:formatCode>
                <c:ptCount val="3"/>
                <c:pt idx="0">
                  <c:v>2</c:v>
                </c:pt>
                <c:pt idx="1">
                  <c:v>3.3333333333333335</c:v>
                </c:pt>
                <c:pt idx="2">
                  <c:v>5.3333333333333339</c:v>
                </c:pt>
              </c:numCache>
            </c:numRef>
          </c:xVal>
          <c:yVal>
            <c:numRef>
              <c:f>'Result Comparison'!$H$20:$H$22</c:f>
              <c:numCache>
                <c:formatCode>0.00</c:formatCode>
                <c:ptCount val="3"/>
                <c:pt idx="0">
                  <c:v>1.089496816982179</c:v>
                </c:pt>
                <c:pt idx="1">
                  <c:v>3.7976101750728732</c:v>
                </c:pt>
                <c:pt idx="2">
                  <c:v>13.008305739323143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53A3-4EF2-870D-E16831510630}"/>
            </c:ext>
          </c:extLst>
        </c:ser>
        <c:ser>
          <c:idx val="1"/>
          <c:order val="1"/>
          <c:tx>
            <c:v>E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'Result Comparison'!$G$20:$G$22</c:f>
              <c:numCache>
                <c:formatCode>0.00</c:formatCode>
                <c:ptCount val="3"/>
                <c:pt idx="0">
                  <c:v>2</c:v>
                </c:pt>
                <c:pt idx="1">
                  <c:v>3.3333333333333335</c:v>
                </c:pt>
                <c:pt idx="2">
                  <c:v>5.3333333333333339</c:v>
                </c:pt>
              </c:numCache>
            </c:numRef>
          </c:xVal>
          <c:yVal>
            <c:numRef>
              <c:f>'Result Comparison'!$I$20:$I$22</c:f>
              <c:numCache>
                <c:formatCode>0.00</c:formatCode>
                <c:ptCount val="3"/>
                <c:pt idx="0">
                  <c:v>0.66599999999999993</c:v>
                </c:pt>
                <c:pt idx="1">
                  <c:v>2.4419999999999997</c:v>
                </c:pt>
                <c:pt idx="2">
                  <c:v>10.101000000000001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3-53A3-4EF2-870D-E16831510630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1177963712"/>
        <c:axId val="1177941952"/>
      </c:scatterChart>
      <c:valAx>
        <c:axId val="11779637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7941952"/>
        <c:crosses val="autoZero"/>
        <c:crossBetween val="midCat"/>
      </c:valAx>
      <c:valAx>
        <c:axId val="1177941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</a:t>
                </a:r>
                <a:r>
                  <a:rPr lang="en-US" baseline="0"/>
                  <a:t> Load, kN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796371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A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'Result Comparison'!$G$23:$G$25</c:f>
              <c:numCache>
                <c:formatCode>0.00</c:formatCode>
                <c:ptCount val="3"/>
                <c:pt idx="0">
                  <c:v>1</c:v>
                </c:pt>
                <c:pt idx="1">
                  <c:v>1.6666666666666667</c:v>
                </c:pt>
                <c:pt idx="2">
                  <c:v>2.666666666666667</c:v>
                </c:pt>
              </c:numCache>
            </c:numRef>
          </c:xVal>
          <c:yVal>
            <c:numRef>
              <c:f>'Result Comparison'!$H$23:$H$25</c:f>
              <c:numCache>
                <c:formatCode>0.00</c:formatCode>
                <c:ptCount val="3"/>
                <c:pt idx="0">
                  <c:v>1.933101864898275</c:v>
                </c:pt>
                <c:pt idx="1">
                  <c:v>5.7348325303953631</c:v>
                </c:pt>
                <c:pt idx="2">
                  <c:v>17.38277496894872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2059-40B4-985E-718DAD8C10E2}"/>
            </c:ext>
          </c:extLst>
        </c:ser>
        <c:ser>
          <c:idx val="1"/>
          <c:order val="1"/>
          <c:tx>
            <c:v>E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'Result Comparison'!$G$23:$G$25</c:f>
              <c:numCache>
                <c:formatCode>0.00</c:formatCode>
                <c:ptCount val="3"/>
                <c:pt idx="0">
                  <c:v>1</c:v>
                </c:pt>
                <c:pt idx="1">
                  <c:v>1.6666666666666667</c:v>
                </c:pt>
                <c:pt idx="2">
                  <c:v>2.666666666666667</c:v>
                </c:pt>
              </c:numCache>
            </c:numRef>
          </c:xVal>
          <c:yVal>
            <c:numRef>
              <c:f>'Result Comparison'!$I$23:$I$25</c:f>
              <c:numCache>
                <c:formatCode>0.00</c:formatCode>
                <c:ptCount val="3"/>
                <c:pt idx="0">
                  <c:v>1.4429999999999998</c:v>
                </c:pt>
                <c:pt idx="1">
                  <c:v>4.1070000000000002</c:v>
                </c:pt>
                <c:pt idx="2">
                  <c:v>12.987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3-2059-40B4-985E-718DAD8C10E2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1177942496"/>
        <c:axId val="1177947936"/>
      </c:scatterChart>
      <c:valAx>
        <c:axId val="11779424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7947936"/>
        <c:crosses val="autoZero"/>
        <c:crossBetween val="midCat"/>
      </c:valAx>
      <c:valAx>
        <c:axId val="117794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</a:t>
                </a:r>
                <a:r>
                  <a:rPr lang="en-US" baseline="0"/>
                  <a:t> Load, kN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794249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</a:t>
            </a:r>
            <a:r>
              <a:rPr lang="en-US" baseline="0"/>
              <a:t> Size= 15cm*15cm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34.22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Graph!$I$8:$I$10</c:f>
              <c:numCache>
                <c:formatCode>0.00</c:formatCode>
                <c:ptCount val="3"/>
                <c:pt idx="0">
                  <c:v>2</c:v>
                </c:pt>
                <c:pt idx="1">
                  <c:v>3.3333333333333335</c:v>
                </c:pt>
                <c:pt idx="2">
                  <c:v>5.3333333333333339</c:v>
                </c:pt>
              </c:numCache>
            </c:numRef>
          </c:xVal>
          <c:yVal>
            <c:numRef>
              <c:f>Graph!$K$8:$K$10</c:f>
              <c:numCache>
                <c:formatCode>0.00</c:formatCode>
                <c:ptCount val="3"/>
                <c:pt idx="0">
                  <c:v>0.52042507638601998</c:v>
                </c:pt>
                <c:pt idx="1">
                  <c:v>1.5649119948048364</c:v>
                </c:pt>
                <c:pt idx="2">
                  <c:v>4.7592559519667388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42.09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Graph!$I$14:$I$16</c:f>
              <c:numCache>
                <c:formatCode>0.00</c:formatCode>
                <c:ptCount val="3"/>
                <c:pt idx="0">
                  <c:v>2</c:v>
                </c:pt>
                <c:pt idx="1">
                  <c:v>3.3333333333333335</c:v>
                </c:pt>
                <c:pt idx="2">
                  <c:v>5.3333333333333339</c:v>
                </c:pt>
              </c:numCache>
            </c:numRef>
          </c:xVal>
          <c:yVal>
            <c:numRef>
              <c:f>Graph!$K$14:$K$16</c:f>
              <c:numCache>
                <c:formatCode>0.00</c:formatCode>
                <c:ptCount val="3"/>
                <c:pt idx="0">
                  <c:v>0.84657900216368842</c:v>
                </c:pt>
                <c:pt idx="1">
                  <c:v>2.8342828666779312</c:v>
                </c:pt>
                <c:pt idx="2">
                  <c:v>9.4188343236594214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ser>
          <c:idx val="2"/>
          <c:order val="2"/>
          <c:tx>
            <c:v>45.62</c:v>
          </c:tx>
          <c:spPr>
            <a:ln w="22225" cap="rnd">
              <a:solidFill>
                <a:schemeClr val="accent3"/>
              </a:solidFill>
            </a:ln>
            <a:effectLst>
              <a:glow rad="139700">
                <a:schemeClr val="accent3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3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Graph!$I$20:$I$22</c:f>
              <c:numCache>
                <c:formatCode>0.00</c:formatCode>
                <c:ptCount val="3"/>
                <c:pt idx="0">
                  <c:v>2</c:v>
                </c:pt>
                <c:pt idx="1">
                  <c:v>3.3333333333333335</c:v>
                </c:pt>
                <c:pt idx="2">
                  <c:v>5.3333333333333339</c:v>
                </c:pt>
              </c:numCache>
            </c:numRef>
          </c:xVal>
          <c:yVal>
            <c:numRef>
              <c:f>Graph!$K$20:$K$22</c:f>
              <c:numCache>
                <c:formatCode>0.00</c:formatCode>
                <c:ptCount val="3"/>
                <c:pt idx="0">
                  <c:v>1.089496816982179</c:v>
                </c:pt>
                <c:pt idx="1">
                  <c:v>3.7976101750728732</c:v>
                </c:pt>
                <c:pt idx="2">
                  <c:v>13.008305739323143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7943584"/>
        <c:axId val="1177965344"/>
      </c:scatterChart>
      <c:valAx>
        <c:axId val="11779435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</a:t>
                </a:r>
                <a:r>
                  <a:rPr lang="en-US" baseline="0"/>
                  <a:t> RATIO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7965344"/>
        <c:crosses val="autoZero"/>
        <c:crossBetween val="midCat"/>
      </c:valAx>
      <c:valAx>
        <c:axId val="11779653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LOAD, kN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7943584"/>
        <c:crosses val="autoZero"/>
        <c:crossBetween val="midCat"/>
      </c:valAx>
      <c:spPr>
        <a:noFill/>
        <a:ln w="25400">
          <a:noFill/>
        </a:ln>
        <a:effectLst/>
      </c:spPr>
    </c:plotArea>
    <c:legend>
      <c:legendPos val="t"/>
      <c:layout>
        <c:manualLayout>
          <c:xMode val="edge"/>
          <c:yMode val="edge"/>
          <c:x val="0.26638669633384343"/>
          <c:y val="0.14406048276824576"/>
          <c:w val="0.44440030765212596"/>
          <c:h val="9.105574856489286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</a:t>
            </a:r>
            <a:r>
              <a:rPr lang="en-US" baseline="0"/>
              <a:t> Size= 30cm*30cm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34.22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Graph!$I$11:$I$13</c:f>
              <c:numCache>
                <c:formatCode>0.00</c:formatCode>
                <c:ptCount val="3"/>
                <c:pt idx="0">
                  <c:v>1</c:v>
                </c:pt>
                <c:pt idx="1">
                  <c:v>1.6666666666666667</c:v>
                </c:pt>
                <c:pt idx="2">
                  <c:v>2.666666666666667</c:v>
                </c:pt>
              </c:numCache>
            </c:numRef>
          </c:xVal>
          <c:yVal>
            <c:numRef>
              <c:f>Graph!$K$11:$K$13</c:f>
              <c:numCache>
                <c:formatCode>0.00</c:formatCode>
                <c:ptCount val="3"/>
                <c:pt idx="0">
                  <c:v>1.1313207901564581</c:v>
                </c:pt>
                <c:pt idx="1">
                  <c:v>2.8930695330560545</c:v>
                </c:pt>
                <c:pt idx="2">
                  <c:v>7.628303249889858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3-E8D3-48C4-B6DD-7B1C2B61E899}"/>
            </c:ext>
          </c:extLst>
        </c:ser>
        <c:ser>
          <c:idx val="1"/>
          <c:order val="1"/>
          <c:tx>
            <c:v>42.09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Graph!$I$17:$I$19</c:f>
              <c:numCache>
                <c:formatCode>0.00</c:formatCode>
                <c:ptCount val="3"/>
                <c:pt idx="0">
                  <c:v>1</c:v>
                </c:pt>
                <c:pt idx="1">
                  <c:v>1.6666666666666667</c:v>
                </c:pt>
                <c:pt idx="2">
                  <c:v>2.666666666666667</c:v>
                </c:pt>
              </c:numCache>
            </c:numRef>
          </c:xVal>
          <c:yVal>
            <c:numRef>
              <c:f>Graph!$K$17:$K$19</c:f>
              <c:numCache>
                <c:formatCode>0.00</c:formatCode>
                <c:ptCount val="3"/>
                <c:pt idx="0">
                  <c:v>1.5950537595668268</c:v>
                </c:pt>
                <c:pt idx="1">
                  <c:v>4.5263794150199823</c:v>
                </c:pt>
                <c:pt idx="2">
                  <c:v>13.193321487415071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4-E8D3-48C4-B6DD-7B1C2B61E899}"/>
            </c:ext>
          </c:extLst>
        </c:ser>
        <c:ser>
          <c:idx val="2"/>
          <c:order val="2"/>
          <c:tx>
            <c:v>45.62</c:v>
          </c:tx>
          <c:spPr>
            <a:ln w="22225" cap="rnd">
              <a:solidFill>
                <a:schemeClr val="accent3"/>
              </a:solidFill>
            </a:ln>
            <a:effectLst>
              <a:glow rad="139700">
                <a:schemeClr val="accent3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3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Graph!$I$23:$I$25</c:f>
              <c:numCache>
                <c:formatCode>0.00</c:formatCode>
                <c:ptCount val="3"/>
                <c:pt idx="0">
                  <c:v>1</c:v>
                </c:pt>
                <c:pt idx="1">
                  <c:v>1.6666666666666667</c:v>
                </c:pt>
                <c:pt idx="2">
                  <c:v>2.666666666666667</c:v>
                </c:pt>
              </c:numCache>
            </c:numRef>
          </c:xVal>
          <c:yVal>
            <c:numRef>
              <c:f>Graph!$K$23:$K$25</c:f>
              <c:numCache>
                <c:formatCode>0.00</c:formatCode>
                <c:ptCount val="3"/>
                <c:pt idx="0">
                  <c:v>1.933101864898275</c:v>
                </c:pt>
                <c:pt idx="1">
                  <c:v>5.7348325303953631</c:v>
                </c:pt>
                <c:pt idx="2">
                  <c:v>17.38277496894872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5-E8D3-48C4-B6DD-7B1C2B61E8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7950112"/>
        <c:axId val="1177949024"/>
      </c:scatterChart>
      <c:valAx>
        <c:axId val="11779501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</a:t>
                </a:r>
                <a:r>
                  <a:rPr lang="en-US" baseline="0"/>
                  <a:t> RATIO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7949024"/>
        <c:crosses val="autoZero"/>
        <c:crossBetween val="midCat"/>
      </c:valAx>
      <c:valAx>
        <c:axId val="1177949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LOAD, kN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7950112"/>
        <c:crosses val="autoZero"/>
        <c:crossBetween val="midCat"/>
      </c:valAx>
      <c:spPr>
        <a:noFill/>
        <a:ln w="25400"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</a:t>
            </a:r>
            <a:r>
              <a:rPr lang="en-US" baseline="0"/>
              <a:t> Size= 15cm*15cm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34.22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Graph!$I$8:$I$10</c:f>
              <c:numCache>
                <c:formatCode>0.00</c:formatCode>
                <c:ptCount val="3"/>
                <c:pt idx="0">
                  <c:v>2</c:v>
                </c:pt>
                <c:pt idx="1">
                  <c:v>3.3333333333333335</c:v>
                </c:pt>
                <c:pt idx="2">
                  <c:v>5.3333333333333339</c:v>
                </c:pt>
              </c:numCache>
            </c:numRef>
          </c:xVal>
          <c:yVal>
            <c:numRef>
              <c:f>Graph!$M$8:$M$10</c:f>
              <c:numCache>
                <c:formatCode>0.00</c:formatCode>
                <c:ptCount val="3"/>
                <c:pt idx="0">
                  <c:v>0.49949999999999994</c:v>
                </c:pt>
                <c:pt idx="1">
                  <c:v>1.554</c:v>
                </c:pt>
                <c:pt idx="2">
                  <c:v>4.2734999999999994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D-4FE0-4EAE-94A4-7233D21D8361}"/>
            </c:ext>
          </c:extLst>
        </c:ser>
        <c:ser>
          <c:idx val="1"/>
          <c:order val="1"/>
          <c:tx>
            <c:v>42.09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Graph!$I$14:$I$16</c:f>
              <c:numCache>
                <c:formatCode>0.00</c:formatCode>
                <c:ptCount val="3"/>
                <c:pt idx="0">
                  <c:v>2</c:v>
                </c:pt>
                <c:pt idx="1">
                  <c:v>3.3333333333333335</c:v>
                </c:pt>
                <c:pt idx="2">
                  <c:v>5.3333333333333339</c:v>
                </c:pt>
              </c:numCache>
            </c:numRef>
          </c:xVal>
          <c:yVal>
            <c:numRef>
              <c:f>Graph!$M$14:$M$16</c:f>
              <c:numCache>
                <c:formatCode>0.00</c:formatCode>
                <c:ptCount val="3"/>
                <c:pt idx="0">
                  <c:v>0.61049999999999993</c:v>
                </c:pt>
                <c:pt idx="1">
                  <c:v>1.9424999999999999</c:v>
                </c:pt>
                <c:pt idx="2">
                  <c:v>7.2149999999999999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4FE0-4EAE-94A4-7233D21D8361}"/>
            </c:ext>
          </c:extLst>
        </c:ser>
        <c:ser>
          <c:idx val="2"/>
          <c:order val="2"/>
          <c:tx>
            <c:v>45.62</c:v>
          </c:tx>
          <c:spPr>
            <a:ln w="22225" cap="rnd">
              <a:solidFill>
                <a:schemeClr val="accent3"/>
              </a:solidFill>
            </a:ln>
            <a:effectLst>
              <a:glow rad="139700">
                <a:schemeClr val="accent3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3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Graph!$I$20:$I$22</c:f>
              <c:numCache>
                <c:formatCode>0.00</c:formatCode>
                <c:ptCount val="3"/>
                <c:pt idx="0">
                  <c:v>2</c:v>
                </c:pt>
                <c:pt idx="1">
                  <c:v>3.3333333333333335</c:v>
                </c:pt>
                <c:pt idx="2">
                  <c:v>5.3333333333333339</c:v>
                </c:pt>
              </c:numCache>
            </c:numRef>
          </c:xVal>
          <c:yVal>
            <c:numRef>
              <c:f>Graph!$M$20:$M$22</c:f>
              <c:numCache>
                <c:formatCode>0.00</c:formatCode>
                <c:ptCount val="3"/>
                <c:pt idx="0">
                  <c:v>0.66599999999999993</c:v>
                </c:pt>
                <c:pt idx="1">
                  <c:v>2.4419999999999997</c:v>
                </c:pt>
                <c:pt idx="2">
                  <c:v>10.101000000000001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F-4FE0-4EAE-94A4-7233D21D83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7941408"/>
        <c:axId val="1177965888"/>
      </c:scatterChart>
      <c:valAx>
        <c:axId val="11779414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</a:t>
                </a:r>
                <a:r>
                  <a:rPr lang="en-US" baseline="0"/>
                  <a:t> RATIO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7965888"/>
        <c:crosses val="autoZero"/>
        <c:crossBetween val="midCat"/>
      </c:valAx>
      <c:valAx>
        <c:axId val="1177965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LOAD, kN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7941408"/>
        <c:crosses val="autoZero"/>
        <c:crossBetween val="midCat"/>
      </c:valAx>
      <c:spPr>
        <a:noFill/>
        <a:ln w="25400">
          <a:noFill/>
        </a:ln>
        <a:effectLst/>
      </c:spPr>
    </c:plotArea>
    <c:legend>
      <c:legendPos val="t"/>
      <c:layout>
        <c:manualLayout>
          <c:xMode val="edge"/>
          <c:yMode val="edge"/>
          <c:x val="0.27749530376653092"/>
          <c:y val="0.11906672783905158"/>
          <c:w val="0.39984607377102166"/>
          <c:h val="8.89338716323631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</a:t>
            </a:r>
            <a:r>
              <a:rPr lang="en-US" baseline="0"/>
              <a:t> Size= 30cm*30cm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34.22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Graph!$I$11:$I$13</c:f>
              <c:numCache>
                <c:formatCode>0.00</c:formatCode>
                <c:ptCount val="3"/>
                <c:pt idx="0">
                  <c:v>1</c:v>
                </c:pt>
                <c:pt idx="1">
                  <c:v>1.6666666666666667</c:v>
                </c:pt>
                <c:pt idx="2">
                  <c:v>2.666666666666667</c:v>
                </c:pt>
              </c:numCache>
            </c:numRef>
          </c:xVal>
          <c:yVal>
            <c:numRef>
              <c:f>Graph!$M$11:$M$13</c:f>
              <c:numCache>
                <c:formatCode>0.00</c:formatCode>
                <c:ptCount val="3"/>
                <c:pt idx="0">
                  <c:v>1.1100000000000001</c:v>
                </c:pt>
                <c:pt idx="1">
                  <c:v>2.8859999999999997</c:v>
                </c:pt>
                <c:pt idx="2">
                  <c:v>6.9929999999999994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4-90F2-497F-B11B-E817777C0681}"/>
            </c:ext>
          </c:extLst>
        </c:ser>
        <c:ser>
          <c:idx val="1"/>
          <c:order val="1"/>
          <c:tx>
            <c:v>42.09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Graph!$I$17:$I$19</c:f>
              <c:numCache>
                <c:formatCode>0.00</c:formatCode>
                <c:ptCount val="3"/>
                <c:pt idx="0">
                  <c:v>1</c:v>
                </c:pt>
                <c:pt idx="1">
                  <c:v>1.6666666666666667</c:v>
                </c:pt>
                <c:pt idx="2">
                  <c:v>2.666666666666667</c:v>
                </c:pt>
              </c:numCache>
            </c:numRef>
          </c:xVal>
          <c:yVal>
            <c:numRef>
              <c:f>Graph!$M$17:$M$19</c:f>
              <c:numCache>
                <c:formatCode>0.00</c:formatCode>
                <c:ptCount val="3"/>
                <c:pt idx="0">
                  <c:v>1.3319999999999999</c:v>
                </c:pt>
                <c:pt idx="1">
                  <c:v>3.2189999999999999</c:v>
                </c:pt>
                <c:pt idx="2">
                  <c:v>9.1575000000000006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5-90F2-497F-B11B-E817777C0681}"/>
            </c:ext>
          </c:extLst>
        </c:ser>
        <c:ser>
          <c:idx val="2"/>
          <c:order val="2"/>
          <c:tx>
            <c:v>45.62</c:v>
          </c:tx>
          <c:spPr>
            <a:ln w="22225" cap="rnd">
              <a:solidFill>
                <a:schemeClr val="accent3"/>
              </a:solidFill>
            </a:ln>
            <a:effectLst>
              <a:glow rad="139700">
                <a:schemeClr val="accent3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3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Graph!$I$23:$I$25</c:f>
              <c:numCache>
                <c:formatCode>0.00</c:formatCode>
                <c:ptCount val="3"/>
                <c:pt idx="0">
                  <c:v>1</c:v>
                </c:pt>
                <c:pt idx="1">
                  <c:v>1.6666666666666667</c:v>
                </c:pt>
                <c:pt idx="2">
                  <c:v>2.666666666666667</c:v>
                </c:pt>
              </c:numCache>
            </c:numRef>
          </c:xVal>
          <c:yVal>
            <c:numRef>
              <c:f>Graph!$M$23:$M$25</c:f>
              <c:numCache>
                <c:formatCode>0.00</c:formatCode>
                <c:ptCount val="3"/>
                <c:pt idx="0">
                  <c:v>1.4429999999999998</c:v>
                </c:pt>
                <c:pt idx="1">
                  <c:v>4.1070000000000002</c:v>
                </c:pt>
                <c:pt idx="2">
                  <c:v>12.987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6-90F2-497F-B11B-E817777C06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7951200"/>
        <c:axId val="1177939776"/>
      </c:scatterChart>
      <c:valAx>
        <c:axId val="11779512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</a:t>
                </a:r>
                <a:r>
                  <a:rPr lang="en-US" baseline="0"/>
                  <a:t> RATIO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7939776"/>
        <c:crosses val="autoZero"/>
        <c:crossBetween val="midCat"/>
      </c:valAx>
      <c:valAx>
        <c:axId val="11779397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LOAD, kN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7951200"/>
        <c:crosses val="autoZero"/>
        <c:crossBetween val="midCat"/>
      </c:valAx>
      <c:spPr>
        <a:noFill/>
        <a:ln w="25400"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</a:t>
            </a:r>
            <a:r>
              <a:rPr lang="en-US" baseline="0"/>
              <a:t> Size= 15cm*15cm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34.22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Graph!$I$8:$I$10</c:f>
              <c:numCache>
                <c:formatCode>0.00</c:formatCode>
                <c:ptCount val="3"/>
                <c:pt idx="0">
                  <c:v>2</c:v>
                </c:pt>
                <c:pt idx="1">
                  <c:v>3.3333333333333335</c:v>
                </c:pt>
                <c:pt idx="2">
                  <c:v>5.3333333333333339</c:v>
                </c:pt>
              </c:numCache>
            </c:numRef>
          </c:xVal>
          <c:yVal>
            <c:numRef>
              <c:f>Graph!$J$8:$J$10</c:f>
              <c:numCache>
                <c:formatCode>0.00</c:formatCode>
                <c:ptCount val="3"/>
                <c:pt idx="0">
                  <c:v>4.7040885488985609</c:v>
                </c:pt>
                <c:pt idx="1">
                  <c:v>8.4870828814579973</c:v>
                </c:pt>
                <c:pt idx="2">
                  <c:v>16.131977330237742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D73D-450B-8F0E-41E920934C01}"/>
            </c:ext>
          </c:extLst>
        </c:ser>
        <c:ser>
          <c:idx val="1"/>
          <c:order val="1"/>
          <c:tx>
            <c:v>42.09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Graph!$I$14:$I$16</c:f>
              <c:numCache>
                <c:formatCode>0.00</c:formatCode>
                <c:ptCount val="3"/>
                <c:pt idx="0">
                  <c:v>2</c:v>
                </c:pt>
                <c:pt idx="1">
                  <c:v>3.3333333333333335</c:v>
                </c:pt>
                <c:pt idx="2">
                  <c:v>5.3333333333333339</c:v>
                </c:pt>
              </c:numCache>
            </c:numRef>
          </c:xVal>
          <c:yVal>
            <c:numRef>
              <c:f>Graph!$J$14:$J$16</c:f>
              <c:numCache>
                <c:formatCode>0.00</c:formatCode>
                <c:ptCount val="3"/>
                <c:pt idx="0">
                  <c:v>7.2918088041661377</c:v>
                </c:pt>
                <c:pt idx="1">
                  <c:v>14.647456675338148</c:v>
                </c:pt>
                <c:pt idx="2">
                  <c:v>30.422591484688056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D73D-450B-8F0E-41E920934C01}"/>
            </c:ext>
          </c:extLst>
        </c:ser>
        <c:ser>
          <c:idx val="2"/>
          <c:order val="2"/>
          <c:tx>
            <c:v>45.62</c:v>
          </c:tx>
          <c:spPr>
            <a:ln w="22225" cap="rnd">
              <a:solidFill>
                <a:schemeClr val="accent3"/>
              </a:solidFill>
            </a:ln>
            <a:effectLst>
              <a:glow rad="139700">
                <a:schemeClr val="accent3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3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Graph!$I$20:$I$22</c:f>
              <c:numCache>
                <c:formatCode>0.00</c:formatCode>
                <c:ptCount val="3"/>
                <c:pt idx="0">
                  <c:v>2</c:v>
                </c:pt>
                <c:pt idx="1">
                  <c:v>3.3333333333333335</c:v>
                </c:pt>
                <c:pt idx="2">
                  <c:v>5.3333333333333339</c:v>
                </c:pt>
              </c:numCache>
            </c:numRef>
          </c:xVal>
          <c:yVal>
            <c:numRef>
              <c:f>Graph!$J$20:$J$22</c:f>
              <c:numCache>
                <c:formatCode>0.00</c:formatCode>
                <c:ptCount val="3"/>
                <c:pt idx="0">
                  <c:v>8.9422125124217011</c:v>
                </c:pt>
                <c:pt idx="1">
                  <c:v>18.701681379244683</c:v>
                </c:pt>
                <c:pt idx="2">
                  <c:v>40.037875467291911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D73D-450B-8F0E-41E920934C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7952288"/>
        <c:axId val="1177959360"/>
      </c:scatterChart>
      <c:valAx>
        <c:axId val="11779522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</a:t>
                </a:r>
                <a:r>
                  <a:rPr lang="en-US" baseline="0"/>
                  <a:t> RATIO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7959360"/>
        <c:crosses val="autoZero"/>
        <c:crossBetween val="midCat"/>
      </c:valAx>
      <c:valAx>
        <c:axId val="1177959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BREAKOUT FACTOR, Nq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7952288"/>
        <c:crosses val="autoZero"/>
        <c:crossBetween val="midCat"/>
      </c:valAx>
      <c:spPr>
        <a:noFill/>
        <a:ln w="25400">
          <a:noFill/>
        </a:ln>
        <a:effectLst/>
      </c:spPr>
    </c:plotArea>
    <c:legend>
      <c:legendPos val="t"/>
      <c:layout>
        <c:manualLayout>
          <c:xMode val="edge"/>
          <c:yMode val="edge"/>
          <c:x val="0.26638669633384343"/>
          <c:y val="0.14406048276824576"/>
          <c:w val="0.44124246254854216"/>
          <c:h val="8.773048727970567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</a:t>
            </a:r>
            <a:r>
              <a:rPr lang="en-US" baseline="0"/>
              <a:t> Size= 15cm*15cm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34.22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Graph!$I$8:$I$10</c:f>
              <c:numCache>
                <c:formatCode>0.00</c:formatCode>
                <c:ptCount val="3"/>
                <c:pt idx="0">
                  <c:v>2</c:v>
                </c:pt>
                <c:pt idx="1">
                  <c:v>3.3333333333333335</c:v>
                </c:pt>
                <c:pt idx="2">
                  <c:v>5.3333333333333339</c:v>
                </c:pt>
              </c:numCache>
            </c:numRef>
          </c:xVal>
          <c:yVal>
            <c:numRef>
              <c:f>Graph!$L$8:$L$10</c:f>
              <c:numCache>
                <c:formatCode>0.00</c:formatCode>
                <c:ptCount val="3"/>
                <c:pt idx="0">
                  <c:v>4.5149481391092134</c:v>
                </c:pt>
                <c:pt idx="1">
                  <c:v>8.4279031930038659</c:v>
                </c:pt>
                <c:pt idx="2">
                  <c:v>14.485458612975389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030F-4C17-96D1-5A99F568ED18}"/>
            </c:ext>
          </c:extLst>
        </c:ser>
        <c:ser>
          <c:idx val="1"/>
          <c:order val="1"/>
          <c:tx>
            <c:v>42.09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Graph!$I$14:$I$16</c:f>
              <c:numCache>
                <c:formatCode>0.00</c:formatCode>
                <c:ptCount val="3"/>
                <c:pt idx="0">
                  <c:v>2</c:v>
                </c:pt>
                <c:pt idx="1">
                  <c:v>3.3333333333333335</c:v>
                </c:pt>
                <c:pt idx="2">
                  <c:v>5.3333333333333339</c:v>
                </c:pt>
              </c:numCache>
            </c:numRef>
          </c:xVal>
          <c:yVal>
            <c:numRef>
              <c:f>Graph!$L$14:$L$16</c:f>
              <c:numCache>
                <c:formatCode>0.00</c:formatCode>
                <c:ptCount val="3"/>
                <c:pt idx="0">
                  <c:v>5.2583979328165373</c:v>
                </c:pt>
                <c:pt idx="1">
                  <c:v>10.038759689922481</c:v>
                </c:pt>
                <c:pt idx="2">
                  <c:v>23.304263565891478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030F-4C17-96D1-5A99F568ED18}"/>
            </c:ext>
          </c:extLst>
        </c:ser>
        <c:ser>
          <c:idx val="2"/>
          <c:order val="2"/>
          <c:tx>
            <c:v>45.62</c:v>
          </c:tx>
          <c:spPr>
            <a:ln w="22225" cap="rnd">
              <a:solidFill>
                <a:schemeClr val="accent3"/>
              </a:solidFill>
            </a:ln>
            <a:effectLst>
              <a:glow rad="139700">
                <a:schemeClr val="accent3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3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Graph!$I$20:$I$22</c:f>
              <c:numCache>
                <c:formatCode>0.00</c:formatCode>
                <c:ptCount val="3"/>
                <c:pt idx="0">
                  <c:v>2</c:v>
                </c:pt>
                <c:pt idx="1">
                  <c:v>3.3333333333333335</c:v>
                </c:pt>
                <c:pt idx="2">
                  <c:v>5.3333333333333339</c:v>
                </c:pt>
              </c:numCache>
            </c:numRef>
          </c:xVal>
          <c:yVal>
            <c:numRef>
              <c:f>Graph!$L$20:$L$22</c:f>
              <c:numCache>
                <c:formatCode>0.00</c:formatCode>
                <c:ptCount val="3"/>
                <c:pt idx="0">
                  <c:v>5.4662973222530002</c:v>
                </c:pt>
                <c:pt idx="1">
                  <c:v>12.025854108956601</c:v>
                </c:pt>
                <c:pt idx="2">
                  <c:v>31.089566020313949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030F-4C17-96D1-5A99F568ED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7952832"/>
        <c:axId val="1177966976"/>
      </c:scatterChart>
      <c:valAx>
        <c:axId val="11779528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</a:t>
                </a:r>
                <a:r>
                  <a:rPr lang="en-US" baseline="0"/>
                  <a:t> RATIO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7966976"/>
        <c:crosses val="autoZero"/>
        <c:crossBetween val="midCat"/>
      </c:valAx>
      <c:valAx>
        <c:axId val="1177966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BREAKOUT</a:t>
                </a:r>
                <a:r>
                  <a:rPr lang="en-US" baseline="0"/>
                  <a:t> FACTOR, Nq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7952832"/>
        <c:crosses val="autoZero"/>
        <c:crossBetween val="midCat"/>
      </c:valAx>
      <c:spPr>
        <a:noFill/>
        <a:ln w="25400">
          <a:noFill/>
        </a:ln>
        <a:effectLst/>
      </c:spPr>
    </c:plotArea>
    <c:legend>
      <c:legendPos val="t"/>
      <c:layout>
        <c:manualLayout>
          <c:xMode val="edge"/>
          <c:yMode val="edge"/>
          <c:x val="0.27749530376653092"/>
          <c:y val="0.11906672783905158"/>
          <c:w val="0.44262408826916111"/>
          <c:h val="8.575908034496668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</a:t>
            </a:r>
            <a:r>
              <a:rPr lang="en-US" baseline="0"/>
              <a:t> Size= 30cm*30cm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34.22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Graph!$I$11:$I$13</c:f>
              <c:numCache>
                <c:formatCode>0.00</c:formatCode>
                <c:ptCount val="3"/>
                <c:pt idx="0">
                  <c:v>1</c:v>
                </c:pt>
                <c:pt idx="1">
                  <c:v>1.6666666666666667</c:v>
                </c:pt>
                <c:pt idx="2">
                  <c:v>2.666666666666667</c:v>
                </c:pt>
              </c:numCache>
            </c:numRef>
          </c:xVal>
          <c:yVal>
            <c:numRef>
              <c:f>Graph!$J$11:$J$13</c:f>
              <c:numCache>
                <c:formatCode>0.00</c:formatCode>
                <c:ptCount val="3"/>
                <c:pt idx="0">
                  <c:v>2.5564838319581913</c:v>
                </c:pt>
                <c:pt idx="1">
                  <c:v>3.9225402115870853</c:v>
                </c:pt>
                <c:pt idx="2">
                  <c:v>6.4642255185155735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EC21-464D-BDF6-CAA709D57FF1}"/>
            </c:ext>
          </c:extLst>
        </c:ser>
        <c:ser>
          <c:idx val="1"/>
          <c:order val="1"/>
          <c:tx>
            <c:v>42.09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Graph!$I$17:$I$19</c:f>
              <c:numCache>
                <c:formatCode>0.00</c:formatCode>
                <c:ptCount val="3"/>
                <c:pt idx="0">
                  <c:v>1</c:v>
                </c:pt>
                <c:pt idx="1">
                  <c:v>1.6666666666666667</c:v>
                </c:pt>
                <c:pt idx="2">
                  <c:v>2.666666666666667</c:v>
                </c:pt>
              </c:numCache>
            </c:numRef>
          </c:xVal>
          <c:yVal>
            <c:numRef>
              <c:f>Graph!$J$17:$J$19</c:f>
              <c:numCache>
                <c:formatCode>0.00</c:formatCode>
                <c:ptCount val="3"/>
                <c:pt idx="0">
                  <c:v>3.4346549516942875</c:v>
                </c:pt>
                <c:pt idx="1">
                  <c:v>5.848035419922458</c:v>
                </c:pt>
                <c:pt idx="2">
                  <c:v>10.653521872912687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EC21-464D-BDF6-CAA709D57FF1}"/>
            </c:ext>
          </c:extLst>
        </c:ser>
        <c:ser>
          <c:idx val="2"/>
          <c:order val="2"/>
          <c:tx>
            <c:v>45.62</c:v>
          </c:tx>
          <c:spPr>
            <a:ln w="22225" cap="rnd">
              <a:solidFill>
                <a:schemeClr val="accent3"/>
              </a:solidFill>
            </a:ln>
            <a:effectLst>
              <a:glow rad="139700">
                <a:schemeClr val="accent3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3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Graph!$I$23:$I$25</c:f>
              <c:numCache>
                <c:formatCode>0.00</c:formatCode>
                <c:ptCount val="3"/>
                <c:pt idx="0">
                  <c:v>1</c:v>
                </c:pt>
                <c:pt idx="1">
                  <c:v>1.6666666666666667</c:v>
                </c:pt>
                <c:pt idx="2">
                  <c:v>2.666666666666667</c:v>
                </c:pt>
              </c:numCache>
            </c:numRef>
          </c:xVal>
          <c:yVal>
            <c:numRef>
              <c:f>Graph!$J$23:$J$25</c:f>
              <c:numCache>
                <c:formatCode>0.00</c:formatCode>
                <c:ptCount val="3"/>
                <c:pt idx="0">
                  <c:v>3.9665576380389349</c:v>
                </c:pt>
                <c:pt idx="1">
                  <c:v>7.0604278613670211</c:v>
                </c:pt>
                <c:pt idx="2">
                  <c:v>13.375480893312341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EC21-464D-BDF6-CAA709D57F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7958816"/>
        <c:axId val="1177946304"/>
      </c:scatterChart>
      <c:valAx>
        <c:axId val="11779588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</a:t>
                </a:r>
                <a:r>
                  <a:rPr lang="en-US" baseline="0"/>
                  <a:t> RATIO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7946304"/>
        <c:crosses val="autoZero"/>
        <c:crossBetween val="midCat"/>
      </c:valAx>
      <c:valAx>
        <c:axId val="11779463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BREAKOUT</a:t>
                </a:r>
                <a:r>
                  <a:rPr lang="en-US" baseline="0"/>
                  <a:t> FACTOR, Nq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7958816"/>
        <c:crosses val="autoZero"/>
        <c:crossBetween val="midCat"/>
      </c:valAx>
      <c:spPr>
        <a:noFill/>
        <a:ln w="25400"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</a:t>
            </a:r>
            <a:r>
              <a:rPr lang="en-US" baseline="0"/>
              <a:t> Size= 30cm*30cm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34.22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Graph!$I$11:$I$13</c:f>
              <c:numCache>
                <c:formatCode>0.00</c:formatCode>
                <c:ptCount val="3"/>
                <c:pt idx="0">
                  <c:v>1</c:v>
                </c:pt>
                <c:pt idx="1">
                  <c:v>1.6666666666666667</c:v>
                </c:pt>
                <c:pt idx="2">
                  <c:v>2.666666666666667</c:v>
                </c:pt>
              </c:numCache>
            </c:numRef>
          </c:xVal>
          <c:yVal>
            <c:numRef>
              <c:f>Graph!$L$11:$L$13</c:f>
              <c:numCache>
                <c:formatCode>0.00</c:formatCode>
                <c:ptCount val="3"/>
                <c:pt idx="0">
                  <c:v>2.5083045217273412</c:v>
                </c:pt>
                <c:pt idx="1">
                  <c:v>3.9129550538946511</c:v>
                </c:pt>
                <c:pt idx="2">
                  <c:v>5.925869432580841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658B-4163-A74F-D7490F1EDDA5}"/>
            </c:ext>
          </c:extLst>
        </c:ser>
        <c:ser>
          <c:idx val="1"/>
          <c:order val="1"/>
          <c:tx>
            <c:v>42.09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Graph!$I$17:$I$19</c:f>
              <c:numCache>
                <c:formatCode>0.00</c:formatCode>
                <c:ptCount val="3"/>
                <c:pt idx="0">
                  <c:v>1</c:v>
                </c:pt>
                <c:pt idx="1">
                  <c:v>1.6666666666666667</c:v>
                </c:pt>
                <c:pt idx="2">
                  <c:v>2.666666666666667</c:v>
                </c:pt>
              </c:numCache>
            </c:numRef>
          </c:xVal>
          <c:yVal>
            <c:numRef>
              <c:f>Graph!$L$17:$L$19</c:f>
              <c:numCache>
                <c:formatCode>0.00</c:formatCode>
                <c:ptCount val="3"/>
                <c:pt idx="0">
                  <c:v>2.8682170542635661</c:v>
                </c:pt>
                <c:pt idx="1">
                  <c:v>4.1589147286821708</c:v>
                </c:pt>
                <c:pt idx="2">
                  <c:v>7.3946220930232576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658B-4163-A74F-D7490F1EDDA5}"/>
            </c:ext>
          </c:extLst>
        </c:ser>
        <c:ser>
          <c:idx val="2"/>
          <c:order val="2"/>
          <c:tx>
            <c:v>45.62</c:v>
          </c:tx>
          <c:spPr>
            <a:ln w="22225" cap="rnd">
              <a:solidFill>
                <a:schemeClr val="accent3"/>
              </a:solidFill>
            </a:ln>
            <a:effectLst>
              <a:glow rad="139700">
                <a:schemeClr val="accent3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3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Graph!$I$23:$I$25</c:f>
              <c:numCache>
                <c:formatCode>0.00</c:formatCode>
                <c:ptCount val="3"/>
                <c:pt idx="0">
                  <c:v>1</c:v>
                </c:pt>
                <c:pt idx="1">
                  <c:v>1.6666666666666667</c:v>
                </c:pt>
                <c:pt idx="2">
                  <c:v>2.666666666666667</c:v>
                </c:pt>
              </c:numCache>
            </c:numRef>
          </c:xVal>
          <c:yVal>
            <c:numRef>
              <c:f>Graph!$L$23:$L$25</c:f>
              <c:numCache>
                <c:formatCode>0.00</c:formatCode>
                <c:ptCount val="3"/>
                <c:pt idx="0">
                  <c:v>2.9609110495537085</c:v>
                </c:pt>
                <c:pt idx="1">
                  <c:v>5.0563250230840255</c:v>
                </c:pt>
                <c:pt idx="2">
                  <c:v>9.9930747922437693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658B-4163-A74F-D7490F1EDD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7944672"/>
        <c:axId val="1177940864"/>
      </c:scatterChart>
      <c:valAx>
        <c:axId val="11779446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</a:t>
                </a:r>
                <a:r>
                  <a:rPr lang="en-US" baseline="0"/>
                  <a:t> RATIO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7940864"/>
        <c:crosses val="autoZero"/>
        <c:crossBetween val="midCat"/>
      </c:valAx>
      <c:valAx>
        <c:axId val="11779408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BREAKOUT</a:t>
                </a:r>
                <a:r>
                  <a:rPr lang="en-US" baseline="0"/>
                  <a:t> FACTOR, Nq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7944672"/>
        <c:crosses val="autoZero"/>
        <c:crossBetween val="midCat"/>
      </c:valAx>
      <c:spPr>
        <a:noFill/>
        <a:ln w="25400">
          <a:noFill/>
        </a:ln>
        <a:effectLst/>
      </c:spPr>
    </c:plotArea>
    <c:legend>
      <c:legendPos val="t"/>
      <c:layout>
        <c:manualLayout>
          <c:xMode val="edge"/>
          <c:yMode val="edge"/>
          <c:x val="0.27725353532545222"/>
          <c:y val="0.12865989790766813"/>
          <c:w val="0.44549292934909557"/>
          <c:h val="8.014584618836596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Eq for theta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lineMarker"/>
        <c:varyColors val="0"/>
        <c:ser>
          <c:idx val="0"/>
          <c:order val="0"/>
          <c:tx>
            <c:v>eq for theta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trendline>
            <c:spPr>
              <a:ln w="25400" cap="rnd">
                <a:solidFill>
                  <a:schemeClr val="accent1">
                    <a:alpha val="50000"/>
                  </a:schemeClr>
                </a:solidFill>
              </a:ln>
              <a:effectLst/>
            </c:spPr>
            <c:trendlineType val="linear"/>
            <c:dispRSqr val="0"/>
            <c:dispEq val="0"/>
          </c:trendline>
          <c:trendline>
            <c:spPr>
              <a:ln w="25400" cap="rnd">
                <a:solidFill>
                  <a:schemeClr val="accent1">
                    <a:alpha val="50000"/>
                  </a:schemeClr>
                </a:solidFill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2.4015761518631062E-2"/>
                  <c:y val="-0.1739373845117004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lt1">
                          <a:lumMod val="7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'proposed angle'!$B$14:$B$22</c:f>
              <c:numCache>
                <c:formatCode>0.00</c:formatCode>
                <c:ptCount val="9"/>
                <c:pt idx="0">
                  <c:v>34.22</c:v>
                </c:pt>
                <c:pt idx="3">
                  <c:v>42.09</c:v>
                </c:pt>
                <c:pt idx="6">
                  <c:v>45.62</c:v>
                </c:pt>
              </c:numCache>
            </c:numRef>
          </c:xVal>
          <c:yVal>
            <c:numRef>
              <c:f>'proposed angle'!$K$14:$K$22</c:f>
              <c:numCache>
                <c:formatCode>0.00</c:formatCode>
                <c:ptCount val="9"/>
                <c:pt idx="0">
                  <c:v>26.683785813896268</c:v>
                </c:pt>
                <c:pt idx="3">
                  <c:v>31.234840506639529</c:v>
                </c:pt>
                <c:pt idx="6">
                  <c:v>34.20430763276434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3-31A6-4483-9A07-413AC5F326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7945216"/>
        <c:axId val="1177935968"/>
      </c:scatterChart>
      <c:valAx>
        <c:axId val="11779452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900" b="1" i="0" baseline="0">
                    <a:effectLst/>
                  </a:rPr>
                  <a:t>Frictional angle(</a:t>
                </a:r>
                <a:r>
                  <a:rPr lang="el-GR" sz="900" b="1" i="0" baseline="0">
                    <a:effectLst/>
                  </a:rPr>
                  <a:t>Φ</a:t>
                </a:r>
                <a:r>
                  <a:rPr lang="en-US" sz="900" b="1" i="0" baseline="0">
                    <a:effectLst/>
                  </a:rPr>
                  <a:t>)</a:t>
                </a:r>
                <a:endParaRPr lang="en-US" sz="900">
                  <a:effectLst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7935968"/>
        <c:crosses val="autoZero"/>
        <c:crossBetween val="midCat"/>
      </c:valAx>
      <c:valAx>
        <c:axId val="1177935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900" b="1" i="0" baseline="0">
                    <a:effectLst/>
                  </a:rPr>
                  <a:t>Failure angle (</a:t>
                </a:r>
                <a:r>
                  <a:rPr lang="el-GR" sz="900" b="1" i="0" baseline="0">
                    <a:effectLst/>
                  </a:rPr>
                  <a:t>θ</a:t>
                </a:r>
                <a:r>
                  <a:rPr lang="en-US" sz="900" b="1" i="0" baseline="0">
                    <a:effectLst/>
                  </a:rPr>
                  <a:t>)</a:t>
                </a:r>
                <a:endParaRPr lang="en-US" sz="900">
                  <a:effectLst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7945216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Eq for theta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lineMarker"/>
        <c:varyColors val="0"/>
        <c:ser>
          <c:idx val="0"/>
          <c:order val="0"/>
          <c:tx>
            <c:v>eq for theta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trendline>
            <c:spPr>
              <a:ln w="25400" cap="rnd">
                <a:solidFill>
                  <a:schemeClr val="accent1">
                    <a:alpha val="50000"/>
                  </a:schemeClr>
                </a:solidFill>
              </a:ln>
              <a:effectLst/>
            </c:spPr>
            <c:trendlineType val="linear"/>
            <c:dispRSqr val="0"/>
            <c:dispEq val="0"/>
          </c:trendline>
          <c:trendline>
            <c:spPr>
              <a:ln w="25400" cap="rnd">
                <a:solidFill>
                  <a:schemeClr val="accent1">
                    <a:alpha val="50000"/>
                  </a:schemeClr>
                </a:solidFill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2.4015761518631062E-2"/>
                  <c:y val="-0.2347161419704694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lt1">
                          <a:lumMod val="7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'proposed angle'!$B$23:$B$31</c:f>
              <c:numCache>
                <c:formatCode>0.00</c:formatCode>
                <c:ptCount val="9"/>
                <c:pt idx="0">
                  <c:v>34.22</c:v>
                </c:pt>
                <c:pt idx="3">
                  <c:v>42.09</c:v>
                </c:pt>
                <c:pt idx="6">
                  <c:v>45.62</c:v>
                </c:pt>
              </c:numCache>
            </c:numRef>
          </c:xVal>
          <c:yVal>
            <c:numRef>
              <c:f>'proposed angle'!$K$23:$K$31</c:f>
              <c:numCache>
                <c:formatCode>0.00</c:formatCode>
                <c:ptCount val="9"/>
                <c:pt idx="0">
                  <c:v>34.630168095660025</c:v>
                </c:pt>
                <c:pt idx="3">
                  <c:v>37.425388086784878</c:v>
                </c:pt>
                <c:pt idx="6">
                  <c:v>40.78036319439763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6444-48DF-A60D-B1C9E9628D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7955552"/>
        <c:axId val="1177956096"/>
      </c:scatterChart>
      <c:valAx>
        <c:axId val="11779555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900" b="1" i="0" baseline="0">
                    <a:effectLst/>
                  </a:rPr>
                  <a:t>Frictional angle(</a:t>
                </a:r>
                <a:r>
                  <a:rPr lang="el-GR" sz="900" b="1" i="0" baseline="0">
                    <a:effectLst/>
                  </a:rPr>
                  <a:t>Φ</a:t>
                </a:r>
                <a:r>
                  <a:rPr lang="en-US" sz="900" b="1" i="0" baseline="0">
                    <a:effectLst/>
                  </a:rPr>
                  <a:t>)</a:t>
                </a:r>
                <a:endParaRPr lang="en-US" sz="900">
                  <a:effectLst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7956096"/>
        <c:crosses val="autoZero"/>
        <c:crossBetween val="midCat"/>
      </c:valAx>
      <c:valAx>
        <c:axId val="11779560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900" b="1" i="0" baseline="0">
                    <a:effectLst/>
                  </a:rPr>
                  <a:t>Failure angle (</a:t>
                </a:r>
                <a:r>
                  <a:rPr lang="el-GR" sz="900" b="1" i="0" baseline="0">
                    <a:effectLst/>
                  </a:rPr>
                  <a:t>θ</a:t>
                </a:r>
                <a:r>
                  <a:rPr lang="en-US" sz="900" b="1" i="0" baseline="0">
                    <a:effectLst/>
                  </a:rPr>
                  <a:t>)</a:t>
                </a:r>
                <a:endParaRPr lang="en-US" sz="900">
                  <a:effectLst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7955552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CONSOLIDATION TEST RESULTS</a:t>
            </a:r>
          </a:p>
        </c:rich>
      </c:tx>
      <c:layout>
        <c:manualLayout>
          <c:xMode val="edge"/>
          <c:yMode val="edge"/>
          <c:x val="0.21306818181818193"/>
          <c:y val="3.231942163682053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511363636363642"/>
          <c:y val="0.12167311675038318"/>
          <c:w val="0.86079545454545514"/>
          <c:h val="0.60456329885346627"/>
        </c:manualLayout>
      </c:layout>
      <c:scatterChart>
        <c:scatterStyle val="smoothMarker"/>
        <c:varyColors val="0"/>
        <c:ser>
          <c:idx val="0"/>
          <c:order val="0"/>
          <c:tx>
            <c:v>e-log p CURVE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'[2]83+300-T2'!$G$4:$G$10</c:f>
              <c:numCache>
                <c:formatCode>General</c:formatCode>
                <c:ptCount val="7"/>
                <c:pt idx="0">
                  <c:v>0.1</c:v>
                </c:pt>
                <c:pt idx="1">
                  <c:v>0.25</c:v>
                </c:pt>
                <c:pt idx="2">
                  <c:v>0.5</c:v>
                </c:pt>
                <c:pt idx="3">
                  <c:v>1</c:v>
                </c:pt>
                <c:pt idx="4">
                  <c:v>2</c:v>
                </c:pt>
                <c:pt idx="5">
                  <c:v>4</c:v>
                </c:pt>
                <c:pt idx="6">
                  <c:v>8</c:v>
                </c:pt>
              </c:numCache>
            </c:numRef>
          </c:xVal>
          <c:yVal>
            <c:numRef>
              <c:f>'[2]83+300-T2'!$H$4:$H$10</c:f>
              <c:numCache>
                <c:formatCode>General</c:formatCode>
                <c:ptCount val="7"/>
                <c:pt idx="0">
                  <c:v>0.60317425242718437</c:v>
                </c:pt>
                <c:pt idx="1">
                  <c:v>0.59425421359223285</c:v>
                </c:pt>
                <c:pt idx="2">
                  <c:v>0.58290143689320373</c:v>
                </c:pt>
                <c:pt idx="3">
                  <c:v>0.56749409708737852</c:v>
                </c:pt>
                <c:pt idx="4">
                  <c:v>0.54641036893203854</c:v>
                </c:pt>
                <c:pt idx="5">
                  <c:v>0.52159644271844607</c:v>
                </c:pt>
                <c:pt idx="6">
                  <c:v>0.49532287378640727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C94A-4CB0-91CF-010C0F0C58F6}"/>
            </c:ext>
          </c:extLst>
        </c:ser>
        <c:ser>
          <c:idx val="1"/>
          <c:order val="1"/>
          <c:tx>
            <c:v>Expansion Curve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xVal>
            <c:numRef>
              <c:f>'[2]83+300-T2'!$G$10:$G$11</c:f>
              <c:numCache>
                <c:formatCode>General</c:formatCode>
                <c:ptCount val="2"/>
                <c:pt idx="0">
                  <c:v>8</c:v>
                </c:pt>
                <c:pt idx="1">
                  <c:v>0.1</c:v>
                </c:pt>
              </c:numCache>
            </c:numRef>
          </c:xVal>
          <c:yVal>
            <c:numRef>
              <c:f>'[2]83+300-T2'!$H$10:$H$11</c:f>
              <c:numCache>
                <c:formatCode>General</c:formatCode>
                <c:ptCount val="2"/>
                <c:pt idx="0">
                  <c:v>0.49532287378640727</c:v>
                </c:pt>
                <c:pt idx="1">
                  <c:v>0.53019211650485376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C94A-4CB0-91CF-010C0F0C58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7964256"/>
        <c:axId val="1177957728"/>
      </c:scatterChart>
      <c:valAx>
        <c:axId val="1177964256"/>
        <c:scaling>
          <c:logBase val="10"/>
          <c:orientation val="minMax"/>
          <c:max val="100"/>
          <c:min val="1.0000000000000004E-2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inorGridlines>
          <c:spPr>
            <a:ln w="3175">
              <a:solidFill>
                <a:srgbClr val="00000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Log10(p) (kg/cm2)</a:t>
                </a:r>
              </a:p>
            </c:rich>
          </c:tx>
          <c:layout>
            <c:manualLayout>
              <c:xMode val="edge"/>
              <c:yMode val="edge"/>
              <c:x val="0.46306818181818182"/>
              <c:y val="0.80798554092051311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77957728"/>
        <c:crossesAt val="0.38000000000000012"/>
        <c:crossBetween val="midCat"/>
        <c:majorUnit val="10"/>
        <c:minorUnit val="10"/>
      </c:valAx>
      <c:valAx>
        <c:axId val="1177957728"/>
        <c:scaling>
          <c:orientation val="minMax"/>
          <c:max val="0.66000000000000025"/>
          <c:min val="0.38000000000000012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inorGridlines>
          <c:spPr>
            <a:ln w="3175">
              <a:solidFill>
                <a:srgbClr val="00000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Void Ratio, e</a:t>
                </a:r>
              </a:p>
            </c:rich>
          </c:tx>
          <c:layout>
            <c:manualLayout>
              <c:xMode val="edge"/>
              <c:yMode val="edge"/>
              <c:x val="2.2727272727272749E-2"/>
              <c:y val="0.3555136380050257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77964256"/>
        <c:crossesAt val="1.0000000000000004E-2"/>
        <c:crossBetween val="midCat"/>
        <c:majorUnit val="4.0000000000000015E-2"/>
        <c:minorUnit val="2.0000000000000007E-2"/>
      </c:valAx>
      <c:spPr>
        <a:gradFill rotWithShape="0">
          <a:gsLst>
            <a:gs pos="0">
              <a:srgbClr val="FFFFFF"/>
            </a:gs>
            <a:gs pos="100000">
              <a:srgbClr val="FFFFFF">
                <a:gamma/>
                <a:tint val="0"/>
                <a:invGamma/>
              </a:srgbClr>
            </a:gs>
          </a:gsLst>
          <a:lin ang="5400000" scaled="1"/>
        </a:gradFill>
        <a:ln w="3175">
          <a:solidFill>
            <a:srgbClr val="00000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38068181818181834"/>
          <c:y val="0.88022895399105316"/>
          <c:w val="0.32386363636363646"/>
          <c:h val="4.1825133882944211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 orientation="landscape" verticalDpi="0"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CONSOLIDATION TEST RESULTS</a:t>
            </a:r>
          </a:p>
        </c:rich>
      </c:tx>
      <c:layout>
        <c:manualLayout>
          <c:xMode val="edge"/>
          <c:yMode val="edge"/>
          <c:x val="0.21306818181818193"/>
          <c:y val="3.231942163682053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511363636363642"/>
          <c:y val="0.12357425919960789"/>
          <c:w val="0.86221590909090906"/>
          <c:h val="0.60456329885346627"/>
        </c:manualLayout>
      </c:layout>
      <c:scatterChart>
        <c:scatterStyle val="smoothMarker"/>
        <c:varyColors val="0"/>
        <c:ser>
          <c:idx val="0"/>
          <c:order val="0"/>
          <c:tx>
            <c:v>e-log p CURVE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'[2]83+300_TEST1'!$G$4:$G$10</c:f>
              <c:numCache>
                <c:formatCode>General</c:formatCode>
                <c:ptCount val="7"/>
                <c:pt idx="0">
                  <c:v>0.1</c:v>
                </c:pt>
                <c:pt idx="1">
                  <c:v>0.25</c:v>
                </c:pt>
                <c:pt idx="2">
                  <c:v>0.5</c:v>
                </c:pt>
                <c:pt idx="3">
                  <c:v>1</c:v>
                </c:pt>
                <c:pt idx="4">
                  <c:v>2</c:v>
                </c:pt>
                <c:pt idx="5">
                  <c:v>4</c:v>
                </c:pt>
                <c:pt idx="6">
                  <c:v>8</c:v>
                </c:pt>
              </c:numCache>
            </c:numRef>
          </c:xVal>
          <c:yVal>
            <c:numRef>
              <c:f>'[2]83+300_TEST1'!$H$4:$H$10</c:f>
              <c:numCache>
                <c:formatCode>General</c:formatCode>
                <c:ptCount val="7"/>
                <c:pt idx="0">
                  <c:v>0.71162489017341035</c:v>
                </c:pt>
                <c:pt idx="1">
                  <c:v>0.70210143352601162</c:v>
                </c:pt>
                <c:pt idx="2">
                  <c:v>0.68998067052023115</c:v>
                </c:pt>
                <c:pt idx="3">
                  <c:v>0.67353106358381498</c:v>
                </c:pt>
                <c:pt idx="4">
                  <c:v>0.65102107514450847</c:v>
                </c:pt>
                <c:pt idx="5">
                  <c:v>0.62452855028901721</c:v>
                </c:pt>
                <c:pt idx="6">
                  <c:v>0.5964776416184967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B957-467A-804C-98CC8B870146}"/>
            </c:ext>
          </c:extLst>
        </c:ser>
        <c:ser>
          <c:idx val="1"/>
          <c:order val="1"/>
          <c:tx>
            <c:v>Expansion Curve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xVal>
            <c:numRef>
              <c:f>'[2]83+300_TEST1'!$G$10:$G$11</c:f>
              <c:numCache>
                <c:formatCode>General</c:formatCode>
                <c:ptCount val="2"/>
                <c:pt idx="0">
                  <c:v>8</c:v>
                </c:pt>
                <c:pt idx="1">
                  <c:v>0.1</c:v>
                </c:pt>
              </c:numCache>
            </c:numRef>
          </c:xVal>
          <c:yVal>
            <c:numRef>
              <c:f>'[2]83+300_TEST1'!$H$10:$H$11</c:f>
              <c:numCache>
                <c:formatCode>General</c:formatCode>
                <c:ptCount val="2"/>
                <c:pt idx="0">
                  <c:v>0.5964776416184967</c:v>
                </c:pt>
                <c:pt idx="1">
                  <c:v>0.63526408323699379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B957-467A-804C-98CC8B8701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7960448"/>
        <c:axId val="1177961536"/>
      </c:scatterChart>
      <c:valAx>
        <c:axId val="1177960448"/>
        <c:scaling>
          <c:logBase val="10"/>
          <c:orientation val="minMax"/>
          <c:max val="100"/>
          <c:min val="1.0000000000000004E-2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inorGridlines>
          <c:spPr>
            <a:ln w="3175">
              <a:solidFill>
                <a:srgbClr val="00000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Log10(p) (kg/cm2)</a:t>
                </a:r>
              </a:p>
            </c:rich>
          </c:tx>
          <c:layout>
            <c:manualLayout>
              <c:xMode val="edge"/>
              <c:yMode val="edge"/>
              <c:x val="0.46306818181818182"/>
              <c:y val="0.809886683369737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77961536"/>
        <c:crossesAt val="0.38000000000000012"/>
        <c:crossBetween val="midCat"/>
        <c:majorUnit val="10"/>
        <c:minorUnit val="10"/>
      </c:valAx>
      <c:valAx>
        <c:axId val="1177961536"/>
        <c:scaling>
          <c:orientation val="minMax"/>
          <c:max val="0.66000000000000025"/>
          <c:min val="0.38000000000000012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inorGridlines>
          <c:spPr>
            <a:ln w="3175">
              <a:solidFill>
                <a:srgbClr val="00000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Void Ratio, e</a:t>
                </a:r>
              </a:p>
            </c:rich>
          </c:tx>
          <c:layout>
            <c:manualLayout>
              <c:xMode val="edge"/>
              <c:yMode val="edge"/>
              <c:x val="2.2727272727272749E-2"/>
              <c:y val="0.35741478045425074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77960448"/>
        <c:crossesAt val="1.0000000000000004E-2"/>
        <c:crossBetween val="midCat"/>
        <c:majorUnit val="4.0000000000000015E-2"/>
        <c:minorUnit val="2.0000000000000007E-2"/>
      </c:valAx>
      <c:spPr>
        <a:gradFill rotWithShape="0">
          <a:gsLst>
            <a:gs pos="0">
              <a:srgbClr val="FFFFFF"/>
            </a:gs>
            <a:gs pos="100000">
              <a:srgbClr val="FFFFFF">
                <a:gamma/>
                <a:tint val="0"/>
                <a:invGamma/>
              </a:srgbClr>
            </a:gs>
          </a:gsLst>
          <a:lin ang="5400000" scaled="1"/>
        </a:gradFill>
        <a:ln w="3175">
          <a:solidFill>
            <a:srgbClr val="00000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38210227272727287"/>
          <c:y val="0.88022895399105316"/>
          <c:w val="0.32386363636363646"/>
          <c:h val="4.1825133882944211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 orientation="landscape" verticalDpi="0"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'Standard Proctor Test '!$B$18:$E$18</c:f>
              <c:numCache>
                <c:formatCode>0.00</c:formatCode>
                <c:ptCount val="4"/>
                <c:pt idx="0">
                  <c:v>23.537803138373754</c:v>
                </c:pt>
                <c:pt idx="1">
                  <c:v>25.787234042553202</c:v>
                </c:pt>
                <c:pt idx="2">
                  <c:v>29.8141891891892</c:v>
                </c:pt>
                <c:pt idx="3">
                  <c:v>33.906146728354273</c:v>
                </c:pt>
              </c:numCache>
            </c:numRef>
          </c:xVal>
          <c:yVal>
            <c:numRef>
              <c:f>'Standard Proctor Test '!$B$9:$E$9</c:f>
              <c:numCache>
                <c:formatCode>0.000</c:formatCode>
                <c:ptCount val="4"/>
                <c:pt idx="0">
                  <c:v>1.3785254041570441</c:v>
                </c:pt>
                <c:pt idx="1">
                  <c:v>1.4588125845737481</c:v>
                </c:pt>
                <c:pt idx="2">
                  <c:v>1.4397501626545215</c:v>
                </c:pt>
                <c:pt idx="3">
                  <c:v>1.3778307008884501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EFE8-4A74-BB01-E1BE26B34D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7937600"/>
        <c:axId val="1177938144"/>
      </c:scatterChart>
      <c:valAx>
        <c:axId val="11779376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accent6"/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accent6">
                  <a:lumMod val="40000"/>
                  <a:lumOff val="60000"/>
                </a:schemeClr>
              </a:solidFill>
              <a:round/>
            </a:ln>
            <a:effectLst/>
          </c:spPr>
        </c:min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7938144"/>
        <c:crosses val="autoZero"/>
        <c:crossBetween val="midCat"/>
      </c:valAx>
      <c:valAx>
        <c:axId val="11779381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accent6"/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accent6">
                  <a:lumMod val="40000"/>
                  <a:lumOff val="60000"/>
                </a:schemeClr>
              </a:solidFill>
              <a:round/>
            </a:ln>
            <a:effectLst/>
          </c:spPr>
        </c:minorGridlines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79376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'Direct Shear Test'!$E$12:$G$12</c:f>
              <c:numCache>
                <c:formatCode>General</c:formatCode>
                <c:ptCount val="3"/>
                <c:pt idx="0">
                  <c:v>0.65</c:v>
                </c:pt>
                <c:pt idx="1">
                  <c:v>1.1499999999999999</c:v>
                </c:pt>
                <c:pt idx="2">
                  <c:v>1.65</c:v>
                </c:pt>
              </c:numCache>
            </c:numRef>
          </c:xVal>
          <c:yVal>
            <c:numRef>
              <c:f>'Direct Shear Test'!$E$32:$G$32</c:f>
              <c:numCache>
                <c:formatCode>0.00000</c:formatCode>
                <c:ptCount val="3"/>
                <c:pt idx="0">
                  <c:v>0.64436578171091441</c:v>
                </c:pt>
                <c:pt idx="1">
                  <c:v>0.73729004621801386</c:v>
                </c:pt>
                <c:pt idx="2">
                  <c:v>1.6654796224068733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D0B0-4A44-B51F-6E9200CC49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9864624"/>
        <c:axId val="1179853200"/>
      </c:scatterChart>
      <c:valAx>
        <c:axId val="11798646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9853200"/>
        <c:crosses val="autoZero"/>
        <c:crossBetween val="midCat"/>
      </c:valAx>
      <c:valAx>
        <c:axId val="11798532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98646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4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5400" cap="flat" cmpd="dbl" algn="ctr">
        <a:solidFill>
          <a:schemeClr val="phClr">
            <a:alpha val="50000"/>
          </a:schemeClr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ln w="34925" cap="flat" cmpd="dbl" algn="ctr">
        <a:solidFill>
          <a:schemeClr val="phClr">
            <a:lumMod val="75000"/>
            <a:alpha val="70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kern="1200" spc="0" normalizeH="0" baseline="0"/>
  </cs:title>
  <cs:trendline>
    <cs:lnRef idx="0">
      <cs:styleClr val="0"/>
    </cs:lnRef>
    <cs:fillRef idx="0"/>
    <cs:effectRef idx="0"/>
    <cs:fontRef idx="minor">
      <a:schemeClr val="tx1"/>
    </cs:fontRef>
    <cs:spPr>
      <a:ln w="38100" cap="rnd" cmpd="sng" algn="ctr">
        <a:solidFill>
          <a:schemeClr val="phClr">
            <a:lumMod val="75000"/>
            <a:alpha val="25000"/>
          </a:schemeClr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b="0" kern="1200"/>
  </cs:valueAxis>
  <cs:wall>
    <cs:lnRef idx="0"/>
    <cs:fillRef idx="0"/>
    <cs:effectRef idx="0"/>
    <cs:fontRef idx="minor">
      <a:schemeClr val="dk1"/>
    </cs:fontRef>
  </cs:wall>
</cs:chartStyle>
</file>

<file path=xl/charts/style16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17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18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1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21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2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2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3.xml><?xml version="1.0" encoding="utf-8"?>
<cs:chartStyle xmlns:cs="http://schemas.microsoft.com/office/drawing/2012/chartStyle" xmlns:a="http://schemas.openxmlformats.org/drawingml/2006/main" id="247">
  <cs:axisTitle>
    <cs:lnRef idx="0"/>
    <cs:fillRef idx="0"/>
    <cs:effectRef idx="0"/>
    <cs:fontRef idx="minor">
      <a:schemeClr val="lt1"/>
    </cs:fontRef>
    <cs:defRPr sz="900" b="1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12700" cap="flat" cmpd="sng" algn="ctr">
        <a:solidFill>
          <a:schemeClr val="lt1">
            <a:alpha val="25000"/>
          </a:schemeClr>
        </a:solidFill>
        <a:round/>
      </a:ln>
    </cs:spPr>
    <cs:defRPr sz="900" b="0" kern="1200" spc="100" baseline="0"/>
  </cs:categoryAxis>
  <cs:chartArea>
    <cs:lnRef idx="0">
      <cs:styleClr val="0"/>
    </cs:lnRef>
    <cs:fillRef idx="0">
      <cs:styleClr val="0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gradFill>
          <a:gsLst>
            <a:gs pos="79000">
              <a:schemeClr val="phClr"/>
            </a:gs>
            <a:gs pos="0">
              <a:schemeClr val="lt1">
                <a:alpha val="60000"/>
              </a:schemeClr>
            </a:gs>
          </a:gsLst>
          <a:lin ang="5400000" scaled="0"/>
        </a:gradFill>
        <a:round/>
      </a:ln>
    </cs:spPr>
  </cs:dropLine>
  <cs:errorBar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dk1"/>
    </cs:fontRef>
  </cs:floor>
  <cs:gridlineMajor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25000"/>
          </a:schemeClr>
        </a:solidFill>
        <a:round/>
      </a:ln>
    </cs:spPr>
  </cs:gridlineMajor>
  <cs:gridlineMinor>
    <cs:lnRef idx="0">
      <cs:styleClr val="0"/>
    </cs:lnRef>
    <cs:fillRef idx="0"/>
    <cs:effectRef idx="0"/>
    <cs:fontRef idx="minor">
      <a:schemeClr val="dk1"/>
    </cs:fontRef>
    <cs:spPr>
      <a:ln>
        <a:solidFill>
          <a:schemeClr val="lt1">
            <a:alpha val="10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hiLoLine>
  <cs:leader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4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45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46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47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48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49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50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51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52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53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54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55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56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57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58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59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60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61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62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63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64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65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66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67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68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69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70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71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72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73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74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75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76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77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78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79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80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81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82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8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7" Type="http://schemas.openxmlformats.org/officeDocument/2006/relationships/chart" Target="../charts/chart12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Relationship Id="rId6" Type="http://schemas.openxmlformats.org/officeDocument/2006/relationships/chart" Target="../charts/chart11.xml"/><Relationship Id="rId5" Type="http://schemas.openxmlformats.org/officeDocument/2006/relationships/chart" Target="../charts/chart10.xml"/><Relationship Id="rId4" Type="http://schemas.openxmlformats.org/officeDocument/2006/relationships/chart" Target="../charts/chart9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4.xml"/><Relationship Id="rId1" Type="http://schemas.openxmlformats.org/officeDocument/2006/relationships/chart" Target="../charts/chart13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8.xml"/><Relationship Id="rId2" Type="http://schemas.openxmlformats.org/officeDocument/2006/relationships/chart" Target="../charts/chart17.xml"/><Relationship Id="rId1" Type="http://schemas.openxmlformats.org/officeDocument/2006/relationships/chart" Target="../charts/chart16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.xml"/><Relationship Id="rId7" Type="http://schemas.openxmlformats.org/officeDocument/2006/relationships/image" Target="../media/image1.png"/><Relationship Id="rId2" Type="http://schemas.openxmlformats.org/officeDocument/2006/relationships/chart" Target="../charts/chart20.xml"/><Relationship Id="rId1" Type="http://schemas.openxmlformats.org/officeDocument/2006/relationships/chart" Target="../charts/chart19.xml"/><Relationship Id="rId6" Type="http://schemas.openxmlformats.org/officeDocument/2006/relationships/chart" Target="../charts/chart24.xml"/><Relationship Id="rId5" Type="http://schemas.openxmlformats.org/officeDocument/2006/relationships/chart" Target="../charts/chart23.xml"/><Relationship Id="rId4" Type="http://schemas.openxmlformats.org/officeDocument/2006/relationships/chart" Target="../charts/chart22.xml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2.xml"/><Relationship Id="rId13" Type="http://schemas.openxmlformats.org/officeDocument/2006/relationships/chart" Target="../charts/chart37.xml"/><Relationship Id="rId18" Type="http://schemas.openxmlformats.org/officeDocument/2006/relationships/chart" Target="../charts/chart42.xml"/><Relationship Id="rId3" Type="http://schemas.openxmlformats.org/officeDocument/2006/relationships/chart" Target="../charts/chart27.xml"/><Relationship Id="rId7" Type="http://schemas.openxmlformats.org/officeDocument/2006/relationships/chart" Target="../charts/chart31.xml"/><Relationship Id="rId12" Type="http://schemas.openxmlformats.org/officeDocument/2006/relationships/chart" Target="../charts/chart36.xml"/><Relationship Id="rId17" Type="http://schemas.openxmlformats.org/officeDocument/2006/relationships/chart" Target="../charts/chart41.xml"/><Relationship Id="rId2" Type="http://schemas.openxmlformats.org/officeDocument/2006/relationships/chart" Target="../charts/chart26.xml"/><Relationship Id="rId16" Type="http://schemas.openxmlformats.org/officeDocument/2006/relationships/chart" Target="../charts/chart40.xml"/><Relationship Id="rId1" Type="http://schemas.openxmlformats.org/officeDocument/2006/relationships/chart" Target="../charts/chart25.xml"/><Relationship Id="rId6" Type="http://schemas.openxmlformats.org/officeDocument/2006/relationships/chart" Target="../charts/chart30.xml"/><Relationship Id="rId11" Type="http://schemas.openxmlformats.org/officeDocument/2006/relationships/chart" Target="../charts/chart35.xml"/><Relationship Id="rId5" Type="http://schemas.openxmlformats.org/officeDocument/2006/relationships/chart" Target="../charts/chart29.xml"/><Relationship Id="rId15" Type="http://schemas.openxmlformats.org/officeDocument/2006/relationships/chart" Target="../charts/chart39.xml"/><Relationship Id="rId10" Type="http://schemas.openxmlformats.org/officeDocument/2006/relationships/chart" Target="../charts/chart34.xml"/><Relationship Id="rId19" Type="http://schemas.openxmlformats.org/officeDocument/2006/relationships/chart" Target="../charts/chart43.xml"/><Relationship Id="rId4" Type="http://schemas.openxmlformats.org/officeDocument/2006/relationships/chart" Target="../charts/chart28.xml"/><Relationship Id="rId9" Type="http://schemas.openxmlformats.org/officeDocument/2006/relationships/chart" Target="../charts/chart33.xml"/><Relationship Id="rId14" Type="http://schemas.openxmlformats.org/officeDocument/2006/relationships/chart" Target="../charts/chart38.xml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chart" Target="../charts/chart51.xml"/><Relationship Id="rId13" Type="http://schemas.openxmlformats.org/officeDocument/2006/relationships/chart" Target="../charts/chart56.xml"/><Relationship Id="rId18" Type="http://schemas.openxmlformats.org/officeDocument/2006/relationships/chart" Target="../charts/chart61.xml"/><Relationship Id="rId3" Type="http://schemas.openxmlformats.org/officeDocument/2006/relationships/chart" Target="../charts/chart46.xml"/><Relationship Id="rId21" Type="http://schemas.openxmlformats.org/officeDocument/2006/relationships/chart" Target="../charts/chart64.xml"/><Relationship Id="rId7" Type="http://schemas.openxmlformats.org/officeDocument/2006/relationships/chart" Target="../charts/chart50.xml"/><Relationship Id="rId12" Type="http://schemas.openxmlformats.org/officeDocument/2006/relationships/chart" Target="../charts/chart55.xml"/><Relationship Id="rId17" Type="http://schemas.openxmlformats.org/officeDocument/2006/relationships/chart" Target="../charts/chart60.xml"/><Relationship Id="rId2" Type="http://schemas.openxmlformats.org/officeDocument/2006/relationships/chart" Target="../charts/chart45.xml"/><Relationship Id="rId16" Type="http://schemas.openxmlformats.org/officeDocument/2006/relationships/chart" Target="../charts/chart59.xml"/><Relationship Id="rId20" Type="http://schemas.openxmlformats.org/officeDocument/2006/relationships/chart" Target="../charts/chart63.xml"/><Relationship Id="rId1" Type="http://schemas.openxmlformats.org/officeDocument/2006/relationships/chart" Target="../charts/chart44.xml"/><Relationship Id="rId6" Type="http://schemas.openxmlformats.org/officeDocument/2006/relationships/chart" Target="../charts/chart49.xml"/><Relationship Id="rId11" Type="http://schemas.openxmlformats.org/officeDocument/2006/relationships/chart" Target="../charts/chart54.xml"/><Relationship Id="rId5" Type="http://schemas.openxmlformats.org/officeDocument/2006/relationships/chart" Target="../charts/chart48.xml"/><Relationship Id="rId15" Type="http://schemas.openxmlformats.org/officeDocument/2006/relationships/chart" Target="../charts/chart58.xml"/><Relationship Id="rId23" Type="http://schemas.openxmlformats.org/officeDocument/2006/relationships/chart" Target="../charts/chart66.xml"/><Relationship Id="rId10" Type="http://schemas.openxmlformats.org/officeDocument/2006/relationships/chart" Target="../charts/chart53.xml"/><Relationship Id="rId19" Type="http://schemas.openxmlformats.org/officeDocument/2006/relationships/chart" Target="../charts/chart62.xml"/><Relationship Id="rId4" Type="http://schemas.openxmlformats.org/officeDocument/2006/relationships/chart" Target="../charts/chart47.xml"/><Relationship Id="rId9" Type="http://schemas.openxmlformats.org/officeDocument/2006/relationships/chart" Target="../charts/chart52.xml"/><Relationship Id="rId14" Type="http://schemas.openxmlformats.org/officeDocument/2006/relationships/chart" Target="../charts/chart57.xml"/><Relationship Id="rId22" Type="http://schemas.openxmlformats.org/officeDocument/2006/relationships/chart" Target="../charts/chart65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9.xml"/><Relationship Id="rId2" Type="http://schemas.openxmlformats.org/officeDocument/2006/relationships/chart" Target="../charts/chart68.xml"/><Relationship Id="rId1" Type="http://schemas.openxmlformats.org/officeDocument/2006/relationships/chart" Target="../charts/chart67.xml"/><Relationship Id="rId6" Type="http://schemas.openxmlformats.org/officeDocument/2006/relationships/chart" Target="../charts/chart72.xml"/><Relationship Id="rId5" Type="http://schemas.openxmlformats.org/officeDocument/2006/relationships/chart" Target="../charts/chart71.xml"/><Relationship Id="rId4" Type="http://schemas.openxmlformats.org/officeDocument/2006/relationships/chart" Target="../charts/chart70.xml"/></Relationships>
</file>

<file path=xl/drawings/_rels/drawing1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0.xml"/><Relationship Id="rId3" Type="http://schemas.openxmlformats.org/officeDocument/2006/relationships/chart" Target="../charts/chart75.xml"/><Relationship Id="rId7" Type="http://schemas.openxmlformats.org/officeDocument/2006/relationships/chart" Target="../charts/chart79.xml"/><Relationship Id="rId2" Type="http://schemas.openxmlformats.org/officeDocument/2006/relationships/chart" Target="../charts/chart74.xml"/><Relationship Id="rId1" Type="http://schemas.openxmlformats.org/officeDocument/2006/relationships/chart" Target="../charts/chart73.xml"/><Relationship Id="rId6" Type="http://schemas.openxmlformats.org/officeDocument/2006/relationships/chart" Target="../charts/chart78.xml"/><Relationship Id="rId5" Type="http://schemas.openxmlformats.org/officeDocument/2006/relationships/chart" Target="../charts/chart77.xml"/><Relationship Id="rId4" Type="http://schemas.openxmlformats.org/officeDocument/2006/relationships/chart" Target="../charts/chart76.xml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2.xml"/><Relationship Id="rId2" Type="http://schemas.openxmlformats.org/officeDocument/2006/relationships/chart" Target="../charts/chart81.xml"/><Relationship Id="rId1" Type="http://schemas.openxmlformats.org/officeDocument/2006/relationships/image" Target="../media/image2.png"/></Relationships>
</file>

<file path=xl/drawings/_rels/drawing3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4.xml"/><Relationship Id="rId1" Type="http://schemas.openxmlformats.org/officeDocument/2006/relationships/chart" Target="../charts/chart83.xml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5.xml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343738</xdr:colOff>
      <xdr:row>2</xdr:row>
      <xdr:rowOff>200025</xdr:rowOff>
    </xdr:from>
    <xdr:to>
      <xdr:col>19</xdr:col>
      <xdr:colOff>577102</xdr:colOff>
      <xdr:row>23</xdr:row>
      <xdr:rowOff>47625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542925</xdr:colOff>
      <xdr:row>9</xdr:row>
      <xdr:rowOff>9525</xdr:rowOff>
    </xdr:from>
    <xdr:to>
      <xdr:col>16</xdr:col>
      <xdr:colOff>238125</xdr:colOff>
      <xdr:row>23</xdr:row>
      <xdr:rowOff>57150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B30383CC-9ED0-4ACC-8EBF-49C7265ED7E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666749</xdr:colOff>
      <xdr:row>19</xdr:row>
      <xdr:rowOff>0</xdr:rowOff>
    </xdr:from>
    <xdr:to>
      <xdr:col>22</xdr:col>
      <xdr:colOff>180974</xdr:colOff>
      <xdr:row>34</xdr:row>
      <xdr:rowOff>47625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76F81C89-CA17-4B3E-A346-2DD537490B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9525</xdr:colOff>
      <xdr:row>55</xdr:row>
      <xdr:rowOff>190500</xdr:rowOff>
    </xdr:from>
    <xdr:to>
      <xdr:col>22</xdr:col>
      <xdr:colOff>190500</xdr:colOff>
      <xdr:row>70</xdr:row>
      <xdr:rowOff>19050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1EBC1B1B-DB22-4B54-B826-8B93CFA2785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0</xdr:colOff>
      <xdr:row>99</xdr:row>
      <xdr:rowOff>0</xdr:rowOff>
    </xdr:from>
    <xdr:to>
      <xdr:col>23</xdr:col>
      <xdr:colOff>180975</xdr:colOff>
      <xdr:row>113</xdr:row>
      <xdr:rowOff>28575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082E36E0-EA3D-4F55-86D2-62DE08FED2D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46587</xdr:colOff>
      <xdr:row>5</xdr:row>
      <xdr:rowOff>59751</xdr:rowOff>
    </xdr:from>
    <xdr:to>
      <xdr:col>15</xdr:col>
      <xdr:colOff>508269</xdr:colOff>
      <xdr:row>18</xdr:row>
      <xdr:rowOff>60032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FCB687AA-83CB-4B08-A613-7DA033DC82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158484</xdr:colOff>
      <xdr:row>5</xdr:row>
      <xdr:rowOff>60032</xdr:rowOff>
    </xdr:from>
    <xdr:to>
      <xdr:col>22</xdr:col>
      <xdr:colOff>15047</xdr:colOff>
      <xdr:row>18</xdr:row>
      <xdr:rowOff>60313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8304B179-255B-4FB6-A963-AF169791C1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21</xdr:col>
      <xdr:colOff>426625</xdr:colOff>
      <xdr:row>5</xdr:row>
      <xdr:rowOff>84844</xdr:rowOff>
    </xdr:from>
    <xdr:to>
      <xdr:col>27</xdr:col>
      <xdr:colOff>283189</xdr:colOff>
      <xdr:row>18</xdr:row>
      <xdr:rowOff>85125</xdr:rowOff>
    </xdr:to>
    <xdr:graphicFrame macro="">
      <xdr:nvGraphicFramePr>
        <xdr:cNvPr id="5" name="Chart 4">
          <a:extLst>
            <a:ext uri="{FF2B5EF4-FFF2-40B4-BE49-F238E27FC236}">
              <a16:creationId xmlns="" xmlns:a16="http://schemas.microsoft.com/office/drawing/2014/main" id="{6E3D2CF6-72A5-4958-8C3A-09F0C0FDBB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22</xdr:col>
      <xdr:colOff>470646</xdr:colOff>
      <xdr:row>10</xdr:row>
      <xdr:rowOff>67235</xdr:rowOff>
    </xdr:from>
    <xdr:to>
      <xdr:col>23</xdr:col>
      <xdr:colOff>347382</xdr:colOff>
      <xdr:row>13</xdr:row>
      <xdr:rowOff>100852</xdr:rowOff>
    </xdr:to>
    <xdr:cxnSp macro="">
      <xdr:nvCxnSpPr>
        <xdr:cNvPr id="6" name="Straight Connector 5">
          <a:extLst>
            <a:ext uri="{FF2B5EF4-FFF2-40B4-BE49-F238E27FC236}">
              <a16:creationId xmlns="" xmlns:a16="http://schemas.microsoft.com/office/drawing/2014/main" id="{02F626B6-28AF-4954-8E56-8142E0EACB19}"/>
            </a:ext>
          </a:extLst>
        </xdr:cNvPr>
        <xdr:cNvCxnSpPr/>
      </xdr:nvCxnSpPr>
      <xdr:spPr>
        <a:xfrm flipH="1">
          <a:off x="19196796" y="2048435"/>
          <a:ext cx="486336" cy="633692"/>
        </a:xfrm>
        <a:prstGeom prst="line">
          <a:avLst/>
        </a:prstGeom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10</xdr:col>
      <xdr:colOff>47225</xdr:colOff>
      <xdr:row>25</xdr:row>
      <xdr:rowOff>2402</xdr:rowOff>
    </xdr:from>
    <xdr:to>
      <xdr:col>15</xdr:col>
      <xdr:colOff>508907</xdr:colOff>
      <xdr:row>37</xdr:row>
      <xdr:rowOff>177174</xdr:rowOff>
    </xdr:to>
    <xdr:graphicFrame macro="">
      <xdr:nvGraphicFramePr>
        <xdr:cNvPr id="8" name="Chart 7">
          <a:extLst>
            <a:ext uri="{FF2B5EF4-FFF2-40B4-BE49-F238E27FC236}">
              <a16:creationId xmlns="" xmlns:a16="http://schemas.microsoft.com/office/drawing/2014/main" id="{C671EF29-31EC-40C5-8F87-52E6777AE3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16</xdr:col>
      <xdr:colOff>163287</xdr:colOff>
      <xdr:row>24</xdr:row>
      <xdr:rowOff>190500</xdr:rowOff>
    </xdr:from>
    <xdr:to>
      <xdr:col>22</xdr:col>
      <xdr:colOff>19850</xdr:colOff>
      <xdr:row>37</xdr:row>
      <xdr:rowOff>161165</xdr:rowOff>
    </xdr:to>
    <xdr:graphicFrame macro="">
      <xdr:nvGraphicFramePr>
        <xdr:cNvPr id="9" name="Chart 8">
          <a:extLst>
            <a:ext uri="{FF2B5EF4-FFF2-40B4-BE49-F238E27FC236}">
              <a16:creationId xmlns="" xmlns:a16="http://schemas.microsoft.com/office/drawing/2014/main" id="{8A63CC6D-5F03-41AF-9D3E-17099CAF23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21</xdr:col>
      <xdr:colOff>526676</xdr:colOff>
      <xdr:row>32</xdr:row>
      <xdr:rowOff>0</xdr:rowOff>
    </xdr:from>
    <xdr:to>
      <xdr:col>27</xdr:col>
      <xdr:colOff>383240</xdr:colOff>
      <xdr:row>45</xdr:row>
      <xdr:rowOff>281</xdr:rowOff>
    </xdr:to>
    <xdr:graphicFrame macro="">
      <xdr:nvGraphicFramePr>
        <xdr:cNvPr id="10" name="Chart 9">
          <a:extLst>
            <a:ext uri="{FF2B5EF4-FFF2-40B4-BE49-F238E27FC236}">
              <a16:creationId xmlns="" xmlns:a16="http://schemas.microsoft.com/office/drawing/2014/main" id="{D5FA7CE5-61D1-42CD-BA1D-C96AB47115C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17</xdr:col>
      <xdr:colOff>173693</xdr:colOff>
      <xdr:row>29</xdr:row>
      <xdr:rowOff>123266</xdr:rowOff>
    </xdr:from>
    <xdr:to>
      <xdr:col>18</xdr:col>
      <xdr:colOff>240927</xdr:colOff>
      <xdr:row>33</xdr:row>
      <xdr:rowOff>87247</xdr:rowOff>
    </xdr:to>
    <xdr:cxnSp macro="">
      <xdr:nvCxnSpPr>
        <xdr:cNvPr id="12" name="Straight Connector 11">
          <a:extLst>
            <a:ext uri="{FF2B5EF4-FFF2-40B4-BE49-F238E27FC236}">
              <a16:creationId xmlns="" xmlns:a16="http://schemas.microsoft.com/office/drawing/2014/main" id="{E51CC1B6-7362-4727-9BBD-602927F1052B}"/>
            </a:ext>
          </a:extLst>
        </xdr:cNvPr>
        <xdr:cNvCxnSpPr/>
      </xdr:nvCxnSpPr>
      <xdr:spPr>
        <a:xfrm flipH="1">
          <a:off x="15359264" y="5987945"/>
          <a:ext cx="679556" cy="780409"/>
        </a:xfrm>
        <a:prstGeom prst="line">
          <a:avLst/>
        </a:prstGeom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22</xdr:col>
      <xdr:colOff>601915</xdr:colOff>
      <xdr:row>38</xdr:row>
      <xdr:rowOff>78441</xdr:rowOff>
    </xdr:from>
    <xdr:to>
      <xdr:col>24</xdr:col>
      <xdr:colOff>112858</xdr:colOff>
      <xdr:row>40</xdr:row>
      <xdr:rowOff>179294</xdr:rowOff>
    </xdr:to>
    <xdr:cxnSp macro="">
      <xdr:nvCxnSpPr>
        <xdr:cNvPr id="13" name="Straight Connector 12">
          <a:extLst>
            <a:ext uri="{FF2B5EF4-FFF2-40B4-BE49-F238E27FC236}">
              <a16:creationId xmlns="" xmlns:a16="http://schemas.microsoft.com/office/drawing/2014/main" id="{AF087F74-B286-4128-A424-B06969FAE058}"/>
            </a:ext>
          </a:extLst>
        </xdr:cNvPr>
        <xdr:cNvCxnSpPr/>
      </xdr:nvCxnSpPr>
      <xdr:spPr>
        <a:xfrm flipH="1">
          <a:off x="19328065" y="7126941"/>
          <a:ext cx="730143" cy="510428"/>
        </a:xfrm>
        <a:prstGeom prst="line">
          <a:avLst/>
        </a:prstGeom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29</xdr:col>
      <xdr:colOff>121663</xdr:colOff>
      <xdr:row>38</xdr:row>
      <xdr:rowOff>61633</xdr:rowOff>
    </xdr:from>
    <xdr:to>
      <xdr:col>30</xdr:col>
      <xdr:colOff>390605</xdr:colOff>
      <xdr:row>40</xdr:row>
      <xdr:rowOff>187298</xdr:rowOff>
    </xdr:to>
    <xdr:cxnSp macro="">
      <xdr:nvCxnSpPr>
        <xdr:cNvPr id="14" name="Straight Connector 13">
          <a:extLst>
            <a:ext uri="{FF2B5EF4-FFF2-40B4-BE49-F238E27FC236}">
              <a16:creationId xmlns="" xmlns:a16="http://schemas.microsoft.com/office/drawing/2014/main" id="{66ACA1EF-70ED-4A36-B2D7-8475004E9533}"/>
            </a:ext>
          </a:extLst>
        </xdr:cNvPr>
        <xdr:cNvCxnSpPr/>
      </xdr:nvCxnSpPr>
      <xdr:spPr>
        <a:xfrm flipH="1">
          <a:off x="23115013" y="7110133"/>
          <a:ext cx="878542" cy="535240"/>
        </a:xfrm>
        <a:prstGeom prst="line">
          <a:avLst/>
        </a:prstGeom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21</xdr:col>
      <xdr:colOff>567497</xdr:colOff>
      <xdr:row>31</xdr:row>
      <xdr:rowOff>190500</xdr:rowOff>
    </xdr:from>
    <xdr:to>
      <xdr:col>27</xdr:col>
      <xdr:colOff>424061</xdr:colOff>
      <xdr:row>44</xdr:row>
      <xdr:rowOff>190781</xdr:rowOff>
    </xdr:to>
    <xdr:graphicFrame macro="">
      <xdr:nvGraphicFramePr>
        <xdr:cNvPr id="17" name="Chart 16">
          <a:extLst>
            <a:ext uri="{FF2B5EF4-FFF2-40B4-BE49-F238E27FC236}">
              <a16:creationId xmlns="" xmlns:a16="http://schemas.microsoft.com/office/drawing/2014/main" id="{476E8B44-6591-417E-89FA-9C655CC23DC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19050</xdr:colOff>
      <xdr:row>57</xdr:row>
      <xdr:rowOff>23812</xdr:rowOff>
    </xdr:from>
    <xdr:to>
      <xdr:col>23</xdr:col>
      <xdr:colOff>323850</xdr:colOff>
      <xdr:row>69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BFB0E56F-C418-40B2-9251-D19F38DDE3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2189</xdr:colOff>
      <xdr:row>33</xdr:row>
      <xdr:rowOff>183056</xdr:rowOff>
    </xdr:from>
    <xdr:to>
      <xdr:col>20</xdr:col>
      <xdr:colOff>118241</xdr:colOff>
      <xdr:row>47</xdr:row>
      <xdr:rowOff>46859</xdr:rowOff>
    </xdr:to>
    <xdr:graphicFrame macro="">
      <xdr:nvGraphicFramePr>
        <xdr:cNvPr id="5" name="Chart 4">
          <a:extLst>
            <a:ext uri="{FF2B5EF4-FFF2-40B4-BE49-F238E27FC236}">
              <a16:creationId xmlns="" xmlns:a16="http://schemas.microsoft.com/office/drawing/2014/main" id="{559F8FA0-31BE-477B-97B6-3B451952D67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200025</xdr:colOff>
      <xdr:row>2</xdr:row>
      <xdr:rowOff>409575</xdr:rowOff>
    </xdr:from>
    <xdr:to>
      <xdr:col>19</xdr:col>
      <xdr:colOff>219075</xdr:colOff>
      <xdr:row>23</xdr:row>
      <xdr:rowOff>9525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00000000-0008-0000-03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19050</xdr:colOff>
      <xdr:row>22</xdr:row>
      <xdr:rowOff>23812</xdr:rowOff>
    </xdr:from>
    <xdr:to>
      <xdr:col>23</xdr:col>
      <xdr:colOff>323850</xdr:colOff>
      <xdr:row>34</xdr:row>
      <xdr:rowOff>42862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9234D958-030C-4015-9BCA-5BBC6DB0B7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0</xdr:colOff>
      <xdr:row>64</xdr:row>
      <xdr:rowOff>0</xdr:rowOff>
    </xdr:from>
    <xdr:to>
      <xdr:col>23</xdr:col>
      <xdr:colOff>304800</xdr:colOff>
      <xdr:row>76</xdr:row>
      <xdr:rowOff>19050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A2307160-21AF-460B-AE9B-3952154127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45357</xdr:colOff>
      <xdr:row>104</xdr:row>
      <xdr:rowOff>192768</xdr:rowOff>
    </xdr:from>
    <xdr:to>
      <xdr:col>23</xdr:col>
      <xdr:colOff>350157</xdr:colOff>
      <xdr:row>117</xdr:row>
      <xdr:rowOff>7711</xdr:rowOff>
    </xdr:to>
    <xdr:graphicFrame macro="">
      <xdr:nvGraphicFramePr>
        <xdr:cNvPr id="5" name="Chart 4">
          <a:extLst>
            <a:ext uri="{FF2B5EF4-FFF2-40B4-BE49-F238E27FC236}">
              <a16:creationId xmlns="" xmlns:a16="http://schemas.microsoft.com/office/drawing/2014/main" id="{42BFB8A4-C15E-4AAE-844F-3C2777DCBE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20411</xdr:colOff>
      <xdr:row>3</xdr:row>
      <xdr:rowOff>5443</xdr:rowOff>
    </xdr:from>
    <xdr:to>
      <xdr:col>28</xdr:col>
      <xdr:colOff>327932</xdr:colOff>
      <xdr:row>15</xdr:row>
      <xdr:rowOff>43543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DC91DBFF-1ABD-4805-94F3-4C07667146D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10885</xdr:colOff>
      <xdr:row>2</xdr:row>
      <xdr:rowOff>189140</xdr:rowOff>
    </xdr:from>
    <xdr:to>
      <xdr:col>20</xdr:col>
      <xdr:colOff>318406</xdr:colOff>
      <xdr:row>15</xdr:row>
      <xdr:rowOff>24493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1AA628F6-EA82-4E13-AB70-38280BD27D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0</xdr:colOff>
      <xdr:row>20</xdr:row>
      <xdr:rowOff>0</xdr:rowOff>
    </xdr:from>
    <xdr:to>
      <xdr:col>20</xdr:col>
      <xdr:colOff>307521</xdr:colOff>
      <xdr:row>32</xdr:row>
      <xdr:rowOff>25854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154D02E7-F0B4-4D46-B288-826FD5F93C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21</xdr:col>
      <xdr:colOff>0</xdr:colOff>
      <xdr:row>20</xdr:row>
      <xdr:rowOff>0</xdr:rowOff>
    </xdr:from>
    <xdr:to>
      <xdr:col>28</xdr:col>
      <xdr:colOff>307521</xdr:colOff>
      <xdr:row>32</xdr:row>
      <xdr:rowOff>38101</xdr:rowOff>
    </xdr:to>
    <xdr:graphicFrame macro="">
      <xdr:nvGraphicFramePr>
        <xdr:cNvPr id="5" name="Chart 4">
          <a:extLst>
            <a:ext uri="{FF2B5EF4-FFF2-40B4-BE49-F238E27FC236}">
              <a16:creationId xmlns="" xmlns:a16="http://schemas.microsoft.com/office/drawing/2014/main" id="{C67FB02E-C32A-4786-B325-223C87FAF8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13</xdr:col>
      <xdr:colOff>0</xdr:colOff>
      <xdr:row>36</xdr:row>
      <xdr:rowOff>0</xdr:rowOff>
    </xdr:from>
    <xdr:to>
      <xdr:col>20</xdr:col>
      <xdr:colOff>307521</xdr:colOff>
      <xdr:row>48</xdr:row>
      <xdr:rowOff>39460</xdr:rowOff>
    </xdr:to>
    <xdr:graphicFrame macro="">
      <xdr:nvGraphicFramePr>
        <xdr:cNvPr id="6" name="Chart 5">
          <a:extLst>
            <a:ext uri="{FF2B5EF4-FFF2-40B4-BE49-F238E27FC236}">
              <a16:creationId xmlns="" xmlns:a16="http://schemas.microsoft.com/office/drawing/2014/main" id="{9D0DA0D8-2844-4A97-B0B1-D075E0753EA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21</xdr:col>
      <xdr:colOff>0</xdr:colOff>
      <xdr:row>36</xdr:row>
      <xdr:rowOff>0</xdr:rowOff>
    </xdr:from>
    <xdr:to>
      <xdr:col>28</xdr:col>
      <xdr:colOff>307521</xdr:colOff>
      <xdr:row>48</xdr:row>
      <xdr:rowOff>38100</xdr:rowOff>
    </xdr:to>
    <xdr:graphicFrame macro="">
      <xdr:nvGraphicFramePr>
        <xdr:cNvPr id="7" name="Chart 6">
          <a:extLst>
            <a:ext uri="{FF2B5EF4-FFF2-40B4-BE49-F238E27FC236}">
              <a16:creationId xmlns="" xmlns:a16="http://schemas.microsoft.com/office/drawing/2014/main" id="{C33707AA-6BD4-4549-B866-82E8D72C9B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29</xdr:col>
      <xdr:colOff>384343</xdr:colOff>
      <xdr:row>19</xdr:row>
      <xdr:rowOff>0</xdr:rowOff>
    </xdr:from>
    <xdr:to>
      <xdr:col>35</xdr:col>
      <xdr:colOff>278732</xdr:colOff>
      <xdr:row>31</xdr:row>
      <xdr:rowOff>61996</xdr:rowOff>
    </xdr:to>
    <xdr:pic>
      <xdr:nvPicPr>
        <xdr:cNvPr id="8" name="Picture 7">
          <a:extLst>
            <a:ext uri="{FF2B5EF4-FFF2-40B4-BE49-F238E27FC236}">
              <a16:creationId xmlns="" xmlns:a16="http://schemas.microsoft.com/office/drawing/2014/main" id="{A558D6AF-0BD3-433A-B778-22EAE80E2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3290" y="4294605"/>
          <a:ext cx="3503863" cy="2718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36</xdr:col>
      <xdr:colOff>595914</xdr:colOff>
      <xdr:row>31</xdr:row>
      <xdr:rowOff>10233</xdr:rowOff>
    </xdr:from>
    <xdr:to>
      <xdr:col>44</xdr:col>
      <xdr:colOff>355282</xdr:colOff>
      <xdr:row>47</xdr:row>
      <xdr:rowOff>123401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F83AD053-3F2A-4524-A2FF-0B4E9C8F579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45</xdr:col>
      <xdr:colOff>183172</xdr:colOff>
      <xdr:row>31</xdr:row>
      <xdr:rowOff>0</xdr:rowOff>
    </xdr:from>
    <xdr:to>
      <xdr:col>52</xdr:col>
      <xdr:colOff>553117</xdr:colOff>
      <xdr:row>47</xdr:row>
      <xdr:rowOff>113168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1CFFCAB4-F69F-4FCE-A82A-99C8FC0CA0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53</xdr:col>
      <xdr:colOff>0</xdr:colOff>
      <xdr:row>31</xdr:row>
      <xdr:rowOff>0</xdr:rowOff>
    </xdr:from>
    <xdr:to>
      <xdr:col>60</xdr:col>
      <xdr:colOff>369944</xdr:colOff>
      <xdr:row>47</xdr:row>
      <xdr:rowOff>113168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F559265B-CB3C-4ED9-8685-FD363417140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37</xdr:col>
      <xdr:colOff>0</xdr:colOff>
      <xdr:row>51</xdr:row>
      <xdr:rowOff>0</xdr:rowOff>
    </xdr:from>
    <xdr:to>
      <xdr:col>44</xdr:col>
      <xdr:colOff>369945</xdr:colOff>
      <xdr:row>83</xdr:row>
      <xdr:rowOff>113169</xdr:rowOff>
    </xdr:to>
    <xdr:graphicFrame macro="">
      <xdr:nvGraphicFramePr>
        <xdr:cNvPr id="5" name="Chart 4">
          <a:extLst>
            <a:ext uri="{FF2B5EF4-FFF2-40B4-BE49-F238E27FC236}">
              <a16:creationId xmlns="" xmlns:a16="http://schemas.microsoft.com/office/drawing/2014/main" id="{B275E34A-C343-4808-8A03-C598C8DBEDE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45</xdr:col>
      <xdr:colOff>0</xdr:colOff>
      <xdr:row>51</xdr:row>
      <xdr:rowOff>0</xdr:rowOff>
    </xdr:from>
    <xdr:to>
      <xdr:col>52</xdr:col>
      <xdr:colOff>369945</xdr:colOff>
      <xdr:row>83</xdr:row>
      <xdr:rowOff>113169</xdr:rowOff>
    </xdr:to>
    <xdr:graphicFrame macro="">
      <xdr:nvGraphicFramePr>
        <xdr:cNvPr id="6" name="Chart 5">
          <a:extLst>
            <a:ext uri="{FF2B5EF4-FFF2-40B4-BE49-F238E27FC236}">
              <a16:creationId xmlns="" xmlns:a16="http://schemas.microsoft.com/office/drawing/2014/main" id="{168086BB-4793-4C7E-A948-0C6B0DD6DE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53</xdr:col>
      <xdr:colOff>0</xdr:colOff>
      <xdr:row>51</xdr:row>
      <xdr:rowOff>0</xdr:rowOff>
    </xdr:from>
    <xdr:to>
      <xdr:col>60</xdr:col>
      <xdr:colOff>369944</xdr:colOff>
      <xdr:row>83</xdr:row>
      <xdr:rowOff>113169</xdr:rowOff>
    </xdr:to>
    <xdr:graphicFrame macro="">
      <xdr:nvGraphicFramePr>
        <xdr:cNvPr id="7" name="Chart 6">
          <a:extLst>
            <a:ext uri="{FF2B5EF4-FFF2-40B4-BE49-F238E27FC236}">
              <a16:creationId xmlns="" xmlns:a16="http://schemas.microsoft.com/office/drawing/2014/main" id="{C3E464F0-617C-46CE-8E23-30C39F388E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37</xdr:col>
      <xdr:colOff>0</xdr:colOff>
      <xdr:row>87</xdr:row>
      <xdr:rowOff>0</xdr:rowOff>
    </xdr:from>
    <xdr:to>
      <xdr:col>44</xdr:col>
      <xdr:colOff>369945</xdr:colOff>
      <xdr:row>105</xdr:row>
      <xdr:rowOff>113168</xdr:rowOff>
    </xdr:to>
    <xdr:graphicFrame macro="">
      <xdr:nvGraphicFramePr>
        <xdr:cNvPr id="8" name="Chart 7">
          <a:extLst>
            <a:ext uri="{FF2B5EF4-FFF2-40B4-BE49-F238E27FC236}">
              <a16:creationId xmlns="" xmlns:a16="http://schemas.microsoft.com/office/drawing/2014/main" id="{EECAE1E8-3546-47A9-827D-BDA940B039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45</xdr:col>
      <xdr:colOff>0</xdr:colOff>
      <xdr:row>87</xdr:row>
      <xdr:rowOff>0</xdr:rowOff>
    </xdr:from>
    <xdr:to>
      <xdr:col>52</xdr:col>
      <xdr:colOff>369945</xdr:colOff>
      <xdr:row>105</xdr:row>
      <xdr:rowOff>113168</xdr:rowOff>
    </xdr:to>
    <xdr:graphicFrame macro="">
      <xdr:nvGraphicFramePr>
        <xdr:cNvPr id="9" name="Chart 8">
          <a:extLst>
            <a:ext uri="{FF2B5EF4-FFF2-40B4-BE49-F238E27FC236}">
              <a16:creationId xmlns="" xmlns:a16="http://schemas.microsoft.com/office/drawing/2014/main" id="{D0FDC145-AB05-422A-9EBB-37887CE63D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53</xdr:col>
      <xdr:colOff>0</xdr:colOff>
      <xdr:row>87</xdr:row>
      <xdr:rowOff>0</xdr:rowOff>
    </xdr:from>
    <xdr:to>
      <xdr:col>60</xdr:col>
      <xdr:colOff>369944</xdr:colOff>
      <xdr:row>105</xdr:row>
      <xdr:rowOff>113168</xdr:rowOff>
    </xdr:to>
    <xdr:graphicFrame macro="">
      <xdr:nvGraphicFramePr>
        <xdr:cNvPr id="10" name="Chart 9">
          <a:extLst>
            <a:ext uri="{FF2B5EF4-FFF2-40B4-BE49-F238E27FC236}">
              <a16:creationId xmlns="" xmlns:a16="http://schemas.microsoft.com/office/drawing/2014/main" id="{599A518B-F794-44B0-818F-7BF5966A3A0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37</xdr:col>
      <xdr:colOff>0</xdr:colOff>
      <xdr:row>108</xdr:row>
      <xdr:rowOff>0</xdr:rowOff>
    </xdr:from>
    <xdr:to>
      <xdr:col>44</xdr:col>
      <xdr:colOff>369945</xdr:colOff>
      <xdr:row>117</xdr:row>
      <xdr:rowOff>88746</xdr:rowOff>
    </xdr:to>
    <xdr:graphicFrame macro="">
      <xdr:nvGraphicFramePr>
        <xdr:cNvPr id="11" name="Chart 10">
          <a:extLst>
            <a:ext uri="{FF2B5EF4-FFF2-40B4-BE49-F238E27FC236}">
              <a16:creationId xmlns="" xmlns:a16="http://schemas.microsoft.com/office/drawing/2014/main" id="{8E4D03C2-712D-4AA4-ADF4-D9821E5EA1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45</xdr:col>
      <xdr:colOff>0</xdr:colOff>
      <xdr:row>108</xdr:row>
      <xdr:rowOff>0</xdr:rowOff>
    </xdr:from>
    <xdr:to>
      <xdr:col>52</xdr:col>
      <xdr:colOff>369945</xdr:colOff>
      <xdr:row>117</xdr:row>
      <xdr:rowOff>88746</xdr:rowOff>
    </xdr:to>
    <xdr:graphicFrame macro="">
      <xdr:nvGraphicFramePr>
        <xdr:cNvPr id="12" name="Chart 11">
          <a:extLst>
            <a:ext uri="{FF2B5EF4-FFF2-40B4-BE49-F238E27FC236}">
              <a16:creationId xmlns="" xmlns:a16="http://schemas.microsoft.com/office/drawing/2014/main" id="{A7CDAEC8-EC05-4253-BDD0-27F97F0D1FE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53</xdr:col>
      <xdr:colOff>0</xdr:colOff>
      <xdr:row>108</xdr:row>
      <xdr:rowOff>0</xdr:rowOff>
    </xdr:from>
    <xdr:to>
      <xdr:col>60</xdr:col>
      <xdr:colOff>369944</xdr:colOff>
      <xdr:row>117</xdr:row>
      <xdr:rowOff>88746</xdr:rowOff>
    </xdr:to>
    <xdr:graphicFrame macro="">
      <xdr:nvGraphicFramePr>
        <xdr:cNvPr id="13" name="Chart 12">
          <a:extLst>
            <a:ext uri="{FF2B5EF4-FFF2-40B4-BE49-F238E27FC236}">
              <a16:creationId xmlns="" xmlns:a16="http://schemas.microsoft.com/office/drawing/2014/main" id="{A8A6B070-C3DF-4E68-851F-7E30909B48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37</xdr:col>
      <xdr:colOff>0</xdr:colOff>
      <xdr:row>118</xdr:row>
      <xdr:rowOff>0</xdr:rowOff>
    </xdr:from>
    <xdr:to>
      <xdr:col>44</xdr:col>
      <xdr:colOff>369945</xdr:colOff>
      <xdr:row>130</xdr:row>
      <xdr:rowOff>113169</xdr:rowOff>
    </xdr:to>
    <xdr:graphicFrame macro="">
      <xdr:nvGraphicFramePr>
        <xdr:cNvPr id="14" name="Chart 13">
          <a:extLst>
            <a:ext uri="{FF2B5EF4-FFF2-40B4-BE49-F238E27FC236}">
              <a16:creationId xmlns="" xmlns:a16="http://schemas.microsoft.com/office/drawing/2014/main" id="{54FB61B4-5514-49DF-AC00-244839397E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45</xdr:col>
      <xdr:colOff>0</xdr:colOff>
      <xdr:row>118</xdr:row>
      <xdr:rowOff>0</xdr:rowOff>
    </xdr:from>
    <xdr:to>
      <xdr:col>52</xdr:col>
      <xdr:colOff>369945</xdr:colOff>
      <xdr:row>130</xdr:row>
      <xdr:rowOff>113169</xdr:rowOff>
    </xdr:to>
    <xdr:graphicFrame macro="">
      <xdr:nvGraphicFramePr>
        <xdr:cNvPr id="15" name="Chart 14">
          <a:extLst>
            <a:ext uri="{FF2B5EF4-FFF2-40B4-BE49-F238E27FC236}">
              <a16:creationId xmlns="" xmlns:a16="http://schemas.microsoft.com/office/drawing/2014/main" id="{EE899891-2485-405B-86B7-D967F18544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53</xdr:col>
      <xdr:colOff>0</xdr:colOff>
      <xdr:row>118</xdr:row>
      <xdr:rowOff>0</xdr:rowOff>
    </xdr:from>
    <xdr:to>
      <xdr:col>60</xdr:col>
      <xdr:colOff>369944</xdr:colOff>
      <xdr:row>130</xdr:row>
      <xdr:rowOff>113169</xdr:rowOff>
    </xdr:to>
    <xdr:graphicFrame macro="">
      <xdr:nvGraphicFramePr>
        <xdr:cNvPr id="16" name="Chart 15">
          <a:extLst>
            <a:ext uri="{FF2B5EF4-FFF2-40B4-BE49-F238E27FC236}">
              <a16:creationId xmlns="" xmlns:a16="http://schemas.microsoft.com/office/drawing/2014/main" id="{0E33414E-CFC2-4895-B227-4D78F39F4B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37</xdr:col>
      <xdr:colOff>0</xdr:colOff>
      <xdr:row>132</xdr:row>
      <xdr:rowOff>0</xdr:rowOff>
    </xdr:from>
    <xdr:to>
      <xdr:col>44</xdr:col>
      <xdr:colOff>369945</xdr:colOff>
      <xdr:row>144</xdr:row>
      <xdr:rowOff>113168</xdr:rowOff>
    </xdr:to>
    <xdr:graphicFrame macro="">
      <xdr:nvGraphicFramePr>
        <xdr:cNvPr id="17" name="Chart 16">
          <a:extLst>
            <a:ext uri="{FF2B5EF4-FFF2-40B4-BE49-F238E27FC236}">
              <a16:creationId xmlns="" xmlns:a16="http://schemas.microsoft.com/office/drawing/2014/main" id="{64DDC288-D5E4-40F0-B6CF-7E0A6DE5B98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45</xdr:col>
      <xdr:colOff>0</xdr:colOff>
      <xdr:row>132</xdr:row>
      <xdr:rowOff>0</xdr:rowOff>
    </xdr:from>
    <xdr:to>
      <xdr:col>52</xdr:col>
      <xdr:colOff>369945</xdr:colOff>
      <xdr:row>144</xdr:row>
      <xdr:rowOff>113168</xdr:rowOff>
    </xdr:to>
    <xdr:graphicFrame macro="">
      <xdr:nvGraphicFramePr>
        <xdr:cNvPr id="18" name="Chart 17">
          <a:extLst>
            <a:ext uri="{FF2B5EF4-FFF2-40B4-BE49-F238E27FC236}">
              <a16:creationId xmlns="" xmlns:a16="http://schemas.microsoft.com/office/drawing/2014/main" id="{B06F47DA-BF2B-40C0-B7E4-511E3FC301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53</xdr:col>
      <xdr:colOff>0</xdr:colOff>
      <xdr:row>132</xdr:row>
      <xdr:rowOff>0</xdr:rowOff>
    </xdr:from>
    <xdr:to>
      <xdr:col>60</xdr:col>
      <xdr:colOff>369944</xdr:colOff>
      <xdr:row>144</xdr:row>
      <xdr:rowOff>113168</xdr:rowOff>
    </xdr:to>
    <xdr:graphicFrame macro="">
      <xdr:nvGraphicFramePr>
        <xdr:cNvPr id="19" name="Chart 18">
          <a:extLst>
            <a:ext uri="{FF2B5EF4-FFF2-40B4-BE49-F238E27FC236}">
              <a16:creationId xmlns="" xmlns:a16="http://schemas.microsoft.com/office/drawing/2014/main" id="{19206FC0-8287-4BF0-B6D9-B846000418C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53</xdr:col>
      <xdr:colOff>0</xdr:colOff>
      <xdr:row>146</xdr:row>
      <xdr:rowOff>0</xdr:rowOff>
    </xdr:from>
    <xdr:to>
      <xdr:col>60</xdr:col>
      <xdr:colOff>369944</xdr:colOff>
      <xdr:row>160</xdr:row>
      <xdr:rowOff>113169</xdr:rowOff>
    </xdr:to>
    <xdr:graphicFrame macro="">
      <xdr:nvGraphicFramePr>
        <xdr:cNvPr id="20" name="Chart 19">
          <a:extLst>
            <a:ext uri="{FF2B5EF4-FFF2-40B4-BE49-F238E27FC236}">
              <a16:creationId xmlns="" xmlns:a16="http://schemas.microsoft.com/office/drawing/2014/main" id="{BBE5913E-8478-45DE-A7C7-08BF24BB9C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299416</xdr:colOff>
      <xdr:row>11</xdr:row>
      <xdr:rowOff>163995</xdr:rowOff>
    </xdr:from>
    <xdr:to>
      <xdr:col>9</xdr:col>
      <xdr:colOff>3727</xdr:colOff>
      <xdr:row>26</xdr:row>
      <xdr:rowOff>53837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D512BC87-D345-452A-BC93-10F1A28CB47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9525</xdr:colOff>
      <xdr:row>12</xdr:row>
      <xdr:rowOff>19050</xdr:rowOff>
    </xdr:from>
    <xdr:to>
      <xdr:col>17</xdr:col>
      <xdr:colOff>314325</xdr:colOff>
      <xdr:row>26</xdr:row>
      <xdr:rowOff>95250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8DAD9376-0BDD-40FA-8822-47EF3330C75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18</xdr:col>
      <xdr:colOff>334410</xdr:colOff>
      <xdr:row>12</xdr:row>
      <xdr:rowOff>30232</xdr:rowOff>
    </xdr:from>
    <xdr:to>
      <xdr:col>26</xdr:col>
      <xdr:colOff>38721</xdr:colOff>
      <xdr:row>26</xdr:row>
      <xdr:rowOff>106432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E1055781-4875-4CF2-BB25-22BF503CD52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310597</xdr:colOff>
      <xdr:row>35</xdr:row>
      <xdr:rowOff>20706</xdr:rowOff>
    </xdr:from>
    <xdr:to>
      <xdr:col>9</xdr:col>
      <xdr:colOff>14908</xdr:colOff>
      <xdr:row>49</xdr:row>
      <xdr:rowOff>96906</xdr:rowOff>
    </xdr:to>
    <xdr:graphicFrame macro="">
      <xdr:nvGraphicFramePr>
        <xdr:cNvPr id="5" name="Chart 4">
          <a:extLst>
            <a:ext uri="{FF2B5EF4-FFF2-40B4-BE49-F238E27FC236}">
              <a16:creationId xmlns="" xmlns:a16="http://schemas.microsoft.com/office/drawing/2014/main" id="{65FD1DE4-0BE1-4611-A966-91AEA047B6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0</xdr:colOff>
      <xdr:row>35</xdr:row>
      <xdr:rowOff>0</xdr:rowOff>
    </xdr:from>
    <xdr:to>
      <xdr:col>17</xdr:col>
      <xdr:colOff>304800</xdr:colOff>
      <xdr:row>49</xdr:row>
      <xdr:rowOff>76200</xdr:rowOff>
    </xdr:to>
    <xdr:graphicFrame macro="">
      <xdr:nvGraphicFramePr>
        <xdr:cNvPr id="6" name="Chart 5">
          <a:extLst>
            <a:ext uri="{FF2B5EF4-FFF2-40B4-BE49-F238E27FC236}">
              <a16:creationId xmlns="" xmlns:a16="http://schemas.microsoft.com/office/drawing/2014/main" id="{9846C3C4-0160-402E-A8D1-8D5A2703C6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18</xdr:col>
      <xdr:colOff>393424</xdr:colOff>
      <xdr:row>34</xdr:row>
      <xdr:rowOff>165651</xdr:rowOff>
    </xdr:from>
    <xdr:to>
      <xdr:col>26</xdr:col>
      <xdr:colOff>97735</xdr:colOff>
      <xdr:row>49</xdr:row>
      <xdr:rowOff>55493</xdr:rowOff>
    </xdr:to>
    <xdr:graphicFrame macro="">
      <xdr:nvGraphicFramePr>
        <xdr:cNvPr id="7" name="Chart 6">
          <a:extLst>
            <a:ext uri="{FF2B5EF4-FFF2-40B4-BE49-F238E27FC236}">
              <a16:creationId xmlns="" xmlns:a16="http://schemas.microsoft.com/office/drawing/2014/main" id="{EC22545D-65CA-4EC8-A10C-35476C5A06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0</xdr:colOff>
      <xdr:row>61</xdr:row>
      <xdr:rowOff>9525</xdr:rowOff>
    </xdr:from>
    <xdr:to>
      <xdr:col>9</xdr:col>
      <xdr:colOff>335884</xdr:colOff>
      <xdr:row>75</xdr:row>
      <xdr:rowOff>93497</xdr:rowOff>
    </xdr:to>
    <xdr:graphicFrame macro="">
      <xdr:nvGraphicFramePr>
        <xdr:cNvPr id="8" name="Chart 7">
          <a:extLst>
            <a:ext uri="{FF2B5EF4-FFF2-40B4-BE49-F238E27FC236}">
              <a16:creationId xmlns="" xmlns:a16="http://schemas.microsoft.com/office/drawing/2014/main" id="{DCDAF091-40CD-4D56-9B58-C0FB6818B2E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10</xdr:col>
      <xdr:colOff>100290</xdr:colOff>
      <xdr:row>61</xdr:row>
      <xdr:rowOff>39688</xdr:rowOff>
    </xdr:from>
    <xdr:to>
      <xdr:col>17</xdr:col>
      <xdr:colOff>436176</xdr:colOff>
      <xdr:row>75</xdr:row>
      <xdr:rowOff>123660</xdr:rowOff>
    </xdr:to>
    <xdr:graphicFrame macro="">
      <xdr:nvGraphicFramePr>
        <xdr:cNvPr id="9" name="Chart 8">
          <a:extLst>
            <a:ext uri="{FF2B5EF4-FFF2-40B4-BE49-F238E27FC236}">
              <a16:creationId xmlns="" xmlns:a16="http://schemas.microsoft.com/office/drawing/2014/main" id="{6B3EFED4-8EF5-4699-A844-BE097C9932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18</xdr:col>
      <xdr:colOff>338693</xdr:colOff>
      <xdr:row>61</xdr:row>
      <xdr:rowOff>79375</xdr:rowOff>
    </xdr:from>
    <xdr:to>
      <xdr:col>26</xdr:col>
      <xdr:colOff>59420</xdr:colOff>
      <xdr:row>75</xdr:row>
      <xdr:rowOff>163347</xdr:rowOff>
    </xdr:to>
    <xdr:graphicFrame macro="">
      <xdr:nvGraphicFramePr>
        <xdr:cNvPr id="10" name="Chart 9">
          <a:extLst>
            <a:ext uri="{FF2B5EF4-FFF2-40B4-BE49-F238E27FC236}">
              <a16:creationId xmlns="" xmlns:a16="http://schemas.microsoft.com/office/drawing/2014/main" id="{73169A0F-54BB-42A3-B724-C2A88B6046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</xdr:col>
      <xdr:colOff>0</xdr:colOff>
      <xdr:row>83</xdr:row>
      <xdr:rowOff>0</xdr:rowOff>
    </xdr:from>
    <xdr:to>
      <xdr:col>9</xdr:col>
      <xdr:colOff>335884</xdr:colOff>
      <xdr:row>97</xdr:row>
      <xdr:rowOff>83971</xdr:rowOff>
    </xdr:to>
    <xdr:graphicFrame macro="">
      <xdr:nvGraphicFramePr>
        <xdr:cNvPr id="11" name="Chart 10">
          <a:extLst>
            <a:ext uri="{FF2B5EF4-FFF2-40B4-BE49-F238E27FC236}">
              <a16:creationId xmlns="" xmlns:a16="http://schemas.microsoft.com/office/drawing/2014/main" id="{8436E160-C779-46F3-89C1-DBF06A8D687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10</xdr:col>
      <xdr:colOff>99496</xdr:colOff>
      <xdr:row>83</xdr:row>
      <xdr:rowOff>19844</xdr:rowOff>
    </xdr:from>
    <xdr:to>
      <xdr:col>17</xdr:col>
      <xdr:colOff>435382</xdr:colOff>
      <xdr:row>97</xdr:row>
      <xdr:rowOff>103815</xdr:rowOff>
    </xdr:to>
    <xdr:graphicFrame macro="">
      <xdr:nvGraphicFramePr>
        <xdr:cNvPr id="12" name="Chart 11">
          <a:extLst>
            <a:ext uri="{FF2B5EF4-FFF2-40B4-BE49-F238E27FC236}">
              <a16:creationId xmlns="" xmlns:a16="http://schemas.microsoft.com/office/drawing/2014/main" id="{44481EF4-CAE2-4927-88C7-E6569E76BAA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18</xdr:col>
      <xdr:colOff>397431</xdr:colOff>
      <xdr:row>83</xdr:row>
      <xdr:rowOff>19844</xdr:rowOff>
    </xdr:from>
    <xdr:to>
      <xdr:col>26</xdr:col>
      <xdr:colOff>118158</xdr:colOff>
      <xdr:row>97</xdr:row>
      <xdr:rowOff>103815</xdr:rowOff>
    </xdr:to>
    <xdr:graphicFrame macro="">
      <xdr:nvGraphicFramePr>
        <xdr:cNvPr id="13" name="Chart 12">
          <a:extLst>
            <a:ext uri="{FF2B5EF4-FFF2-40B4-BE49-F238E27FC236}">
              <a16:creationId xmlns="" xmlns:a16="http://schemas.microsoft.com/office/drawing/2014/main" id="{1FDE70E8-7284-4C4B-95FC-B089078CF07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2</xdr:col>
      <xdr:colOff>0</xdr:colOff>
      <xdr:row>104</xdr:row>
      <xdr:rowOff>0</xdr:rowOff>
    </xdr:from>
    <xdr:to>
      <xdr:col>9</xdr:col>
      <xdr:colOff>335884</xdr:colOff>
      <xdr:row>118</xdr:row>
      <xdr:rowOff>83970</xdr:rowOff>
    </xdr:to>
    <xdr:graphicFrame macro="">
      <xdr:nvGraphicFramePr>
        <xdr:cNvPr id="14" name="Chart 13">
          <a:extLst>
            <a:ext uri="{FF2B5EF4-FFF2-40B4-BE49-F238E27FC236}">
              <a16:creationId xmlns="" xmlns:a16="http://schemas.microsoft.com/office/drawing/2014/main" id="{8E954571-00A4-4F45-85F9-CEE561E672C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10</xdr:col>
      <xdr:colOff>79653</xdr:colOff>
      <xdr:row>104</xdr:row>
      <xdr:rowOff>0</xdr:rowOff>
    </xdr:from>
    <xdr:to>
      <xdr:col>17</xdr:col>
      <xdr:colOff>415539</xdr:colOff>
      <xdr:row>118</xdr:row>
      <xdr:rowOff>83970</xdr:rowOff>
    </xdr:to>
    <xdr:graphicFrame macro="">
      <xdr:nvGraphicFramePr>
        <xdr:cNvPr id="15" name="Chart 14">
          <a:extLst>
            <a:ext uri="{FF2B5EF4-FFF2-40B4-BE49-F238E27FC236}">
              <a16:creationId xmlns="" xmlns:a16="http://schemas.microsoft.com/office/drawing/2014/main" id="{4A3946BD-CB81-4FEA-B0D7-61546C0ECC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18</xdr:col>
      <xdr:colOff>397430</xdr:colOff>
      <xdr:row>104</xdr:row>
      <xdr:rowOff>0</xdr:rowOff>
    </xdr:from>
    <xdr:to>
      <xdr:col>26</xdr:col>
      <xdr:colOff>118157</xdr:colOff>
      <xdr:row>118</xdr:row>
      <xdr:rowOff>83970</xdr:rowOff>
    </xdr:to>
    <xdr:graphicFrame macro="">
      <xdr:nvGraphicFramePr>
        <xdr:cNvPr id="16" name="Chart 15">
          <a:extLst>
            <a:ext uri="{FF2B5EF4-FFF2-40B4-BE49-F238E27FC236}">
              <a16:creationId xmlns="" xmlns:a16="http://schemas.microsoft.com/office/drawing/2014/main" id="{B4723606-47FC-4526-B7A6-5506C85FB4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1</xdr:col>
      <xdr:colOff>266700</xdr:colOff>
      <xdr:row>129</xdr:row>
      <xdr:rowOff>9525</xdr:rowOff>
    </xdr:from>
    <xdr:to>
      <xdr:col>8</xdr:col>
      <xdr:colOff>578403</xdr:colOff>
      <xdr:row>143</xdr:row>
      <xdr:rowOff>92628</xdr:rowOff>
    </xdr:to>
    <xdr:graphicFrame macro="">
      <xdr:nvGraphicFramePr>
        <xdr:cNvPr id="17" name="Chart 16">
          <a:extLst>
            <a:ext uri="{FF2B5EF4-FFF2-40B4-BE49-F238E27FC236}">
              <a16:creationId xmlns="" xmlns:a16="http://schemas.microsoft.com/office/drawing/2014/main" id="{A2DFCE02-A11B-4C6D-B109-0791885855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9</xdr:col>
      <xdr:colOff>0</xdr:colOff>
      <xdr:row>129</xdr:row>
      <xdr:rowOff>0</xdr:rowOff>
    </xdr:from>
    <xdr:to>
      <xdr:col>16</xdr:col>
      <xdr:colOff>311703</xdr:colOff>
      <xdr:row>143</xdr:row>
      <xdr:rowOff>83103</xdr:rowOff>
    </xdr:to>
    <xdr:graphicFrame macro="">
      <xdr:nvGraphicFramePr>
        <xdr:cNvPr id="18" name="Chart 17">
          <a:extLst>
            <a:ext uri="{FF2B5EF4-FFF2-40B4-BE49-F238E27FC236}">
              <a16:creationId xmlns="" xmlns:a16="http://schemas.microsoft.com/office/drawing/2014/main" id="{6791E2C2-88C3-401A-B06A-5EC49262FAA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16</xdr:col>
      <xdr:colOff>342900</xdr:colOff>
      <xdr:row>128</xdr:row>
      <xdr:rowOff>180975</xdr:rowOff>
    </xdr:from>
    <xdr:to>
      <xdr:col>24</xdr:col>
      <xdr:colOff>45003</xdr:colOff>
      <xdr:row>143</xdr:row>
      <xdr:rowOff>73578</xdr:rowOff>
    </xdr:to>
    <xdr:graphicFrame macro="">
      <xdr:nvGraphicFramePr>
        <xdr:cNvPr id="19" name="Chart 18">
          <a:extLst>
            <a:ext uri="{FF2B5EF4-FFF2-40B4-BE49-F238E27FC236}">
              <a16:creationId xmlns="" xmlns:a16="http://schemas.microsoft.com/office/drawing/2014/main" id="{46BBC248-60C9-48E6-8224-06A870ED0E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1</xdr:col>
      <xdr:colOff>314325</xdr:colOff>
      <xdr:row>147</xdr:row>
      <xdr:rowOff>123825</xdr:rowOff>
    </xdr:from>
    <xdr:to>
      <xdr:col>9</xdr:col>
      <xdr:colOff>16428</xdr:colOff>
      <xdr:row>162</xdr:row>
      <xdr:rowOff>16428</xdr:rowOff>
    </xdr:to>
    <xdr:graphicFrame macro="">
      <xdr:nvGraphicFramePr>
        <xdr:cNvPr id="20" name="Chart 19">
          <a:extLst>
            <a:ext uri="{FF2B5EF4-FFF2-40B4-BE49-F238E27FC236}">
              <a16:creationId xmlns="" xmlns:a16="http://schemas.microsoft.com/office/drawing/2014/main" id="{D14D6330-B456-48F6-AE4B-3B6A576BE22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9</xdr:col>
      <xdr:colOff>38100</xdr:colOff>
      <xdr:row>147</xdr:row>
      <xdr:rowOff>114300</xdr:rowOff>
    </xdr:from>
    <xdr:to>
      <xdr:col>16</xdr:col>
      <xdr:colOff>349803</xdr:colOff>
      <xdr:row>162</xdr:row>
      <xdr:rowOff>6903</xdr:rowOff>
    </xdr:to>
    <xdr:graphicFrame macro="">
      <xdr:nvGraphicFramePr>
        <xdr:cNvPr id="21" name="Chart 20">
          <a:extLst>
            <a:ext uri="{FF2B5EF4-FFF2-40B4-BE49-F238E27FC236}">
              <a16:creationId xmlns="" xmlns:a16="http://schemas.microsoft.com/office/drawing/2014/main" id="{92D53CF8-0AC3-494D-85AF-2B2F13747B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16</xdr:col>
      <xdr:colOff>381000</xdr:colOff>
      <xdr:row>147</xdr:row>
      <xdr:rowOff>114300</xdr:rowOff>
    </xdr:from>
    <xdr:to>
      <xdr:col>24</xdr:col>
      <xdr:colOff>83103</xdr:colOff>
      <xdr:row>162</xdr:row>
      <xdr:rowOff>6903</xdr:rowOff>
    </xdr:to>
    <xdr:graphicFrame macro="">
      <xdr:nvGraphicFramePr>
        <xdr:cNvPr id="22" name="Chart 21">
          <a:extLst>
            <a:ext uri="{FF2B5EF4-FFF2-40B4-BE49-F238E27FC236}">
              <a16:creationId xmlns="" xmlns:a16="http://schemas.microsoft.com/office/drawing/2014/main" id="{935203FA-8836-4B65-A3CE-7F8F87CE440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27</xdr:col>
      <xdr:colOff>322170</xdr:colOff>
      <xdr:row>0</xdr:row>
      <xdr:rowOff>168088</xdr:rowOff>
    </xdr:from>
    <xdr:to>
      <xdr:col>35</xdr:col>
      <xdr:colOff>26480</xdr:colOff>
      <xdr:row>14</xdr:row>
      <xdr:rowOff>160245</xdr:rowOff>
    </xdr:to>
    <xdr:graphicFrame macro="">
      <xdr:nvGraphicFramePr>
        <xdr:cNvPr id="23" name="Chart 22">
          <a:extLst>
            <a:ext uri="{FF2B5EF4-FFF2-40B4-BE49-F238E27FC236}">
              <a16:creationId xmlns="" xmlns:a16="http://schemas.microsoft.com/office/drawing/2014/main" id="{E1055781-4875-4CF2-BB25-22BF503CD5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27</xdr:col>
      <xdr:colOff>322169</xdr:colOff>
      <xdr:row>17</xdr:row>
      <xdr:rowOff>28014</xdr:rowOff>
    </xdr:from>
    <xdr:to>
      <xdr:col>35</xdr:col>
      <xdr:colOff>156575</xdr:colOff>
      <xdr:row>31</xdr:row>
      <xdr:rowOff>104215</xdr:rowOff>
    </xdr:to>
    <xdr:graphicFrame macro="">
      <xdr:nvGraphicFramePr>
        <xdr:cNvPr id="24" name="Chart 23">
          <a:extLst>
            <a:ext uri="{FF2B5EF4-FFF2-40B4-BE49-F238E27FC236}">
              <a16:creationId xmlns="" xmlns:a16="http://schemas.microsoft.com/office/drawing/2014/main" id="{E1055781-4875-4CF2-BB25-22BF503CD5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34</xdr:row>
      <xdr:rowOff>2886</xdr:rowOff>
    </xdr:from>
    <xdr:to>
      <xdr:col>9</xdr:col>
      <xdr:colOff>314325</xdr:colOff>
      <xdr:row>49</xdr:row>
      <xdr:rowOff>57150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C6A9AB6E-8591-4A34-B9E5-7E74B0C1E69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9525</xdr:colOff>
      <xdr:row>33</xdr:row>
      <xdr:rowOff>147572</xdr:rowOff>
    </xdr:from>
    <xdr:to>
      <xdr:col>18</xdr:col>
      <xdr:colOff>160812</xdr:colOff>
      <xdr:row>49</xdr:row>
      <xdr:rowOff>9236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E501BFBC-B5D0-486B-85A3-DC6ABD33929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10</xdr:col>
      <xdr:colOff>123825</xdr:colOff>
      <xdr:row>35</xdr:row>
      <xdr:rowOff>114300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="" xmlns:a16="http://schemas.microsoft.com/office/drawing/2014/main" id="{A7DD3C76-AC7F-4C4E-9A69-4179A74336ED}"/>
            </a:ext>
          </a:extLst>
        </xdr:cNvPr>
        <xdr:cNvSpPr txBox="1"/>
      </xdr:nvSpPr>
      <xdr:spPr>
        <a:xfrm>
          <a:off x="13826836" y="238731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1100"/>
        </a:p>
      </xdr:txBody>
    </xdr:sp>
    <xdr:clientData/>
  </xdr:oneCellAnchor>
  <xdr:twoCellAnchor>
    <xdr:from>
      <xdr:col>2</xdr:col>
      <xdr:colOff>28864</xdr:colOff>
      <xdr:row>50</xdr:row>
      <xdr:rowOff>28864</xdr:rowOff>
    </xdr:from>
    <xdr:to>
      <xdr:col>9</xdr:col>
      <xdr:colOff>333664</xdr:colOff>
      <xdr:row>66</xdr:row>
      <xdr:rowOff>33482</xdr:rowOff>
    </xdr:to>
    <xdr:graphicFrame macro="">
      <xdr:nvGraphicFramePr>
        <xdr:cNvPr id="6" name="Chart 5">
          <a:extLst>
            <a:ext uri="{FF2B5EF4-FFF2-40B4-BE49-F238E27FC236}">
              <a16:creationId xmlns="" xmlns:a16="http://schemas.microsoft.com/office/drawing/2014/main" id="{BC13C1B4-8C5A-49A4-84B2-6290B17EBE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43295</xdr:colOff>
      <xdr:row>50</xdr:row>
      <xdr:rowOff>0</xdr:rowOff>
    </xdr:from>
    <xdr:to>
      <xdr:col>18</xdr:col>
      <xdr:colOff>160812</xdr:colOff>
      <xdr:row>66</xdr:row>
      <xdr:rowOff>19050</xdr:rowOff>
    </xdr:to>
    <xdr:graphicFrame macro="">
      <xdr:nvGraphicFramePr>
        <xdr:cNvPr id="8" name="Chart 7">
          <a:extLst>
            <a:ext uri="{FF2B5EF4-FFF2-40B4-BE49-F238E27FC236}">
              <a16:creationId xmlns="" xmlns:a16="http://schemas.microsoft.com/office/drawing/2014/main" id="{70652A25-414B-41A0-9293-BCC9DE3952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oneCellAnchor>
    <xdr:from>
      <xdr:col>10</xdr:col>
      <xdr:colOff>133350</xdr:colOff>
      <xdr:row>54</xdr:row>
      <xdr:rowOff>85725</xdr:rowOff>
    </xdr:from>
    <xdr:ext cx="184731" cy="264560"/>
    <xdr:sp macro="" textlink="">
      <xdr:nvSpPr>
        <xdr:cNvPr id="9" name="TextBox 8">
          <a:extLst>
            <a:ext uri="{FF2B5EF4-FFF2-40B4-BE49-F238E27FC236}">
              <a16:creationId xmlns="" xmlns:a16="http://schemas.microsoft.com/office/drawing/2014/main" id="{3D80A6D4-98EE-4863-81A9-E0F3351625D9}"/>
            </a:ext>
          </a:extLst>
        </xdr:cNvPr>
        <xdr:cNvSpPr txBox="1"/>
      </xdr:nvSpPr>
      <xdr:spPr>
        <a:xfrm>
          <a:off x="13836361" y="606049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1100"/>
        </a:p>
      </xdr:txBody>
    </xdr:sp>
    <xdr:clientData/>
  </xdr:oneCellAnchor>
  <xdr:twoCellAnchor>
    <xdr:from>
      <xdr:col>2</xdr:col>
      <xdr:colOff>22678</xdr:colOff>
      <xdr:row>67</xdr:row>
      <xdr:rowOff>22678</xdr:rowOff>
    </xdr:from>
    <xdr:to>
      <xdr:col>9</xdr:col>
      <xdr:colOff>327478</xdr:colOff>
      <xdr:row>83</xdr:row>
      <xdr:rowOff>41728</xdr:rowOff>
    </xdr:to>
    <xdr:graphicFrame macro="">
      <xdr:nvGraphicFramePr>
        <xdr:cNvPr id="10" name="Chart 9">
          <a:extLst>
            <a:ext uri="{FF2B5EF4-FFF2-40B4-BE49-F238E27FC236}">
              <a16:creationId xmlns="" xmlns:a16="http://schemas.microsoft.com/office/drawing/2014/main" id="{FCA68A27-D506-4650-8E77-EF579E2EC1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45358</xdr:colOff>
      <xdr:row>67</xdr:row>
      <xdr:rowOff>12370</xdr:rowOff>
    </xdr:from>
    <xdr:to>
      <xdr:col>18</xdr:col>
      <xdr:colOff>173182</xdr:colOff>
      <xdr:row>83</xdr:row>
      <xdr:rowOff>41728</xdr:rowOff>
    </xdr:to>
    <xdr:graphicFrame macro="">
      <xdr:nvGraphicFramePr>
        <xdr:cNvPr id="12" name="Chart 11">
          <a:extLst>
            <a:ext uri="{FF2B5EF4-FFF2-40B4-BE49-F238E27FC236}">
              <a16:creationId xmlns="" xmlns:a16="http://schemas.microsoft.com/office/drawing/2014/main" id="{F4166A66-6738-4352-B912-C89B5F985B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oneCellAnchor>
    <xdr:from>
      <xdr:col>10</xdr:col>
      <xdr:colOff>104775</xdr:colOff>
      <xdr:row>73</xdr:row>
      <xdr:rowOff>104775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="" xmlns:a16="http://schemas.microsoft.com/office/drawing/2014/main" id="{7E1009F8-0B39-4B2E-B63A-F7B74A1DF7C1}"/>
            </a:ext>
          </a:extLst>
        </xdr:cNvPr>
        <xdr:cNvSpPr txBox="1"/>
      </xdr:nvSpPr>
      <xdr:spPr>
        <a:xfrm>
          <a:off x="13807786" y="97813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solidFill>
              <a:schemeClr val="bg1"/>
            </a:solidFill>
            <a:effectLst/>
          </a:endParaRPr>
        </a:p>
      </xdr:txBody>
    </xdr:sp>
    <xdr:clientData/>
  </xdr:one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0.05417</cdr:x>
      <cdr:y>0.47516</cdr:y>
    </cdr:from>
    <cdr:to>
      <cdr:x>0.175</cdr:x>
      <cdr:y>0.56832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="" xmlns:a16="http://schemas.microsoft.com/office/drawing/2014/main" id="{BBA7B8D9-42DF-4F54-BE71-806CB70D4CF0}"/>
            </a:ext>
          </a:extLst>
        </cdr:cNvPr>
        <cdr:cNvSpPr txBox="1"/>
      </cdr:nvSpPr>
      <cdr:spPr>
        <a:xfrm xmlns:a="http://schemas.openxmlformats.org/drawingml/2006/main">
          <a:off x="247650" y="1457325"/>
          <a:ext cx="552450" cy="2857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>
            <a:solidFill>
              <a:schemeClr val="bg1"/>
            </a:solidFill>
          </a:endParaRPr>
        </a:p>
      </cdr:txBody>
    </cdr:sp>
  </cdr:relSizeAnchor>
  <cdr:relSizeAnchor xmlns:cdr="http://schemas.openxmlformats.org/drawingml/2006/chartDrawing">
    <cdr:from>
      <cdr:x>0.05</cdr:x>
      <cdr:y>0.29814</cdr:y>
    </cdr:from>
    <cdr:to>
      <cdr:x>0.15625</cdr:x>
      <cdr:y>0.38509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56A72078-94D8-4EF5-88AB-37D97FA5BBDA}"/>
            </a:ext>
          </a:extLst>
        </cdr:cNvPr>
        <cdr:cNvSpPr txBox="1"/>
      </cdr:nvSpPr>
      <cdr:spPr>
        <a:xfrm xmlns:a="http://schemas.openxmlformats.org/drawingml/2006/main">
          <a:off x="228600" y="914400"/>
          <a:ext cx="485775" cy="266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>
            <a:solidFill>
              <a:schemeClr val="bg1"/>
            </a:solidFill>
          </a:endParaRPr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0.05417</cdr:x>
      <cdr:y>0.47516</cdr:y>
    </cdr:from>
    <cdr:to>
      <cdr:x>0.09583</cdr:x>
      <cdr:y>0.56832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="" xmlns:a16="http://schemas.microsoft.com/office/drawing/2014/main" id="{BBA7B8D9-42DF-4F54-BE71-806CB70D4CF0}"/>
            </a:ext>
          </a:extLst>
        </cdr:cNvPr>
        <cdr:cNvSpPr txBox="1"/>
      </cdr:nvSpPr>
      <cdr:spPr>
        <a:xfrm xmlns:a="http://schemas.openxmlformats.org/drawingml/2006/main">
          <a:off x="247650" y="1457325"/>
          <a:ext cx="190500" cy="2857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>
            <a:solidFill>
              <a:schemeClr val="bg1"/>
            </a:solidFill>
          </a:endParaRPr>
        </a:p>
      </cdr:txBody>
    </cdr:sp>
  </cdr:relSizeAnchor>
  <cdr:relSizeAnchor xmlns:cdr="http://schemas.openxmlformats.org/drawingml/2006/chartDrawing">
    <cdr:from>
      <cdr:x>0.05208</cdr:x>
      <cdr:y>0.30745</cdr:y>
    </cdr:from>
    <cdr:to>
      <cdr:x>0.11458</cdr:x>
      <cdr:y>0.39441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56A72078-94D8-4EF5-88AB-37D97FA5BBDA}"/>
            </a:ext>
          </a:extLst>
        </cdr:cNvPr>
        <cdr:cNvSpPr txBox="1"/>
      </cdr:nvSpPr>
      <cdr:spPr>
        <a:xfrm xmlns:a="http://schemas.openxmlformats.org/drawingml/2006/main">
          <a:off x="238125" y="942975"/>
          <a:ext cx="285750" cy="266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>
            <a:solidFill>
              <a:schemeClr val="bg1"/>
            </a:solidFill>
          </a:endParaRPr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0.05417</cdr:x>
      <cdr:y>0.47516</cdr:y>
    </cdr:from>
    <cdr:to>
      <cdr:x>0.175</cdr:x>
      <cdr:y>0.56832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="" xmlns:a16="http://schemas.microsoft.com/office/drawing/2014/main" id="{BBA7B8D9-42DF-4F54-BE71-806CB70D4CF0}"/>
            </a:ext>
          </a:extLst>
        </cdr:cNvPr>
        <cdr:cNvSpPr txBox="1"/>
      </cdr:nvSpPr>
      <cdr:spPr>
        <a:xfrm xmlns:a="http://schemas.openxmlformats.org/drawingml/2006/main">
          <a:off x="247650" y="1457325"/>
          <a:ext cx="552450" cy="2857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100">
              <a:solidFill>
                <a:schemeClr val="bg1"/>
              </a:solidFill>
            </a:rPr>
            <a:t> </a:t>
          </a:r>
        </a:p>
      </cdr:txBody>
    </cdr:sp>
  </cdr:relSizeAnchor>
  <cdr:relSizeAnchor xmlns:cdr="http://schemas.openxmlformats.org/drawingml/2006/chartDrawing">
    <cdr:from>
      <cdr:x>0.05208</cdr:x>
      <cdr:y>0.31367</cdr:y>
    </cdr:from>
    <cdr:to>
      <cdr:x>0.15833</cdr:x>
      <cdr:y>0.40062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56A72078-94D8-4EF5-88AB-37D97FA5BBDA}"/>
            </a:ext>
          </a:extLst>
        </cdr:cNvPr>
        <cdr:cNvSpPr txBox="1"/>
      </cdr:nvSpPr>
      <cdr:spPr>
        <a:xfrm xmlns:a="http://schemas.openxmlformats.org/drawingml/2006/main">
          <a:off x="238125" y="962035"/>
          <a:ext cx="485775" cy="2666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>
            <a:solidFill>
              <a:schemeClr val="bg1"/>
            </a:solidFill>
          </a:endParaRPr>
        </a:p>
      </cdr:txBody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0.05417</cdr:x>
      <cdr:y>0.47516</cdr:y>
    </cdr:from>
    <cdr:to>
      <cdr:x>0.175</cdr:x>
      <cdr:y>0.56832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="" xmlns:a16="http://schemas.microsoft.com/office/drawing/2014/main" id="{BBA7B8D9-42DF-4F54-BE71-806CB70D4CF0}"/>
            </a:ext>
          </a:extLst>
        </cdr:cNvPr>
        <cdr:cNvSpPr txBox="1"/>
      </cdr:nvSpPr>
      <cdr:spPr>
        <a:xfrm xmlns:a="http://schemas.openxmlformats.org/drawingml/2006/main">
          <a:off x="247650" y="1457325"/>
          <a:ext cx="552450" cy="2857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100">
              <a:solidFill>
                <a:schemeClr val="bg1"/>
              </a:solidFill>
            </a:rPr>
            <a:t> </a:t>
          </a:r>
        </a:p>
      </cdr:txBody>
    </cdr:sp>
  </cdr:relSizeAnchor>
  <cdr:relSizeAnchor xmlns:cdr="http://schemas.openxmlformats.org/drawingml/2006/chartDrawing">
    <cdr:from>
      <cdr:x>0.05</cdr:x>
      <cdr:y>0.29814</cdr:y>
    </cdr:from>
    <cdr:to>
      <cdr:x>0.15625</cdr:x>
      <cdr:y>0.38509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56A72078-94D8-4EF5-88AB-37D97FA5BBDA}"/>
            </a:ext>
          </a:extLst>
        </cdr:cNvPr>
        <cdr:cNvSpPr txBox="1"/>
      </cdr:nvSpPr>
      <cdr:spPr>
        <a:xfrm xmlns:a="http://schemas.openxmlformats.org/drawingml/2006/main">
          <a:off x="228600" y="914400"/>
          <a:ext cx="485775" cy="266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>
            <a:solidFill>
              <a:schemeClr val="bg1"/>
            </a:solidFill>
          </a:endParaRPr>
        </a:p>
      </cdr:txBody>
    </cdr:sp>
  </cdr:relSizeAnchor>
</c:userShapes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0.05417</cdr:x>
      <cdr:y>0.47516</cdr:y>
    </cdr:from>
    <cdr:to>
      <cdr:x>0.175</cdr:x>
      <cdr:y>0.56832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="" xmlns:a16="http://schemas.microsoft.com/office/drawing/2014/main" id="{BBA7B8D9-42DF-4F54-BE71-806CB70D4CF0}"/>
            </a:ext>
          </a:extLst>
        </cdr:cNvPr>
        <cdr:cNvSpPr txBox="1"/>
      </cdr:nvSpPr>
      <cdr:spPr>
        <a:xfrm xmlns:a="http://schemas.openxmlformats.org/drawingml/2006/main">
          <a:off x="247650" y="1457325"/>
          <a:ext cx="552450" cy="2857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100">
              <a:solidFill>
                <a:schemeClr val="bg1"/>
              </a:solidFill>
            </a:rPr>
            <a:t> </a:t>
          </a:r>
        </a:p>
      </cdr:txBody>
    </cdr:sp>
  </cdr:relSizeAnchor>
  <cdr:relSizeAnchor xmlns:cdr="http://schemas.openxmlformats.org/drawingml/2006/chartDrawing">
    <cdr:from>
      <cdr:x>0.05208</cdr:x>
      <cdr:y>0.31367</cdr:y>
    </cdr:from>
    <cdr:to>
      <cdr:x>0.15833</cdr:x>
      <cdr:y>0.40062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56A72078-94D8-4EF5-88AB-37D97FA5BBDA}"/>
            </a:ext>
          </a:extLst>
        </cdr:cNvPr>
        <cdr:cNvSpPr txBox="1"/>
      </cdr:nvSpPr>
      <cdr:spPr>
        <a:xfrm xmlns:a="http://schemas.openxmlformats.org/drawingml/2006/main">
          <a:off x="238125" y="962035"/>
          <a:ext cx="485775" cy="2666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>
            <a:solidFill>
              <a:schemeClr val="bg1"/>
            </a:solidFill>
          </a:endParaRPr>
        </a:p>
      </cdr:txBody>
    </cdr:sp>
  </cdr:relSizeAnchor>
</c:userShapes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0.05417</cdr:x>
      <cdr:y>0.47516</cdr:y>
    </cdr:from>
    <cdr:to>
      <cdr:x>0.175</cdr:x>
      <cdr:y>0.56832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="" xmlns:a16="http://schemas.microsoft.com/office/drawing/2014/main" id="{BBA7B8D9-42DF-4F54-BE71-806CB70D4CF0}"/>
            </a:ext>
          </a:extLst>
        </cdr:cNvPr>
        <cdr:cNvSpPr txBox="1"/>
      </cdr:nvSpPr>
      <cdr:spPr>
        <a:xfrm xmlns:a="http://schemas.openxmlformats.org/drawingml/2006/main">
          <a:off x="247650" y="1457325"/>
          <a:ext cx="552450" cy="2857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100">
              <a:solidFill>
                <a:schemeClr val="bg1"/>
              </a:solidFill>
            </a:rPr>
            <a:t> </a:t>
          </a:r>
        </a:p>
      </cdr:txBody>
    </cdr:sp>
  </cdr:relSizeAnchor>
  <cdr:relSizeAnchor xmlns:cdr="http://schemas.openxmlformats.org/drawingml/2006/chartDrawing">
    <cdr:from>
      <cdr:x>0.05208</cdr:x>
      <cdr:y>0.31367</cdr:y>
    </cdr:from>
    <cdr:to>
      <cdr:x>0.15833</cdr:x>
      <cdr:y>0.40062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56A72078-94D8-4EF5-88AB-37D97FA5BBDA}"/>
            </a:ext>
          </a:extLst>
        </cdr:cNvPr>
        <cdr:cNvSpPr txBox="1"/>
      </cdr:nvSpPr>
      <cdr:spPr>
        <a:xfrm xmlns:a="http://schemas.openxmlformats.org/drawingml/2006/main">
          <a:off x="238125" y="962035"/>
          <a:ext cx="485775" cy="2666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>
            <a:solidFill>
              <a:schemeClr val="bg1"/>
            </a:solidFill>
          </a:endParaRPr>
        </a:p>
      </cdr:txBody>
    </cdr:sp>
  </cdr:relSizeAnchor>
</c:userShapes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580412</xdr:colOff>
      <xdr:row>32</xdr:row>
      <xdr:rowOff>22736</xdr:rowOff>
    </xdr:from>
    <xdr:to>
      <xdr:col>9</xdr:col>
      <xdr:colOff>286354</xdr:colOff>
      <xdr:row>44</xdr:row>
      <xdr:rowOff>116974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569527</xdr:colOff>
      <xdr:row>45</xdr:row>
      <xdr:rowOff>57714</xdr:rowOff>
    </xdr:from>
    <xdr:to>
      <xdr:col>9</xdr:col>
      <xdr:colOff>275469</xdr:colOff>
      <xdr:row>59</xdr:row>
      <xdr:rowOff>100688</xdr:rowOff>
    </xdr:to>
    <xdr:graphicFrame macro="">
      <xdr:nvGraphicFramePr>
        <xdr:cNvPr id="5" name="Chart 4">
          <a:extLst>
            <a:ext uri="{FF2B5EF4-FFF2-40B4-BE49-F238E27FC236}">
              <a16:creationId xmlns="" xmlns:a16="http://schemas.microsoft.com/office/drawing/2014/main" id="{9328B863-DF96-4938-BDAB-58FB1C68738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19439</xdr:colOff>
      <xdr:row>32</xdr:row>
      <xdr:rowOff>16710</xdr:rowOff>
    </xdr:from>
    <xdr:to>
      <xdr:col>17</xdr:col>
      <xdr:colOff>324239</xdr:colOff>
      <xdr:row>44</xdr:row>
      <xdr:rowOff>167104</xdr:rowOff>
    </xdr:to>
    <xdr:graphicFrame macro="">
      <xdr:nvGraphicFramePr>
        <xdr:cNvPr id="7" name="Chart 6">
          <a:extLst>
            <a:ext uri="{FF2B5EF4-FFF2-40B4-BE49-F238E27FC236}">
              <a16:creationId xmlns="" xmlns:a16="http://schemas.microsoft.com/office/drawing/2014/main" id="{0347F2EB-846D-4B60-B6DA-AF0E7674B7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23433</xdr:colOff>
      <xdr:row>45</xdr:row>
      <xdr:rowOff>68759</xdr:rowOff>
    </xdr:from>
    <xdr:to>
      <xdr:col>17</xdr:col>
      <xdr:colOff>327301</xdr:colOff>
      <xdr:row>59</xdr:row>
      <xdr:rowOff>106821</xdr:rowOff>
    </xdr:to>
    <xdr:graphicFrame macro="">
      <xdr:nvGraphicFramePr>
        <xdr:cNvPr id="8" name="Chart 7">
          <a:extLst>
            <a:ext uri="{FF2B5EF4-FFF2-40B4-BE49-F238E27FC236}">
              <a16:creationId xmlns="" xmlns:a16="http://schemas.microsoft.com/office/drawing/2014/main" id="{3A50A614-4362-416A-B2F0-7D578AEA327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0</xdr:colOff>
      <xdr:row>67</xdr:row>
      <xdr:rowOff>0</xdr:rowOff>
    </xdr:from>
    <xdr:to>
      <xdr:col>9</xdr:col>
      <xdr:colOff>319196</xdr:colOff>
      <xdr:row>79</xdr:row>
      <xdr:rowOff>94238</xdr:rowOff>
    </xdr:to>
    <xdr:graphicFrame macro="">
      <xdr:nvGraphicFramePr>
        <xdr:cNvPr id="12" name="Chart 11">
          <a:extLst>
            <a:ext uri="{FF2B5EF4-FFF2-40B4-BE49-F238E27FC236}">
              <a16:creationId xmlns="" xmlns:a16="http://schemas.microsoft.com/office/drawing/2014/main" id="{8F871E8C-CC4C-42AC-B2EB-3FFE526588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0</xdr:colOff>
      <xdr:row>67</xdr:row>
      <xdr:rowOff>0</xdr:rowOff>
    </xdr:from>
    <xdr:to>
      <xdr:col>17</xdr:col>
      <xdr:colOff>304800</xdr:colOff>
      <xdr:row>79</xdr:row>
      <xdr:rowOff>150394</xdr:rowOff>
    </xdr:to>
    <xdr:graphicFrame macro="">
      <xdr:nvGraphicFramePr>
        <xdr:cNvPr id="13" name="Chart 12">
          <a:extLst>
            <a:ext uri="{FF2B5EF4-FFF2-40B4-BE49-F238E27FC236}">
              <a16:creationId xmlns="" xmlns:a16="http://schemas.microsoft.com/office/drawing/2014/main" id="{FDAED40E-AA4E-41F7-A79E-DEF956D5A4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0</xdr:colOff>
      <xdr:row>80</xdr:row>
      <xdr:rowOff>0</xdr:rowOff>
    </xdr:from>
    <xdr:to>
      <xdr:col>9</xdr:col>
      <xdr:colOff>319196</xdr:colOff>
      <xdr:row>94</xdr:row>
      <xdr:rowOff>42974</xdr:rowOff>
    </xdr:to>
    <xdr:graphicFrame macro="">
      <xdr:nvGraphicFramePr>
        <xdr:cNvPr id="14" name="Chart 13">
          <a:extLst>
            <a:ext uri="{FF2B5EF4-FFF2-40B4-BE49-F238E27FC236}">
              <a16:creationId xmlns="" xmlns:a16="http://schemas.microsoft.com/office/drawing/2014/main" id="{4D4DFF86-C30A-4720-9619-6635CAEF0F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10</xdr:col>
      <xdr:colOff>0</xdr:colOff>
      <xdr:row>80</xdr:row>
      <xdr:rowOff>0</xdr:rowOff>
    </xdr:from>
    <xdr:to>
      <xdr:col>17</xdr:col>
      <xdr:colOff>303868</xdr:colOff>
      <xdr:row>94</xdr:row>
      <xdr:rowOff>38062</xdr:rowOff>
    </xdr:to>
    <xdr:graphicFrame macro="">
      <xdr:nvGraphicFramePr>
        <xdr:cNvPr id="15" name="Chart 14">
          <a:extLst>
            <a:ext uri="{FF2B5EF4-FFF2-40B4-BE49-F238E27FC236}">
              <a16:creationId xmlns="" xmlns:a16="http://schemas.microsoft.com/office/drawing/2014/main" id="{BA87B0B0-531B-4966-B10A-AE87DCDD91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26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171450</xdr:colOff>
      <xdr:row>13</xdr:row>
      <xdr:rowOff>114300</xdr:rowOff>
    </xdr:from>
    <xdr:to>
      <xdr:col>27</xdr:col>
      <xdr:colOff>342900</xdr:colOff>
      <xdr:row>26</xdr:row>
      <xdr:rowOff>114534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AF9C7861-A1D8-4EEA-888D-F3BB43E5B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1850" y="3228975"/>
          <a:ext cx="5048250" cy="25148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11</xdr:col>
      <xdr:colOff>581025</xdr:colOff>
      <xdr:row>12</xdr:row>
      <xdr:rowOff>200025</xdr:rowOff>
    </xdr:from>
    <xdr:to>
      <xdr:col>19</xdr:col>
      <xdr:colOff>592931</xdr:colOff>
      <xdr:row>22</xdr:row>
      <xdr:rowOff>121819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0347F2EB-846D-4B60-B6DA-AF0E7674B7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581025</xdr:colOff>
      <xdr:row>22</xdr:row>
      <xdr:rowOff>133350</xdr:rowOff>
    </xdr:from>
    <xdr:to>
      <xdr:col>19</xdr:col>
      <xdr:colOff>592931</xdr:colOff>
      <xdr:row>35</xdr:row>
      <xdr:rowOff>64669</xdr:rowOff>
    </xdr:to>
    <xdr:graphicFrame macro="">
      <xdr:nvGraphicFramePr>
        <xdr:cNvPr id="6" name="Chart 5">
          <a:extLst>
            <a:ext uri="{FF2B5EF4-FFF2-40B4-BE49-F238E27FC236}">
              <a16:creationId xmlns="" xmlns:a16="http://schemas.microsoft.com/office/drawing/2014/main" id="{0347F2EB-846D-4B60-B6DA-AF0E7674B7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8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29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857250</xdr:colOff>
      <xdr:row>26</xdr:row>
      <xdr:rowOff>171450</xdr:rowOff>
    </xdr:from>
    <xdr:to>
      <xdr:col>11</xdr:col>
      <xdr:colOff>600075</xdr:colOff>
      <xdr:row>46</xdr:row>
      <xdr:rowOff>228600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857250</xdr:colOff>
      <xdr:row>28</xdr:row>
      <xdr:rowOff>171450</xdr:rowOff>
    </xdr:from>
    <xdr:to>
      <xdr:col>11</xdr:col>
      <xdr:colOff>600075</xdr:colOff>
      <xdr:row>48</xdr:row>
      <xdr:rowOff>228600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00000000-0008-0000-08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371475</xdr:colOff>
      <xdr:row>1</xdr:row>
      <xdr:rowOff>180974</xdr:rowOff>
    </xdr:from>
    <xdr:to>
      <xdr:col>12</xdr:col>
      <xdr:colOff>390525</xdr:colOff>
      <xdr:row>16</xdr:row>
      <xdr:rowOff>57149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00000000-0008-0000-0C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755618</xdr:colOff>
      <xdr:row>10</xdr:row>
      <xdr:rowOff>232251</xdr:rowOff>
    </xdr:from>
    <xdr:ext cx="901732" cy="317972"/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D00-000002000000}"/>
            </a:ext>
          </a:extLst>
        </xdr:cNvPr>
        <xdr:cNvSpPr txBox="1"/>
      </xdr:nvSpPr>
      <xdr:spPr>
        <a:xfrm>
          <a:off x="3432143" y="2632551"/>
          <a:ext cx="901732" cy="3179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lIns="0" tIns="0" rIns="0" bIns="0" rtlCol="0" anchor="t">
          <a:spAutoFit/>
        </a:bodyPr>
        <a:lstStyle/>
        <a:p>
          <a:r>
            <a:rPr lang="en-US" sz="1100" i="0">
              <a:latin typeface="Cambria Math" panose="02040503050406030204" pitchFamily="18" charset="0"/>
            </a:rPr>
            <a:t>𝐴=𝐴</a:t>
          </a:r>
          <a:r>
            <a:rPr lang="en-US" sz="1100" i="0" baseline="-25000">
              <a:latin typeface="Cambria Math" panose="02040503050406030204" pitchFamily="18" charset="0"/>
            </a:rPr>
            <a:t>0/(</a:t>
          </a:r>
          <a:r>
            <a:rPr lang="en-US" sz="1100" b="0" i="0">
              <a:latin typeface="Cambria Math" panose="02040503050406030204" pitchFamily="18" charset="0"/>
            </a:rPr>
            <a:t>1−ɛ)</a:t>
          </a:r>
          <a:endParaRPr lang="en-US" sz="1100"/>
        </a:p>
      </xdr:txBody>
    </xdr:sp>
    <xdr:clientData/>
  </xdr:oneCellAnchor>
  <xdr:oneCellAnchor>
    <xdr:from>
      <xdr:col>3</xdr:col>
      <xdr:colOff>117442</xdr:colOff>
      <xdr:row>10</xdr:row>
      <xdr:rowOff>184625</xdr:rowOff>
    </xdr:from>
    <xdr:ext cx="568358" cy="358299"/>
    <xdr:sp macro="" textlink="">
      <xdr:nvSpPr>
        <xdr:cNvPr id="3" name="TextBox 2">
          <a:extLst>
            <a:ext uri="{FF2B5EF4-FFF2-40B4-BE49-F238E27FC236}">
              <a16:creationId xmlns="" xmlns:a16="http://schemas.microsoft.com/office/drawing/2014/main" id="{00000000-0008-0000-0D00-000003000000}"/>
            </a:ext>
          </a:extLst>
        </xdr:cNvPr>
        <xdr:cNvSpPr txBox="1"/>
      </xdr:nvSpPr>
      <xdr:spPr>
        <a:xfrm>
          <a:off x="2898742" y="2584925"/>
          <a:ext cx="568358" cy="35829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lIns="0" tIns="0" rIns="0" bIns="0" rtlCol="0" anchor="t">
          <a:noAutofit/>
        </a:bodyPr>
        <a:lstStyle/>
        <a:p>
          <a:r>
            <a:rPr lang="en-US" sz="1100" i="0">
              <a:latin typeface="Cambria Math" panose="02040503050406030204" pitchFamily="18" charset="0"/>
              <a:ea typeface="Cambria Math" panose="02040503050406030204" pitchFamily="18" charset="0"/>
            </a:rPr>
            <a:t>𝜀</a:t>
          </a:r>
          <a:r>
            <a:rPr lang="en-US" sz="1100" i="0">
              <a:latin typeface="Cambria Math" panose="02040503050406030204" pitchFamily="18" charset="0"/>
            </a:rPr>
            <a:t>=</a:t>
          </a:r>
          <a:r>
            <a:rPr lang="en-US" sz="1100" i="0">
              <a:solidFill>
                <a:schemeClr val="tx1"/>
              </a:solidFill>
              <a:effectLst/>
              <a:latin typeface="Cambria Math" panose="02040503050406030204" pitchFamily="18" charset="0"/>
              <a:ea typeface="+mn-ea"/>
              <a:cs typeface="+mn-cs"/>
            </a:rPr>
            <a:t>∆</a:t>
          </a:r>
          <a:r>
            <a:rPr lang="en-US" sz="1100" b="0" i="0">
              <a:solidFill>
                <a:schemeClr val="tx1"/>
              </a:solidFill>
              <a:effectLst/>
              <a:latin typeface="Cambria Math" panose="02040503050406030204" pitchFamily="18" charset="0"/>
              <a:ea typeface="+mn-ea"/>
              <a:cs typeface="+mn-cs"/>
            </a:rPr>
            <a:t>𝐿</a:t>
          </a:r>
          <a:r>
            <a:rPr lang="en-US" sz="1100" b="0" i="0">
              <a:solidFill>
                <a:schemeClr val="tx1"/>
              </a:solidFill>
              <a:effectLst/>
              <a:latin typeface="Cambria Math" panose="02040503050406030204" pitchFamily="18" charset="0"/>
              <a:ea typeface="Cambria Math" panose="02040503050406030204" pitchFamily="18" charset="0"/>
              <a:cs typeface="+mn-cs"/>
            </a:rPr>
            <a:t>/</a:t>
          </a:r>
          <a:r>
            <a:rPr lang="en-US" sz="1100" b="0" i="0">
              <a:latin typeface="Cambria Math" panose="02040503050406030204" pitchFamily="18" charset="0"/>
              <a:ea typeface="Cambria Math" panose="02040503050406030204" pitchFamily="18" charset="0"/>
            </a:rPr>
            <a:t>𝐿</a:t>
          </a:r>
          <a:r>
            <a:rPr lang="en-US" sz="1100" b="0" i="0" baseline="-25000">
              <a:latin typeface="Cambria Math" panose="02040503050406030204" pitchFamily="18" charset="0"/>
              <a:ea typeface="Cambria Math" panose="02040503050406030204" pitchFamily="18" charset="0"/>
            </a:rPr>
            <a:t>0</a:t>
          </a:r>
          <a:endParaRPr lang="en-US" sz="1100"/>
        </a:p>
      </xdr:txBody>
    </xdr:sp>
    <xdr:clientData/>
  </xdr:oneCellAnchor>
  <xdr:oneCellAnchor>
    <xdr:from>
      <xdr:col>5</xdr:col>
      <xdr:colOff>104775</xdr:colOff>
      <xdr:row>10</xdr:row>
      <xdr:rowOff>214312</xdr:rowOff>
    </xdr:from>
    <xdr:ext cx="504825" cy="315792"/>
    <xdr:sp macro="" textlink="">
      <xdr:nvSpPr>
        <xdr:cNvPr id="4" name="TextBox 3">
          <a:extLst>
            <a:ext uri="{FF2B5EF4-FFF2-40B4-BE49-F238E27FC236}">
              <a16:creationId xmlns="" xmlns:a16="http://schemas.microsoft.com/office/drawing/2014/main" id="{00000000-0008-0000-0D00-000004000000}"/>
            </a:ext>
          </a:extLst>
        </xdr:cNvPr>
        <xdr:cNvSpPr txBox="1"/>
      </xdr:nvSpPr>
      <xdr:spPr>
        <a:xfrm>
          <a:off x="4400550" y="2614612"/>
          <a:ext cx="504825" cy="31579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lIns="0" tIns="0" rIns="0" bIns="0" rtlCol="0" anchor="t">
          <a:spAutoFit/>
        </a:bodyPr>
        <a:lstStyle/>
        <a:p>
          <a:r>
            <a:rPr lang="en-US" sz="1100" i="0">
              <a:latin typeface="Cambria Math" panose="02040503050406030204" pitchFamily="18" charset="0"/>
              <a:ea typeface="Cambria Math" panose="02040503050406030204" pitchFamily="18" charset="0"/>
            </a:rPr>
            <a:t>𝜎</a:t>
          </a:r>
          <a:r>
            <a:rPr lang="en-US" sz="1100" b="0" i="0">
              <a:latin typeface="Cambria Math" panose="02040503050406030204" pitchFamily="18" charset="0"/>
              <a:ea typeface="Cambria Math" panose="02040503050406030204" pitchFamily="18" charset="0"/>
            </a:rPr>
            <a:t>=𝑃/𝐴</a:t>
          </a:r>
          <a:endParaRPr lang="en-US" sz="1100"/>
        </a:p>
      </xdr:txBody>
    </xdr:sp>
    <xdr:clientData/>
  </xdr:one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190500</xdr:colOff>
      <xdr:row>12</xdr:row>
      <xdr:rowOff>166687</xdr:rowOff>
    </xdr:from>
    <xdr:to>
      <xdr:col>15</xdr:col>
      <xdr:colOff>495300</xdr:colOff>
      <xdr:row>27</xdr:row>
      <xdr:rowOff>52387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00000000-0008-0000-0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GEOTECH\KAMLESH%20VALA\TOOLS\CBR%20Graph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soil%20test\Cc_CALC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NE (2)"/>
      <sheetName val="cbr reading"/>
      <sheetName val="CO CBR VS RE"/>
      <sheetName val="FINE"/>
      <sheetName val="MEDIUM"/>
      <sheetName val="COARS"/>
      <sheetName val="F+M"/>
      <sheetName val="M+C"/>
      <sheetName val="F+M+C"/>
      <sheetName val="Sheet1"/>
    </sheetNames>
    <sheetDataSet>
      <sheetData sheetId="0">
        <row r="8">
          <cell r="C8">
            <v>0</v>
          </cell>
        </row>
        <row r="26">
          <cell r="C26">
            <v>0</v>
          </cell>
          <cell r="F26">
            <v>0</v>
          </cell>
          <cell r="I26">
            <v>0</v>
          </cell>
          <cell r="L26">
            <v>0</v>
          </cell>
        </row>
        <row r="27">
          <cell r="C27">
            <v>0.5</v>
          </cell>
          <cell r="F27">
            <v>22.2</v>
          </cell>
          <cell r="I27">
            <v>2.7749999999999999</v>
          </cell>
          <cell r="L27">
            <v>2.7749999999999999</v>
          </cell>
        </row>
        <row r="28">
          <cell r="C28">
            <v>1</v>
          </cell>
          <cell r="F28">
            <v>38.85</v>
          </cell>
          <cell r="I28">
            <v>13.875</v>
          </cell>
          <cell r="L28">
            <v>5.55</v>
          </cell>
        </row>
        <row r="29">
          <cell r="C29">
            <v>1.5</v>
          </cell>
          <cell r="F29">
            <v>52.725000000000001</v>
          </cell>
          <cell r="I29">
            <v>24.974999999999998</v>
          </cell>
          <cell r="L29">
            <v>11.1</v>
          </cell>
        </row>
        <row r="30">
          <cell r="C30">
            <v>2</v>
          </cell>
          <cell r="F30">
            <v>59.662500000000001</v>
          </cell>
          <cell r="I30">
            <v>33.299999999999997</v>
          </cell>
          <cell r="L30">
            <v>19.425000000000001</v>
          </cell>
        </row>
        <row r="31">
          <cell r="C31">
            <v>2.5</v>
          </cell>
          <cell r="F31">
            <v>66.599999999999994</v>
          </cell>
          <cell r="I31">
            <v>41.625</v>
          </cell>
          <cell r="L31">
            <v>27.75</v>
          </cell>
        </row>
        <row r="32">
          <cell r="C32">
            <v>3</v>
          </cell>
          <cell r="F32">
            <v>69.375</v>
          </cell>
          <cell r="I32">
            <v>52.725000000000001</v>
          </cell>
          <cell r="L32">
            <v>36.074999999999996</v>
          </cell>
        </row>
        <row r="33">
          <cell r="C33">
            <v>3.5</v>
          </cell>
          <cell r="F33">
            <v>72.149999999999991</v>
          </cell>
          <cell r="I33">
            <v>58.274999999999999</v>
          </cell>
          <cell r="L33">
            <v>44.4</v>
          </cell>
        </row>
        <row r="34">
          <cell r="C34">
            <v>4</v>
          </cell>
          <cell r="F34">
            <v>69.375</v>
          </cell>
          <cell r="I34">
            <v>55.5</v>
          </cell>
          <cell r="L34">
            <v>49.949999999999996</v>
          </cell>
        </row>
        <row r="35">
          <cell r="C35">
            <v>4.5</v>
          </cell>
          <cell r="F35">
            <v>58.274999999999999</v>
          </cell>
          <cell r="I35">
            <v>52.725000000000001</v>
          </cell>
          <cell r="L35">
            <v>55.5</v>
          </cell>
        </row>
        <row r="36">
          <cell r="C36">
            <v>5</v>
          </cell>
          <cell r="F36">
            <v>55.5</v>
          </cell>
          <cell r="I36">
            <v>52.725000000000001</v>
          </cell>
          <cell r="L36">
            <v>63.824999999999996</v>
          </cell>
        </row>
        <row r="37">
          <cell r="C37">
            <v>5.5</v>
          </cell>
          <cell r="F37">
            <v>52.725000000000001</v>
          </cell>
          <cell r="I37">
            <v>49.949999999999996</v>
          </cell>
          <cell r="L37">
            <v>69.375</v>
          </cell>
        </row>
        <row r="38">
          <cell r="C38">
            <v>6</v>
          </cell>
          <cell r="F38">
            <v>49.949999999999996</v>
          </cell>
          <cell r="I38">
            <v>47.174999999999997</v>
          </cell>
          <cell r="L38">
            <v>72.149999999999991</v>
          </cell>
        </row>
        <row r="39">
          <cell r="C39">
            <v>6.5</v>
          </cell>
        </row>
        <row r="40">
          <cell r="C40">
            <v>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83+300-T2"/>
      <sheetName val="83+300_TEST1"/>
    </sheetNames>
    <sheetDataSet>
      <sheetData sheetId="0">
        <row r="4">
          <cell r="G4">
            <v>0.1</v>
          </cell>
          <cell r="H4">
            <v>0.60317425242718437</v>
          </cell>
        </row>
        <row r="5">
          <cell r="G5">
            <v>0.25</v>
          </cell>
          <cell r="H5">
            <v>0.59425421359223285</v>
          </cell>
        </row>
        <row r="6">
          <cell r="G6">
            <v>0.5</v>
          </cell>
          <cell r="H6">
            <v>0.58290143689320373</v>
          </cell>
        </row>
        <row r="7">
          <cell r="G7">
            <v>1</v>
          </cell>
          <cell r="H7">
            <v>0.56749409708737852</v>
          </cell>
        </row>
        <row r="8">
          <cell r="G8">
            <v>2</v>
          </cell>
          <cell r="H8">
            <v>0.54641036893203854</v>
          </cell>
        </row>
        <row r="9">
          <cell r="G9">
            <v>4</v>
          </cell>
          <cell r="H9">
            <v>0.52159644271844607</v>
          </cell>
        </row>
        <row r="10">
          <cell r="G10">
            <v>8</v>
          </cell>
          <cell r="H10">
            <v>0.49532287378640727</v>
          </cell>
        </row>
        <row r="11">
          <cell r="G11">
            <v>0.1</v>
          </cell>
          <cell r="H11">
            <v>0.53019211650485376</v>
          </cell>
        </row>
      </sheetData>
      <sheetData sheetId="1">
        <row r="4">
          <cell r="G4">
            <v>0.1</v>
          </cell>
          <cell r="H4">
            <v>0.71162489017341035</v>
          </cell>
        </row>
        <row r="5">
          <cell r="G5">
            <v>0.25</v>
          </cell>
          <cell r="H5">
            <v>0.70210143352601162</v>
          </cell>
        </row>
        <row r="6">
          <cell r="G6">
            <v>0.5</v>
          </cell>
          <cell r="H6">
            <v>0.68998067052023115</v>
          </cell>
        </row>
        <row r="7">
          <cell r="G7">
            <v>1</v>
          </cell>
          <cell r="H7">
            <v>0.67353106358381498</v>
          </cell>
        </row>
        <row r="8">
          <cell r="G8">
            <v>2</v>
          </cell>
          <cell r="H8">
            <v>0.65102107514450847</v>
          </cell>
        </row>
        <row r="9">
          <cell r="G9">
            <v>4</v>
          </cell>
          <cell r="H9">
            <v>0.62452855028901721</v>
          </cell>
        </row>
        <row r="10">
          <cell r="G10">
            <v>8</v>
          </cell>
          <cell r="H10">
            <v>0.5964776416184967</v>
          </cell>
        </row>
        <row r="11">
          <cell r="G11">
            <v>0.1</v>
          </cell>
          <cell r="H11">
            <v>0.63526408323699379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11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1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opLeftCell="A2" workbookViewId="0">
      <selection activeCell="C11" sqref="C11"/>
    </sheetView>
  </sheetViews>
  <sheetFormatPr defaultRowHeight="15"/>
  <cols>
    <col min="1" max="1" width="10.5703125" customWidth="1"/>
    <col min="2" max="2" width="10.85546875" customWidth="1"/>
    <col min="3" max="3" width="11.140625" customWidth="1"/>
    <col min="4" max="4" width="11" customWidth="1"/>
    <col min="5" max="5" width="11.140625" customWidth="1"/>
  </cols>
  <sheetData>
    <row r="1" spans="1:7">
      <c r="A1" t="s">
        <v>0</v>
      </c>
    </row>
    <row r="3" spans="1:7" ht="45">
      <c r="A3" s="6" t="s">
        <v>6</v>
      </c>
      <c r="B3" s="6" t="s">
        <v>5</v>
      </c>
      <c r="C3" s="7" t="s">
        <v>1</v>
      </c>
      <c r="D3" s="6" t="s">
        <v>2</v>
      </c>
      <c r="E3" s="6" t="s">
        <v>3</v>
      </c>
    </row>
    <row r="4" spans="1:7">
      <c r="A4" s="8">
        <v>4.75</v>
      </c>
      <c r="B4" s="8">
        <v>32</v>
      </c>
      <c r="C4" s="8">
        <f t="shared" ref="C4:C12" si="0">(B4/B$13)*100</f>
        <v>8</v>
      </c>
      <c r="D4" s="8">
        <f>C$4</f>
        <v>8</v>
      </c>
      <c r="E4" s="8">
        <f>100-D4</f>
        <v>92</v>
      </c>
    </row>
    <row r="5" spans="1:7">
      <c r="A5" s="8">
        <v>2.36</v>
      </c>
      <c r="B5" s="8">
        <v>68</v>
      </c>
      <c r="C5" s="8">
        <f t="shared" si="0"/>
        <v>17</v>
      </c>
      <c r="D5" s="8">
        <f>D4+C5</f>
        <v>25</v>
      </c>
      <c r="E5" s="8">
        <f t="shared" ref="E5:E12" si="1">100-D5</f>
        <v>75</v>
      </c>
      <c r="F5">
        <f>B4+B5</f>
        <v>100</v>
      </c>
      <c r="G5">
        <f>F5/4</f>
        <v>25</v>
      </c>
    </row>
    <row r="6" spans="1:7">
      <c r="A6" s="8">
        <v>1.18</v>
      </c>
      <c r="B6" s="8">
        <v>77</v>
      </c>
      <c r="C6" s="8">
        <f t="shared" si="0"/>
        <v>19.25</v>
      </c>
      <c r="D6" s="8">
        <f t="shared" ref="D6:D12" si="2">D5+C6</f>
        <v>44.25</v>
      </c>
      <c r="E6" s="8">
        <f t="shared" si="1"/>
        <v>55.75</v>
      </c>
    </row>
    <row r="7" spans="1:7">
      <c r="A7" s="8">
        <v>0.6</v>
      </c>
      <c r="B7" s="8">
        <v>70</v>
      </c>
      <c r="C7" s="8">
        <f t="shared" si="0"/>
        <v>17.5</v>
      </c>
      <c r="D7" s="8">
        <f t="shared" si="2"/>
        <v>61.75</v>
      </c>
      <c r="E7" s="8">
        <f t="shared" si="1"/>
        <v>38.25</v>
      </c>
    </row>
    <row r="8" spans="1:7">
      <c r="A8" s="8">
        <v>0.42499999999999999</v>
      </c>
      <c r="B8" s="8">
        <v>53</v>
      </c>
      <c r="C8" s="8">
        <f t="shared" si="0"/>
        <v>13.25</v>
      </c>
      <c r="D8" s="8">
        <f t="shared" si="2"/>
        <v>75</v>
      </c>
      <c r="E8" s="8">
        <f t="shared" si="1"/>
        <v>25</v>
      </c>
      <c r="F8">
        <f>B6+B7+B8</f>
        <v>200</v>
      </c>
      <c r="G8">
        <f>F8/4</f>
        <v>50</v>
      </c>
    </row>
    <row r="9" spans="1:7">
      <c r="A9" s="8">
        <v>0.3</v>
      </c>
      <c r="B9" s="8">
        <v>38</v>
      </c>
      <c r="C9" s="8">
        <f t="shared" si="0"/>
        <v>9.5</v>
      </c>
      <c r="D9" s="8">
        <f t="shared" si="2"/>
        <v>84.5</v>
      </c>
      <c r="E9" s="8">
        <f t="shared" si="1"/>
        <v>15.5</v>
      </c>
    </row>
    <row r="10" spans="1:7">
      <c r="A10" s="8">
        <v>0.15</v>
      </c>
      <c r="B10" s="8">
        <v>34</v>
      </c>
      <c r="C10" s="8">
        <f t="shared" si="0"/>
        <v>8.5</v>
      </c>
      <c r="D10" s="8">
        <f t="shared" si="2"/>
        <v>93</v>
      </c>
      <c r="E10" s="8">
        <f>100-D10</f>
        <v>7</v>
      </c>
    </row>
    <row r="11" spans="1:7">
      <c r="A11" s="8">
        <v>7.4999999999999997E-2</v>
      </c>
      <c r="B11" s="8">
        <v>23</v>
      </c>
      <c r="C11" s="8">
        <f t="shared" si="0"/>
        <v>5.75</v>
      </c>
      <c r="D11" s="8">
        <f t="shared" si="2"/>
        <v>98.75</v>
      </c>
      <c r="E11" s="8">
        <f>100-D11</f>
        <v>1.25</v>
      </c>
      <c r="F11">
        <f>B9+B10+B11</f>
        <v>95</v>
      </c>
      <c r="G11">
        <f>F11/4</f>
        <v>23.75</v>
      </c>
    </row>
    <row r="12" spans="1:7">
      <c r="A12" s="8" t="s">
        <v>4</v>
      </c>
      <c r="B12" s="8">
        <v>5</v>
      </c>
      <c r="C12" s="8">
        <f t="shared" si="0"/>
        <v>1.25</v>
      </c>
      <c r="D12" s="8">
        <f t="shared" si="2"/>
        <v>100</v>
      </c>
      <c r="E12" s="8">
        <f t="shared" si="1"/>
        <v>0</v>
      </c>
      <c r="F12">
        <f>B12</f>
        <v>5</v>
      </c>
      <c r="G12">
        <f>F12/4</f>
        <v>1.25</v>
      </c>
    </row>
    <row r="13" spans="1:7">
      <c r="A13" s="11" t="s">
        <v>146</v>
      </c>
      <c r="B13" s="9">
        <f>SUM(B4:B12)</f>
        <v>400</v>
      </c>
      <c r="C13" s="10"/>
      <c r="D13" s="10"/>
      <c r="E13" s="10"/>
      <c r="F13">
        <f>F5+F8+F11+F12</f>
        <v>400</v>
      </c>
    </row>
    <row r="16" spans="1:7">
      <c r="B16" s="9" t="s">
        <v>149</v>
      </c>
      <c r="C16" s="9">
        <v>1.5</v>
      </c>
      <c r="E16" s="9" t="s">
        <v>152</v>
      </c>
      <c r="F16" s="9">
        <f>C16/C18</f>
        <v>8.3333333333333339</v>
      </c>
    </row>
    <row r="17" spans="2:6">
      <c r="B17" s="9" t="s">
        <v>150</v>
      </c>
      <c r="C17" s="9">
        <v>0.55000000000000004</v>
      </c>
      <c r="E17" s="9" t="s">
        <v>101</v>
      </c>
      <c r="F17" s="9">
        <f>(C17*C17)/(C16*C18)</f>
        <v>1.1203703703703705</v>
      </c>
    </row>
    <row r="18" spans="2:6">
      <c r="B18" s="9" t="s">
        <v>151</v>
      </c>
      <c r="C18" s="9">
        <v>0.18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25"/>
  <sheetViews>
    <sheetView topLeftCell="A3" workbookViewId="0">
      <selection activeCell="G5" sqref="G5"/>
    </sheetView>
  </sheetViews>
  <sheetFormatPr defaultRowHeight="15"/>
  <cols>
    <col min="2" max="2" width="40.140625" customWidth="1"/>
  </cols>
  <sheetData>
    <row r="2" spans="2:11" ht="21">
      <c r="H2" s="569" t="s">
        <v>277</v>
      </c>
      <c r="I2" s="569"/>
      <c r="J2" s="569"/>
      <c r="K2" s="569"/>
    </row>
    <row r="4" spans="2:11">
      <c r="B4" s="381" t="s">
        <v>278</v>
      </c>
      <c r="C4" s="388">
        <v>12.5</v>
      </c>
    </row>
    <row r="5" spans="2:11">
      <c r="B5" s="381" t="s">
        <v>279</v>
      </c>
      <c r="C5" s="388">
        <v>10</v>
      </c>
    </row>
    <row r="8" spans="2:11" ht="15.75">
      <c r="B8" s="382" t="s">
        <v>0</v>
      </c>
    </row>
    <row r="9" spans="2:11" ht="15.75" thickBot="1"/>
    <row r="10" spans="2:11" ht="15.75" thickBot="1">
      <c r="B10" s="369" t="s">
        <v>31</v>
      </c>
      <c r="C10" s="373">
        <v>1</v>
      </c>
      <c r="D10" s="373">
        <v>2</v>
      </c>
      <c r="E10" s="373">
        <v>3</v>
      </c>
      <c r="F10" s="373">
        <v>4</v>
      </c>
      <c r="G10" s="373">
        <v>5</v>
      </c>
      <c r="H10" s="374">
        <v>6</v>
      </c>
    </row>
    <row r="11" spans="2:11">
      <c r="B11" s="370" t="s">
        <v>280</v>
      </c>
      <c r="C11" s="376">
        <v>3822</v>
      </c>
      <c r="D11" s="376">
        <v>3822</v>
      </c>
      <c r="E11" s="376">
        <v>3822</v>
      </c>
      <c r="F11" s="376">
        <v>3822</v>
      </c>
      <c r="G11" s="376">
        <v>3822</v>
      </c>
      <c r="H11" s="377">
        <v>3822</v>
      </c>
    </row>
    <row r="12" spans="2:11">
      <c r="B12" s="371" t="s">
        <v>281</v>
      </c>
      <c r="C12" s="378">
        <v>5539</v>
      </c>
      <c r="D12" s="378">
        <v>5605</v>
      </c>
      <c r="E12" s="378">
        <v>5680</v>
      </c>
      <c r="F12" s="378">
        <v>5780</v>
      </c>
      <c r="G12" s="378">
        <v>5786</v>
      </c>
      <c r="H12" s="379">
        <v>5844</v>
      </c>
    </row>
    <row r="13" spans="2:11">
      <c r="B13" s="372" t="s">
        <v>282</v>
      </c>
      <c r="C13" s="378">
        <f>C12-C11</f>
        <v>1717</v>
      </c>
      <c r="D13" s="378">
        <f>D12-D11</f>
        <v>1783</v>
      </c>
      <c r="E13" s="378">
        <f>E12-E11</f>
        <v>1858</v>
      </c>
      <c r="F13" s="378">
        <f>F12-F11</f>
        <v>1958</v>
      </c>
      <c r="G13" s="378">
        <f>G12-G11</f>
        <v>1964</v>
      </c>
      <c r="H13" s="379">
        <v>1970</v>
      </c>
    </row>
    <row r="14" spans="2:11">
      <c r="B14" s="372" t="s">
        <v>283</v>
      </c>
      <c r="C14" s="378">
        <f t="shared" ref="C14:H14" si="0">3.14/4*$C$5*$C$5*$C$4</f>
        <v>981.25</v>
      </c>
      <c r="D14" s="378">
        <f t="shared" si="0"/>
        <v>981.25</v>
      </c>
      <c r="E14" s="378">
        <f t="shared" si="0"/>
        <v>981.25</v>
      </c>
      <c r="F14" s="378">
        <f t="shared" si="0"/>
        <v>981.25</v>
      </c>
      <c r="G14" s="378">
        <f t="shared" si="0"/>
        <v>981.25</v>
      </c>
      <c r="H14" s="378">
        <f t="shared" si="0"/>
        <v>981.25</v>
      </c>
    </row>
    <row r="15" spans="2:11">
      <c r="B15" s="372" t="s">
        <v>284</v>
      </c>
      <c r="C15" s="378">
        <f t="shared" ref="C15:H15" si="1">C13/C14</f>
        <v>1.7498089171974522</v>
      </c>
      <c r="D15" s="378">
        <f t="shared" si="1"/>
        <v>1.8170700636942676</v>
      </c>
      <c r="E15" s="378">
        <f t="shared" si="1"/>
        <v>1.8935031847133759</v>
      </c>
      <c r="F15" s="378">
        <f t="shared" si="1"/>
        <v>1.9954140127388535</v>
      </c>
      <c r="G15" s="378">
        <f t="shared" si="1"/>
        <v>2.0015286624203821</v>
      </c>
      <c r="H15" s="379">
        <f t="shared" si="1"/>
        <v>2.0076433121019108</v>
      </c>
    </row>
    <row r="16" spans="2:11" ht="15.75" thickBot="1">
      <c r="B16" s="384" t="s">
        <v>291</v>
      </c>
      <c r="C16" s="385">
        <f t="shared" ref="C16:H16" si="2">C15/(1+(C25/100))</f>
        <v>1.687995015231238</v>
      </c>
      <c r="D16" s="385">
        <f t="shared" si="2"/>
        <v>1.7035031847133759</v>
      </c>
      <c r="E16" s="385">
        <f t="shared" si="2"/>
        <v>1.7294763130892683</v>
      </c>
      <c r="F16" s="385">
        <f t="shared" si="2"/>
        <v>1.7790438185864477</v>
      </c>
      <c r="G16" s="385">
        <f t="shared" si="2"/>
        <v>1.7291046262529279</v>
      </c>
      <c r="H16" s="385">
        <f t="shared" si="2"/>
        <v>1.7178410486266109</v>
      </c>
    </row>
    <row r="18" spans="2:8">
      <c r="B18" s="383" t="s">
        <v>113</v>
      </c>
    </row>
    <row r="19" spans="2:8" ht="15.75" thickBot="1"/>
    <row r="20" spans="2:8">
      <c r="B20" s="375" t="s">
        <v>285</v>
      </c>
      <c r="C20" s="380">
        <v>80</v>
      </c>
      <c r="D20" s="380">
        <v>76</v>
      </c>
      <c r="E20" s="380">
        <v>83.1</v>
      </c>
      <c r="F20" s="380">
        <v>38.1</v>
      </c>
      <c r="G20" s="380">
        <v>77.400000000000006</v>
      </c>
      <c r="H20" s="380">
        <v>52.5</v>
      </c>
    </row>
    <row r="21" spans="2:8" ht="15" customHeight="1">
      <c r="B21" s="371" t="s">
        <v>286</v>
      </c>
      <c r="C21" s="378">
        <v>153.6</v>
      </c>
      <c r="D21" s="378">
        <v>141.6</v>
      </c>
      <c r="E21" s="378">
        <v>148.9</v>
      </c>
      <c r="F21" s="378">
        <v>121.1</v>
      </c>
      <c r="G21" s="378">
        <v>166.3</v>
      </c>
      <c r="H21" s="378">
        <v>157.80000000000001</v>
      </c>
    </row>
    <row r="22" spans="2:8" ht="15" customHeight="1">
      <c r="B22" s="371" t="s">
        <v>287</v>
      </c>
      <c r="C22" s="378">
        <v>151</v>
      </c>
      <c r="D22" s="378">
        <v>137.5</v>
      </c>
      <c r="E22" s="378">
        <v>143.19999999999999</v>
      </c>
      <c r="F22" s="378">
        <v>112.1</v>
      </c>
      <c r="G22" s="378">
        <v>154.19999999999999</v>
      </c>
      <c r="H22" s="378">
        <v>142.6</v>
      </c>
    </row>
    <row r="23" spans="2:8" ht="15" customHeight="1">
      <c r="B23" s="371" t="s">
        <v>289</v>
      </c>
      <c r="C23" s="378">
        <f t="shared" ref="C23:H23" si="3">C21-C22</f>
        <v>2.5999999999999943</v>
      </c>
      <c r="D23" s="378">
        <f t="shared" si="3"/>
        <v>4.0999999999999943</v>
      </c>
      <c r="E23" s="378">
        <f t="shared" si="3"/>
        <v>5.7000000000000171</v>
      </c>
      <c r="F23" s="378">
        <f t="shared" si="3"/>
        <v>9</v>
      </c>
      <c r="G23" s="378">
        <f t="shared" si="3"/>
        <v>12.100000000000023</v>
      </c>
      <c r="H23" s="378">
        <f t="shared" si="3"/>
        <v>15.200000000000017</v>
      </c>
    </row>
    <row r="24" spans="2:8" ht="15" customHeight="1">
      <c r="B24" s="371" t="s">
        <v>290</v>
      </c>
      <c r="C24" s="378">
        <f t="shared" ref="C24:H24" si="4">C22-C20</f>
        <v>71</v>
      </c>
      <c r="D24" s="378">
        <f t="shared" si="4"/>
        <v>61.5</v>
      </c>
      <c r="E24" s="378">
        <f t="shared" si="4"/>
        <v>60.099999999999994</v>
      </c>
      <c r="F24" s="378">
        <f t="shared" si="4"/>
        <v>74</v>
      </c>
      <c r="G24" s="378">
        <f t="shared" si="4"/>
        <v>76.799999999999983</v>
      </c>
      <c r="H24" s="378">
        <f t="shared" si="4"/>
        <v>90.1</v>
      </c>
    </row>
    <row r="25" spans="2:8" ht="15.75" thickBot="1">
      <c r="B25" s="386" t="s">
        <v>288</v>
      </c>
      <c r="C25" s="387">
        <f t="shared" ref="C25:H25" si="5">(C23/C24)*100</f>
        <v>3.6619718309859071</v>
      </c>
      <c r="D25" s="387">
        <f t="shared" si="5"/>
        <v>6.6666666666666572</v>
      </c>
      <c r="E25" s="387">
        <f t="shared" si="5"/>
        <v>9.4841930116472835</v>
      </c>
      <c r="F25" s="387">
        <f t="shared" si="5"/>
        <v>12.162162162162163</v>
      </c>
      <c r="G25" s="387">
        <f t="shared" si="5"/>
        <v>15.755208333333368</v>
      </c>
      <c r="H25" s="387">
        <f t="shared" si="5"/>
        <v>16.870144284128767</v>
      </c>
    </row>
  </sheetData>
  <mergeCells count="1">
    <mergeCell ref="H2:K2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133"/>
  <sheetViews>
    <sheetView topLeftCell="I1" zoomScaleNormal="100" workbookViewId="0">
      <selection activeCell="G131" sqref="G131"/>
    </sheetView>
  </sheetViews>
  <sheetFormatPr defaultColWidth="10" defaultRowHeight="15"/>
  <cols>
    <col min="3" max="3" width="16.28515625" customWidth="1"/>
    <col min="8" max="8" width="10.5703125" bestFit="1" customWidth="1"/>
    <col min="13" max="13" width="10" customWidth="1"/>
    <col min="14" max="14" width="10.5703125" bestFit="1" customWidth="1"/>
  </cols>
  <sheetData>
    <row r="2" spans="2:5" ht="21">
      <c r="B2" s="591" t="s">
        <v>206</v>
      </c>
      <c r="C2" s="591"/>
    </row>
    <row r="4" spans="2:5" ht="15.75" thickBot="1"/>
    <row r="5" spans="2:5" ht="19.5" thickBot="1">
      <c r="B5" s="578" t="s">
        <v>0</v>
      </c>
      <c r="C5" s="579"/>
      <c r="D5" s="579"/>
      <c r="E5" s="580"/>
    </row>
    <row r="6" spans="2:5" ht="16.5" thickBot="1">
      <c r="B6" s="581" t="s">
        <v>167</v>
      </c>
      <c r="C6" s="582"/>
      <c r="D6" s="582"/>
      <c r="E6" s="583"/>
    </row>
    <row r="7" spans="2:5" ht="15.75">
      <c r="B7" s="584" t="s">
        <v>193</v>
      </c>
      <c r="C7" s="585"/>
      <c r="D7" s="106">
        <v>6</v>
      </c>
      <c r="E7" s="107" t="s">
        <v>35</v>
      </c>
    </row>
    <row r="8" spans="2:5" ht="15.75">
      <c r="B8" s="586" t="s">
        <v>194</v>
      </c>
      <c r="C8" s="587"/>
      <c r="D8" s="108">
        <v>6</v>
      </c>
      <c r="E8" s="109" t="s">
        <v>35</v>
      </c>
    </row>
    <row r="9" spans="2:5" ht="15.75">
      <c r="B9" s="586" t="s">
        <v>134</v>
      </c>
      <c r="C9" s="587"/>
      <c r="D9" s="108">
        <v>2</v>
      </c>
      <c r="E9" s="109" t="s">
        <v>35</v>
      </c>
    </row>
    <row r="10" spans="2:5" ht="15.75">
      <c r="B10" s="588" t="s">
        <v>168</v>
      </c>
      <c r="C10" s="587"/>
      <c r="D10" s="110">
        <v>2.0150000000000001</v>
      </c>
      <c r="E10" s="109" t="s">
        <v>169</v>
      </c>
    </row>
    <row r="11" spans="2:5" ht="15.75">
      <c r="B11" s="586" t="s">
        <v>170</v>
      </c>
      <c r="C11" s="587"/>
      <c r="D11" s="108">
        <v>0.254</v>
      </c>
      <c r="E11" s="109" t="s">
        <v>129</v>
      </c>
    </row>
    <row r="12" spans="2:5" ht="15.75">
      <c r="B12" s="586" t="s">
        <v>171</v>
      </c>
      <c r="C12" s="587"/>
      <c r="D12" s="108">
        <v>0.25</v>
      </c>
      <c r="E12" s="109" t="s">
        <v>172</v>
      </c>
    </row>
    <row r="13" spans="2:5" ht="15.75">
      <c r="B13" s="586" t="s">
        <v>173</v>
      </c>
      <c r="C13" s="587"/>
      <c r="D13" s="108">
        <v>1E-3</v>
      </c>
      <c r="E13" s="109" t="s">
        <v>35</v>
      </c>
    </row>
    <row r="14" spans="2:5" ht="18.75">
      <c r="B14" s="586" t="s">
        <v>174</v>
      </c>
      <c r="C14" s="587"/>
      <c r="D14" s="111">
        <f>(D7*D8*D9)</f>
        <v>72</v>
      </c>
      <c r="E14" s="109" t="s">
        <v>175</v>
      </c>
    </row>
    <row r="15" spans="2:5" ht="15.75" thickBot="1">
      <c r="B15" s="589" t="s">
        <v>176</v>
      </c>
      <c r="C15" s="590"/>
      <c r="D15" s="112">
        <f>(D10*D14)</f>
        <v>145.08000000000001</v>
      </c>
      <c r="E15" s="113" t="s">
        <v>177</v>
      </c>
    </row>
    <row r="16" spans="2:5" ht="15.75" thickBot="1"/>
    <row r="17" spans="2:14" ht="16.5" customHeight="1" thickBot="1">
      <c r="B17" s="573" t="s">
        <v>178</v>
      </c>
      <c r="C17" s="573" t="s">
        <v>198</v>
      </c>
      <c r="D17" s="575" t="s">
        <v>199</v>
      </c>
      <c r="E17" s="573" t="s">
        <v>201</v>
      </c>
      <c r="F17" s="577" t="s">
        <v>195</v>
      </c>
      <c r="G17" s="571"/>
      <c r="H17" s="572"/>
      <c r="I17" s="570" t="s">
        <v>196</v>
      </c>
      <c r="J17" s="571"/>
      <c r="K17" s="572"/>
      <c r="L17" s="570" t="s">
        <v>197</v>
      </c>
      <c r="M17" s="571"/>
      <c r="N17" s="572"/>
    </row>
    <row r="18" spans="2:14" ht="48" thickBot="1">
      <c r="B18" s="574"/>
      <c r="C18" s="574"/>
      <c r="D18" s="576"/>
      <c r="E18" s="574"/>
      <c r="F18" s="188" t="s">
        <v>185</v>
      </c>
      <c r="G18" s="188" t="s">
        <v>186</v>
      </c>
      <c r="H18" s="188" t="s">
        <v>187</v>
      </c>
      <c r="I18" s="188" t="s">
        <v>185</v>
      </c>
      <c r="J18" s="188" t="s">
        <v>186</v>
      </c>
      <c r="K18" s="188" t="s">
        <v>187</v>
      </c>
      <c r="L18" s="188" t="s">
        <v>185</v>
      </c>
      <c r="M18" s="188" t="s">
        <v>186</v>
      </c>
      <c r="N18" s="188" t="s">
        <v>187</v>
      </c>
    </row>
    <row r="19" spans="2:14">
      <c r="B19" s="199">
        <v>50</v>
      </c>
      <c r="C19" s="189">
        <v>0.05</v>
      </c>
      <c r="D19" s="189">
        <f>6-C19</f>
        <v>5.95</v>
      </c>
      <c r="E19" s="190">
        <f>D19*6</f>
        <v>35.700000000000003</v>
      </c>
      <c r="F19" s="191">
        <v>68</v>
      </c>
      <c r="G19" s="189">
        <f>F19*$D$11</f>
        <v>17.271999999999998</v>
      </c>
      <c r="H19" s="203">
        <f>G19/E19</f>
        <v>0.48380952380952374</v>
      </c>
      <c r="I19" s="191">
        <v>74</v>
      </c>
      <c r="J19" s="189">
        <f>I19*$D$11</f>
        <v>18.795999999999999</v>
      </c>
      <c r="K19" s="203">
        <f>J19/E19</f>
        <v>0.52649859943977584</v>
      </c>
      <c r="L19" s="191">
        <v>55</v>
      </c>
      <c r="M19" s="192">
        <f>L19*$D$11</f>
        <v>13.97</v>
      </c>
      <c r="N19" s="201">
        <f>M19/E19</f>
        <v>0.39131652661064426</v>
      </c>
    </row>
    <row r="20" spans="2:14">
      <c r="B20" s="200">
        <v>100</v>
      </c>
      <c r="C20" s="193">
        <v>0.1</v>
      </c>
      <c r="D20" s="193">
        <f t="shared" ref="D20:D31" si="0">6-C20</f>
        <v>5.9</v>
      </c>
      <c r="E20" s="194">
        <f t="shared" ref="E20:E31" si="1">D20*6</f>
        <v>35.400000000000006</v>
      </c>
      <c r="F20" s="195">
        <v>88</v>
      </c>
      <c r="G20" s="193">
        <f t="shared" ref="G20:G26" si="2">F20*$D$11</f>
        <v>22.352</v>
      </c>
      <c r="H20" s="204">
        <f t="shared" ref="H20:H26" si="3">G20/E20</f>
        <v>0.63141242937853093</v>
      </c>
      <c r="I20" s="195">
        <v>101</v>
      </c>
      <c r="J20" s="193">
        <f t="shared" ref="J20:J28" si="4">I20*$D$11</f>
        <v>25.654</v>
      </c>
      <c r="K20" s="204">
        <f t="shared" ref="K20:K28" si="5">J20/E20</f>
        <v>0.72468926553672308</v>
      </c>
      <c r="L20" s="195">
        <v>80</v>
      </c>
      <c r="M20" s="196">
        <f t="shared" ref="M20:M31" si="6">L20*$D$11</f>
        <v>20.32</v>
      </c>
      <c r="N20" s="202">
        <f t="shared" ref="N20:N31" si="7">M20/E20</f>
        <v>0.57401129943502816</v>
      </c>
    </row>
    <row r="21" spans="2:14">
      <c r="B21" s="200">
        <v>150</v>
      </c>
      <c r="C21" s="193">
        <v>0.15</v>
      </c>
      <c r="D21" s="193">
        <f t="shared" si="0"/>
        <v>5.85</v>
      </c>
      <c r="E21" s="194">
        <f t="shared" si="1"/>
        <v>35.099999999999994</v>
      </c>
      <c r="F21" s="195">
        <v>101</v>
      </c>
      <c r="G21" s="193">
        <f t="shared" si="2"/>
        <v>25.654</v>
      </c>
      <c r="H21" s="204">
        <f t="shared" si="3"/>
        <v>0.73088319088319098</v>
      </c>
      <c r="I21" s="195">
        <v>113</v>
      </c>
      <c r="J21" s="193">
        <f t="shared" si="4"/>
        <v>28.702000000000002</v>
      </c>
      <c r="K21" s="204">
        <f t="shared" si="5"/>
        <v>0.81772079772079787</v>
      </c>
      <c r="L21" s="195">
        <v>105</v>
      </c>
      <c r="M21" s="196">
        <f t="shared" si="6"/>
        <v>26.67</v>
      </c>
      <c r="N21" s="202">
        <f t="shared" si="7"/>
        <v>0.75982905982906002</v>
      </c>
    </row>
    <row r="22" spans="2:14">
      <c r="B22" s="200">
        <v>200</v>
      </c>
      <c r="C22" s="193">
        <v>0.2</v>
      </c>
      <c r="D22" s="193">
        <f t="shared" si="0"/>
        <v>5.8</v>
      </c>
      <c r="E22" s="194">
        <f t="shared" si="1"/>
        <v>34.799999999999997</v>
      </c>
      <c r="F22" s="195">
        <v>111</v>
      </c>
      <c r="G22" s="193">
        <f t="shared" si="2"/>
        <v>28.193999999999999</v>
      </c>
      <c r="H22" s="204">
        <f t="shared" si="3"/>
        <v>0.81017241379310345</v>
      </c>
      <c r="I22" s="195">
        <v>121</v>
      </c>
      <c r="J22" s="193">
        <f t="shared" si="4"/>
        <v>30.734000000000002</v>
      </c>
      <c r="K22" s="204">
        <f t="shared" si="5"/>
        <v>0.88316091954023002</v>
      </c>
      <c r="L22" s="195">
        <v>120</v>
      </c>
      <c r="M22" s="196">
        <f t="shared" si="6"/>
        <v>30.48</v>
      </c>
      <c r="N22" s="202">
        <f t="shared" si="7"/>
        <v>0.87586206896551733</v>
      </c>
    </row>
    <row r="23" spans="2:14">
      <c r="B23" s="200">
        <v>250</v>
      </c>
      <c r="C23" s="193">
        <v>0.25</v>
      </c>
      <c r="D23" s="193">
        <f t="shared" si="0"/>
        <v>5.75</v>
      </c>
      <c r="E23" s="194">
        <f t="shared" si="1"/>
        <v>34.5</v>
      </c>
      <c r="F23" s="195">
        <v>117</v>
      </c>
      <c r="G23" s="193">
        <f t="shared" si="2"/>
        <v>29.718</v>
      </c>
      <c r="H23" s="204">
        <f t="shared" si="3"/>
        <v>0.86139130434782607</v>
      </c>
      <c r="I23" s="195">
        <v>128</v>
      </c>
      <c r="J23" s="193">
        <f t="shared" si="4"/>
        <v>32.512</v>
      </c>
      <c r="K23" s="204">
        <f t="shared" si="5"/>
        <v>0.94237681159420295</v>
      </c>
      <c r="L23" s="195">
        <v>136</v>
      </c>
      <c r="M23" s="196">
        <f t="shared" si="6"/>
        <v>34.543999999999997</v>
      </c>
      <c r="N23" s="202">
        <f t="shared" si="7"/>
        <v>1.0012753623188404</v>
      </c>
    </row>
    <row r="24" spans="2:14">
      <c r="B24" s="200">
        <v>300</v>
      </c>
      <c r="C24" s="193">
        <v>0.3</v>
      </c>
      <c r="D24" s="193">
        <f t="shared" si="0"/>
        <v>5.7</v>
      </c>
      <c r="E24" s="194">
        <f t="shared" si="1"/>
        <v>34.200000000000003</v>
      </c>
      <c r="F24" s="195">
        <v>119</v>
      </c>
      <c r="G24" s="193">
        <f t="shared" si="2"/>
        <v>30.225999999999999</v>
      </c>
      <c r="H24" s="204">
        <f t="shared" si="3"/>
        <v>0.88380116959064314</v>
      </c>
      <c r="I24" s="195">
        <v>132</v>
      </c>
      <c r="J24" s="193">
        <f t="shared" si="4"/>
        <v>33.527999999999999</v>
      </c>
      <c r="K24" s="204">
        <f t="shared" si="5"/>
        <v>0.98035087719298231</v>
      </c>
      <c r="L24" s="195">
        <v>145</v>
      </c>
      <c r="M24" s="196">
        <f t="shared" si="6"/>
        <v>36.83</v>
      </c>
      <c r="N24" s="202">
        <f t="shared" si="7"/>
        <v>1.0769005847953215</v>
      </c>
    </row>
    <row r="25" spans="2:14">
      <c r="B25" s="200">
        <v>350</v>
      </c>
      <c r="C25" s="193">
        <v>0.35</v>
      </c>
      <c r="D25" s="193">
        <f t="shared" si="0"/>
        <v>5.65</v>
      </c>
      <c r="E25" s="194">
        <f t="shared" si="1"/>
        <v>33.900000000000006</v>
      </c>
      <c r="F25" s="195">
        <v>119</v>
      </c>
      <c r="G25" s="193">
        <f t="shared" si="2"/>
        <v>30.225999999999999</v>
      </c>
      <c r="H25" s="204">
        <f t="shared" si="3"/>
        <v>0.89162241887905591</v>
      </c>
      <c r="I25" s="195">
        <v>135</v>
      </c>
      <c r="J25" s="193">
        <f t="shared" si="4"/>
        <v>34.29</v>
      </c>
      <c r="K25" s="204">
        <f t="shared" si="5"/>
        <v>1.0115044247787608</v>
      </c>
      <c r="L25" s="195">
        <v>158</v>
      </c>
      <c r="M25" s="196">
        <f t="shared" si="6"/>
        <v>40.131999999999998</v>
      </c>
      <c r="N25" s="202">
        <f t="shared" si="7"/>
        <v>1.1838348082595869</v>
      </c>
    </row>
    <row r="26" spans="2:14">
      <c r="B26" s="200">
        <v>400</v>
      </c>
      <c r="C26" s="193">
        <v>0.4</v>
      </c>
      <c r="D26" s="193">
        <f t="shared" si="0"/>
        <v>5.6</v>
      </c>
      <c r="E26" s="194">
        <f t="shared" si="1"/>
        <v>33.599999999999994</v>
      </c>
      <c r="F26" s="195">
        <v>119</v>
      </c>
      <c r="G26" s="193">
        <f t="shared" si="2"/>
        <v>30.225999999999999</v>
      </c>
      <c r="H26" s="204">
        <f t="shared" si="3"/>
        <v>0.89958333333333351</v>
      </c>
      <c r="I26" s="195">
        <v>137</v>
      </c>
      <c r="J26" s="193">
        <f t="shared" si="4"/>
        <v>34.798000000000002</v>
      </c>
      <c r="K26" s="204">
        <f t="shared" si="5"/>
        <v>1.0356547619047622</v>
      </c>
      <c r="L26" s="195">
        <v>168</v>
      </c>
      <c r="M26" s="196">
        <f t="shared" si="6"/>
        <v>42.671999999999997</v>
      </c>
      <c r="N26" s="202">
        <f t="shared" si="7"/>
        <v>1.27</v>
      </c>
    </row>
    <row r="27" spans="2:14">
      <c r="B27" s="200">
        <v>450</v>
      </c>
      <c r="C27" s="193">
        <v>0.45</v>
      </c>
      <c r="D27" s="193">
        <f t="shared" si="0"/>
        <v>5.55</v>
      </c>
      <c r="E27" s="194">
        <f t="shared" si="1"/>
        <v>33.299999999999997</v>
      </c>
      <c r="F27" s="205" t="s">
        <v>202</v>
      </c>
      <c r="G27" s="206" t="s">
        <v>202</v>
      </c>
      <c r="H27" s="206" t="s">
        <v>202</v>
      </c>
      <c r="I27" s="195">
        <v>137</v>
      </c>
      <c r="J27" s="193">
        <f t="shared" si="4"/>
        <v>34.798000000000002</v>
      </c>
      <c r="K27" s="204">
        <f t="shared" si="5"/>
        <v>1.044984984984985</v>
      </c>
      <c r="L27" s="195">
        <v>175</v>
      </c>
      <c r="M27" s="196">
        <f t="shared" si="6"/>
        <v>44.45</v>
      </c>
      <c r="N27" s="202">
        <f t="shared" si="7"/>
        <v>1.3348348348348351</v>
      </c>
    </row>
    <row r="28" spans="2:14">
      <c r="B28" s="200">
        <v>500</v>
      </c>
      <c r="C28" s="193">
        <v>0.5</v>
      </c>
      <c r="D28" s="193">
        <f t="shared" si="0"/>
        <v>5.5</v>
      </c>
      <c r="E28" s="194">
        <f t="shared" si="1"/>
        <v>33</v>
      </c>
      <c r="F28" s="205" t="s">
        <v>202</v>
      </c>
      <c r="G28" s="206" t="s">
        <v>202</v>
      </c>
      <c r="H28" s="206" t="s">
        <v>202</v>
      </c>
      <c r="I28" s="195">
        <v>137</v>
      </c>
      <c r="J28" s="193">
        <f t="shared" si="4"/>
        <v>34.798000000000002</v>
      </c>
      <c r="K28" s="204">
        <f t="shared" si="5"/>
        <v>1.0544848484848486</v>
      </c>
      <c r="L28" s="195">
        <v>180</v>
      </c>
      <c r="M28" s="196">
        <f t="shared" si="6"/>
        <v>45.72</v>
      </c>
      <c r="N28" s="202">
        <f t="shared" si="7"/>
        <v>1.3854545454545455</v>
      </c>
    </row>
    <row r="29" spans="2:14">
      <c r="B29" s="200">
        <v>550</v>
      </c>
      <c r="C29" s="193">
        <v>0.55000000000000004</v>
      </c>
      <c r="D29" s="193">
        <f t="shared" si="0"/>
        <v>5.45</v>
      </c>
      <c r="E29" s="194">
        <f t="shared" si="1"/>
        <v>32.700000000000003</v>
      </c>
      <c r="F29" s="205" t="s">
        <v>202</v>
      </c>
      <c r="G29" s="206" t="s">
        <v>202</v>
      </c>
      <c r="H29" s="206" t="s">
        <v>202</v>
      </c>
      <c r="I29" s="195" t="s">
        <v>202</v>
      </c>
      <c r="J29" s="196" t="s">
        <v>202</v>
      </c>
      <c r="K29" s="194" t="s">
        <v>202</v>
      </c>
      <c r="L29" s="195">
        <v>182</v>
      </c>
      <c r="M29" s="196">
        <f t="shared" si="6"/>
        <v>46.228000000000002</v>
      </c>
      <c r="N29" s="202">
        <f t="shared" si="7"/>
        <v>1.4137003058103974</v>
      </c>
    </row>
    <row r="30" spans="2:14">
      <c r="B30" s="200">
        <v>600</v>
      </c>
      <c r="C30" s="193">
        <v>0.6</v>
      </c>
      <c r="D30" s="193">
        <f t="shared" si="0"/>
        <v>5.4</v>
      </c>
      <c r="E30" s="194">
        <f t="shared" si="1"/>
        <v>32.400000000000006</v>
      </c>
      <c r="F30" s="205" t="s">
        <v>202</v>
      </c>
      <c r="G30" s="206" t="s">
        <v>202</v>
      </c>
      <c r="H30" s="206" t="s">
        <v>202</v>
      </c>
      <c r="I30" s="195" t="s">
        <v>202</v>
      </c>
      <c r="J30" s="196" t="s">
        <v>202</v>
      </c>
      <c r="K30" s="194" t="s">
        <v>202</v>
      </c>
      <c r="L30" s="195">
        <v>182</v>
      </c>
      <c r="M30" s="196">
        <f t="shared" si="6"/>
        <v>46.228000000000002</v>
      </c>
      <c r="N30" s="202">
        <f t="shared" si="7"/>
        <v>1.4267901234567899</v>
      </c>
    </row>
    <row r="31" spans="2:14" ht="15.75" thickBot="1">
      <c r="B31" s="200">
        <v>650</v>
      </c>
      <c r="C31" s="193">
        <v>0.65</v>
      </c>
      <c r="D31" s="193">
        <f t="shared" si="0"/>
        <v>5.35</v>
      </c>
      <c r="E31" s="194">
        <f t="shared" si="1"/>
        <v>32.099999999999994</v>
      </c>
      <c r="F31" s="205" t="s">
        <v>202</v>
      </c>
      <c r="G31" s="206" t="s">
        <v>202</v>
      </c>
      <c r="H31" s="206" t="s">
        <v>202</v>
      </c>
      <c r="I31" s="195" t="s">
        <v>202</v>
      </c>
      <c r="J31" s="196" t="s">
        <v>202</v>
      </c>
      <c r="K31" s="194" t="s">
        <v>202</v>
      </c>
      <c r="L31" s="195">
        <v>182</v>
      </c>
      <c r="M31" s="196">
        <f t="shared" si="6"/>
        <v>46.228000000000002</v>
      </c>
      <c r="N31" s="202">
        <f t="shared" si="7"/>
        <v>1.4401246105919006</v>
      </c>
    </row>
    <row r="32" spans="2:14" ht="16.5" thickBot="1">
      <c r="B32" s="185"/>
      <c r="C32" s="186"/>
      <c r="D32" s="186"/>
      <c r="E32" s="186"/>
      <c r="F32" s="187"/>
      <c r="G32" s="212" t="s">
        <v>188</v>
      </c>
      <c r="H32" s="213">
        <f>MAX(H19:H31)</f>
        <v>0.89958333333333351</v>
      </c>
      <c r="I32" s="214"/>
      <c r="J32" s="212" t="s">
        <v>188</v>
      </c>
      <c r="K32" s="213">
        <f>MAX(K19:K28)</f>
        <v>1.0544848484848486</v>
      </c>
      <c r="L32" s="214"/>
      <c r="M32" s="212" t="s">
        <v>188</v>
      </c>
      <c r="N32" s="213">
        <f>MAX(N19:N31)</f>
        <v>1.4401246105919006</v>
      </c>
    </row>
    <row r="34" spans="2:8" ht="15.75" thickBot="1"/>
    <row r="35" spans="2:8" ht="18.75">
      <c r="C35" s="172" t="s">
        <v>189</v>
      </c>
      <c r="D35" s="173" t="s">
        <v>190</v>
      </c>
      <c r="F35" s="217" t="s">
        <v>191</v>
      </c>
      <c r="G35" s="218">
        <v>0.54049999999999998</v>
      </c>
      <c r="H35" s="219"/>
    </row>
    <row r="36" spans="2:8">
      <c r="C36" s="130"/>
      <c r="D36" s="215"/>
      <c r="F36" s="220" t="s">
        <v>192</v>
      </c>
      <c r="G36" s="216">
        <f>DEGREES((ATAN(G35)))</f>
        <v>28.391221812739584</v>
      </c>
      <c r="H36" s="221"/>
    </row>
    <row r="37" spans="2:8" ht="15.75" thickBot="1">
      <c r="C37" s="130">
        <v>0.5</v>
      </c>
      <c r="D37" s="129">
        <f>H32</f>
        <v>0.89958333333333351</v>
      </c>
      <c r="F37" s="222" t="s">
        <v>152</v>
      </c>
      <c r="G37" s="223">
        <v>0.59089999999999998</v>
      </c>
      <c r="H37" s="224" t="s">
        <v>205</v>
      </c>
    </row>
    <row r="38" spans="2:8">
      <c r="C38" s="130">
        <v>1</v>
      </c>
      <c r="D38" s="129">
        <f>K32</f>
        <v>1.0544848484848486</v>
      </c>
    </row>
    <row r="39" spans="2:8" ht="15.75" thickBot="1">
      <c r="C39" s="135">
        <v>1.5</v>
      </c>
      <c r="D39" s="134">
        <f>N32</f>
        <v>1.4401246105919006</v>
      </c>
    </row>
    <row r="42" spans="2:8" ht="21">
      <c r="B42" s="591" t="s">
        <v>203</v>
      </c>
      <c r="C42" s="591"/>
    </row>
    <row r="44" spans="2:8" ht="15.75" thickBot="1"/>
    <row r="45" spans="2:8" ht="19.5" thickBot="1">
      <c r="B45" s="578" t="s">
        <v>0</v>
      </c>
      <c r="C45" s="579"/>
      <c r="D45" s="579"/>
      <c r="E45" s="580"/>
    </row>
    <row r="46" spans="2:8" ht="16.5" thickBot="1">
      <c r="B46" s="581" t="s">
        <v>167</v>
      </c>
      <c r="C46" s="582"/>
      <c r="D46" s="582"/>
      <c r="E46" s="583"/>
    </row>
    <row r="47" spans="2:8" ht="15.75">
      <c r="B47" s="584" t="s">
        <v>193</v>
      </c>
      <c r="C47" s="585"/>
      <c r="D47" s="106">
        <v>6</v>
      </c>
      <c r="E47" s="107" t="s">
        <v>35</v>
      </c>
    </row>
    <row r="48" spans="2:8" ht="15.75">
      <c r="B48" s="586" t="s">
        <v>194</v>
      </c>
      <c r="C48" s="587"/>
      <c r="D48" s="108">
        <v>6</v>
      </c>
      <c r="E48" s="109" t="s">
        <v>35</v>
      </c>
    </row>
    <row r="49" spans="2:14" ht="15.75">
      <c r="B49" s="586" t="s">
        <v>134</v>
      </c>
      <c r="C49" s="587"/>
      <c r="D49" s="108">
        <v>2</v>
      </c>
      <c r="E49" s="109" t="s">
        <v>35</v>
      </c>
    </row>
    <row r="50" spans="2:14" ht="15.75">
      <c r="B50" s="588" t="s">
        <v>168</v>
      </c>
      <c r="C50" s="587"/>
      <c r="D50" s="110">
        <v>2.0150000000000001</v>
      </c>
      <c r="E50" s="109" t="s">
        <v>169</v>
      </c>
    </row>
    <row r="51" spans="2:14" ht="15.75">
      <c r="B51" s="586" t="s">
        <v>170</v>
      </c>
      <c r="C51" s="587"/>
      <c r="D51" s="108">
        <v>0.254</v>
      </c>
      <c r="E51" s="109" t="s">
        <v>129</v>
      </c>
    </row>
    <row r="52" spans="2:14" ht="15.75">
      <c r="B52" s="586" t="s">
        <v>171</v>
      </c>
      <c r="C52" s="587"/>
      <c r="D52" s="108">
        <v>0.25</v>
      </c>
      <c r="E52" s="109" t="s">
        <v>172</v>
      </c>
    </row>
    <row r="53" spans="2:14" ht="15.75">
      <c r="B53" s="586" t="s">
        <v>173</v>
      </c>
      <c r="C53" s="587"/>
      <c r="D53" s="108">
        <v>1E-3</v>
      </c>
      <c r="E53" s="109" t="s">
        <v>35</v>
      </c>
    </row>
    <row r="54" spans="2:14" ht="18.75">
      <c r="B54" s="586" t="s">
        <v>174</v>
      </c>
      <c r="C54" s="587"/>
      <c r="D54" s="111">
        <f>(D47*D48*D49)</f>
        <v>72</v>
      </c>
      <c r="E54" s="109" t="s">
        <v>175</v>
      </c>
    </row>
    <row r="55" spans="2:14" ht="15.75" thickBot="1">
      <c r="B55" s="589" t="s">
        <v>176</v>
      </c>
      <c r="C55" s="590"/>
      <c r="D55" s="112">
        <f>(D50*D54)</f>
        <v>145.08000000000001</v>
      </c>
      <c r="E55" s="113" t="s">
        <v>177</v>
      </c>
    </row>
    <row r="56" spans="2:14" ht="15.75" thickBot="1"/>
    <row r="57" spans="2:14" ht="16.5" thickBot="1">
      <c r="B57" s="573" t="s">
        <v>178</v>
      </c>
      <c r="C57" s="573" t="s">
        <v>198</v>
      </c>
      <c r="D57" s="575" t="s">
        <v>199</v>
      </c>
      <c r="E57" s="573" t="s">
        <v>201</v>
      </c>
      <c r="F57" s="577" t="s">
        <v>195</v>
      </c>
      <c r="G57" s="571"/>
      <c r="H57" s="572"/>
      <c r="I57" s="570" t="s">
        <v>196</v>
      </c>
      <c r="J57" s="571"/>
      <c r="K57" s="572"/>
      <c r="L57" s="570" t="s">
        <v>197</v>
      </c>
      <c r="M57" s="571"/>
      <c r="N57" s="572"/>
    </row>
    <row r="58" spans="2:14" ht="48" thickBot="1">
      <c r="B58" s="574"/>
      <c r="C58" s="574"/>
      <c r="D58" s="576"/>
      <c r="E58" s="574"/>
      <c r="F58" s="188" t="s">
        <v>185</v>
      </c>
      <c r="G58" s="188" t="s">
        <v>186</v>
      </c>
      <c r="H58" s="188" t="s">
        <v>187</v>
      </c>
      <c r="I58" s="188" t="s">
        <v>185</v>
      </c>
      <c r="J58" s="188" t="s">
        <v>186</v>
      </c>
      <c r="K58" s="188" t="s">
        <v>187</v>
      </c>
      <c r="L58" s="188" t="s">
        <v>185</v>
      </c>
      <c r="M58" s="188" t="s">
        <v>186</v>
      </c>
      <c r="N58" s="188" t="s">
        <v>187</v>
      </c>
    </row>
    <row r="59" spans="2:14">
      <c r="B59" s="199">
        <v>50</v>
      </c>
      <c r="C59" s="189">
        <v>0.05</v>
      </c>
      <c r="D59" s="189">
        <f>6-C59</f>
        <v>5.95</v>
      </c>
      <c r="E59" s="190">
        <f>D59*6</f>
        <v>35.700000000000003</v>
      </c>
      <c r="F59" s="191">
        <v>28</v>
      </c>
      <c r="G59" s="189">
        <f>F59*$D$11</f>
        <v>7.1120000000000001</v>
      </c>
      <c r="H59" s="203">
        <f>G59/E59</f>
        <v>0.19921568627450978</v>
      </c>
      <c r="I59" s="191">
        <v>45</v>
      </c>
      <c r="J59" s="189">
        <f>I59*$D$11</f>
        <v>11.43</v>
      </c>
      <c r="K59" s="203">
        <f>J59/E59</f>
        <v>0.32016806722689073</v>
      </c>
      <c r="L59" s="191">
        <v>80</v>
      </c>
      <c r="M59" s="192">
        <f>L59*$D$11</f>
        <v>20.32</v>
      </c>
      <c r="N59" s="201">
        <f>M59/E59</f>
        <v>0.56918767507002799</v>
      </c>
    </row>
    <row r="60" spans="2:14">
      <c r="B60" s="200">
        <v>100</v>
      </c>
      <c r="C60" s="193">
        <v>0.1</v>
      </c>
      <c r="D60" s="193">
        <f t="shared" ref="D60:D72" si="8">6-C60</f>
        <v>5.9</v>
      </c>
      <c r="E60" s="194">
        <f t="shared" ref="E60:E72" si="9">D60*6</f>
        <v>35.400000000000006</v>
      </c>
      <c r="F60" s="195">
        <v>40</v>
      </c>
      <c r="G60" s="193">
        <f t="shared" ref="G60:G71" si="10">F60*$D$11</f>
        <v>10.16</v>
      </c>
      <c r="H60" s="204">
        <f t="shared" ref="H60:H71" si="11">G60/E60</f>
        <v>0.28700564971751408</v>
      </c>
      <c r="I60" s="195">
        <v>68</v>
      </c>
      <c r="J60" s="193">
        <f t="shared" ref="J60:J68" si="12">I60*$D$11</f>
        <v>17.271999999999998</v>
      </c>
      <c r="K60" s="204">
        <f t="shared" ref="K60:K68" si="13">J60/E60</f>
        <v>0.48790960451977389</v>
      </c>
      <c r="L60" s="195">
        <v>99</v>
      </c>
      <c r="M60" s="196">
        <f t="shared" ref="M60:M72" si="14">L60*$D$11</f>
        <v>25.146000000000001</v>
      </c>
      <c r="N60" s="202">
        <f t="shared" ref="N60:N72" si="15">M60/E60</f>
        <v>0.71033898305084742</v>
      </c>
    </row>
    <row r="61" spans="2:14">
      <c r="B61" s="200">
        <v>150</v>
      </c>
      <c r="C61" s="193">
        <v>0.15</v>
      </c>
      <c r="D61" s="193">
        <f t="shared" si="8"/>
        <v>5.85</v>
      </c>
      <c r="E61" s="194">
        <f t="shared" si="9"/>
        <v>35.099999999999994</v>
      </c>
      <c r="F61" s="195">
        <v>49</v>
      </c>
      <c r="G61" s="193">
        <f t="shared" si="10"/>
        <v>12.446</v>
      </c>
      <c r="H61" s="204">
        <f t="shared" si="11"/>
        <v>0.35458689458689463</v>
      </c>
      <c r="I61" s="195">
        <v>84</v>
      </c>
      <c r="J61" s="193">
        <f t="shared" si="12"/>
        <v>21.335999999999999</v>
      </c>
      <c r="K61" s="204">
        <f t="shared" si="13"/>
        <v>0.60786324786324797</v>
      </c>
      <c r="L61" s="195">
        <v>113</v>
      </c>
      <c r="M61" s="196">
        <f t="shared" si="14"/>
        <v>28.702000000000002</v>
      </c>
      <c r="N61" s="202">
        <f t="shared" si="15"/>
        <v>0.81772079772079787</v>
      </c>
    </row>
    <row r="62" spans="2:14">
      <c r="B62" s="200">
        <v>200</v>
      </c>
      <c r="C62" s="193">
        <v>0.2</v>
      </c>
      <c r="D62" s="193">
        <f t="shared" si="8"/>
        <v>5.8</v>
      </c>
      <c r="E62" s="194">
        <f t="shared" si="9"/>
        <v>34.799999999999997</v>
      </c>
      <c r="F62" s="195">
        <v>56</v>
      </c>
      <c r="G62" s="193">
        <f t="shared" si="10"/>
        <v>14.224</v>
      </c>
      <c r="H62" s="204">
        <f t="shared" si="11"/>
        <v>0.40873563218390807</v>
      </c>
      <c r="I62" s="195">
        <v>95</v>
      </c>
      <c r="J62" s="193">
        <f t="shared" si="12"/>
        <v>24.13</v>
      </c>
      <c r="K62" s="204">
        <f t="shared" si="13"/>
        <v>0.69339080459770119</v>
      </c>
      <c r="L62" s="195">
        <v>129</v>
      </c>
      <c r="M62" s="196">
        <f t="shared" si="14"/>
        <v>32.765999999999998</v>
      </c>
      <c r="N62" s="202">
        <f t="shared" si="15"/>
        <v>0.94155172413793109</v>
      </c>
    </row>
    <row r="63" spans="2:14">
      <c r="B63" s="200">
        <v>250</v>
      </c>
      <c r="C63" s="193">
        <v>0.25</v>
      </c>
      <c r="D63" s="193">
        <f t="shared" si="8"/>
        <v>5.75</v>
      </c>
      <c r="E63" s="194">
        <f t="shared" si="9"/>
        <v>34.5</v>
      </c>
      <c r="F63" s="195">
        <v>60</v>
      </c>
      <c r="G63" s="193">
        <f t="shared" si="10"/>
        <v>15.24</v>
      </c>
      <c r="H63" s="204">
        <f t="shared" si="11"/>
        <v>0.44173913043478263</v>
      </c>
      <c r="I63" s="195">
        <v>104</v>
      </c>
      <c r="J63" s="193">
        <f t="shared" si="12"/>
        <v>26.416</v>
      </c>
      <c r="K63" s="204">
        <f t="shared" si="13"/>
        <v>0.76568115942028991</v>
      </c>
      <c r="L63" s="195">
        <v>139</v>
      </c>
      <c r="M63" s="196">
        <f t="shared" si="14"/>
        <v>35.305999999999997</v>
      </c>
      <c r="N63" s="202">
        <f t="shared" si="15"/>
        <v>1.0233623188405796</v>
      </c>
    </row>
    <row r="64" spans="2:14">
      <c r="B64" s="200">
        <v>300</v>
      </c>
      <c r="C64" s="193">
        <v>0.3</v>
      </c>
      <c r="D64" s="193">
        <f t="shared" si="8"/>
        <v>5.7</v>
      </c>
      <c r="E64" s="194">
        <f t="shared" si="9"/>
        <v>34.200000000000003</v>
      </c>
      <c r="F64" s="195">
        <v>64</v>
      </c>
      <c r="G64" s="193">
        <f t="shared" si="10"/>
        <v>16.256</v>
      </c>
      <c r="H64" s="204">
        <f t="shared" si="11"/>
        <v>0.47532163742690053</v>
      </c>
      <c r="I64" s="195">
        <v>110</v>
      </c>
      <c r="J64" s="193">
        <f t="shared" si="12"/>
        <v>27.94</v>
      </c>
      <c r="K64" s="204">
        <f t="shared" si="13"/>
        <v>0.81695906432748533</v>
      </c>
      <c r="L64" s="195">
        <v>151</v>
      </c>
      <c r="M64" s="196">
        <f t="shared" si="14"/>
        <v>38.353999999999999</v>
      </c>
      <c r="N64" s="202">
        <f t="shared" si="15"/>
        <v>1.1214619883040935</v>
      </c>
    </row>
    <row r="65" spans="2:14">
      <c r="B65" s="200">
        <v>350</v>
      </c>
      <c r="C65" s="193">
        <v>0.35</v>
      </c>
      <c r="D65" s="193">
        <f t="shared" si="8"/>
        <v>5.65</v>
      </c>
      <c r="E65" s="194">
        <f t="shared" si="9"/>
        <v>33.900000000000006</v>
      </c>
      <c r="F65" s="195">
        <v>67</v>
      </c>
      <c r="G65" s="193">
        <f t="shared" si="10"/>
        <v>17.018000000000001</v>
      </c>
      <c r="H65" s="204">
        <f t="shared" si="11"/>
        <v>0.50200589970501464</v>
      </c>
      <c r="I65" s="195">
        <v>115</v>
      </c>
      <c r="J65" s="193">
        <f t="shared" si="12"/>
        <v>29.21</v>
      </c>
      <c r="K65" s="204">
        <f t="shared" si="13"/>
        <v>0.86165191740412972</v>
      </c>
      <c r="L65" s="195">
        <v>163</v>
      </c>
      <c r="M65" s="196">
        <f t="shared" si="14"/>
        <v>41.402000000000001</v>
      </c>
      <c r="N65" s="202">
        <f t="shared" si="15"/>
        <v>1.2212979351032447</v>
      </c>
    </row>
    <row r="66" spans="2:14">
      <c r="B66" s="200">
        <v>400</v>
      </c>
      <c r="C66" s="193">
        <v>0.4</v>
      </c>
      <c r="D66" s="193">
        <f t="shared" si="8"/>
        <v>5.6</v>
      </c>
      <c r="E66" s="194">
        <f t="shared" si="9"/>
        <v>33.599999999999994</v>
      </c>
      <c r="F66" s="195">
        <v>71</v>
      </c>
      <c r="G66" s="193">
        <f t="shared" si="10"/>
        <v>18.033999999999999</v>
      </c>
      <c r="H66" s="204">
        <f t="shared" si="11"/>
        <v>0.53672619047619052</v>
      </c>
      <c r="I66" s="195">
        <v>117</v>
      </c>
      <c r="J66" s="193">
        <f t="shared" si="12"/>
        <v>29.718</v>
      </c>
      <c r="K66" s="204">
        <f t="shared" si="13"/>
        <v>0.88446428571428581</v>
      </c>
      <c r="L66" s="195">
        <v>169</v>
      </c>
      <c r="M66" s="196">
        <f t="shared" si="14"/>
        <v>42.926000000000002</v>
      </c>
      <c r="N66" s="202">
        <f t="shared" si="15"/>
        <v>1.2775595238095241</v>
      </c>
    </row>
    <row r="67" spans="2:14">
      <c r="B67" s="200">
        <v>450</v>
      </c>
      <c r="C67" s="193">
        <v>0.45</v>
      </c>
      <c r="D67" s="193">
        <f t="shared" si="8"/>
        <v>5.55</v>
      </c>
      <c r="E67" s="194">
        <f t="shared" si="9"/>
        <v>33.299999999999997</v>
      </c>
      <c r="F67" s="195">
        <v>77</v>
      </c>
      <c r="G67" s="193">
        <f t="shared" si="10"/>
        <v>19.558</v>
      </c>
      <c r="H67" s="204">
        <f t="shared" si="11"/>
        <v>0.5873273273273274</v>
      </c>
      <c r="I67" s="195">
        <v>114</v>
      </c>
      <c r="J67" s="193">
        <f t="shared" si="12"/>
        <v>28.956</v>
      </c>
      <c r="K67" s="204">
        <f t="shared" si="13"/>
        <v>0.86954954954954966</v>
      </c>
      <c r="L67" s="195">
        <v>173</v>
      </c>
      <c r="M67" s="196">
        <f t="shared" si="14"/>
        <v>43.942</v>
      </c>
      <c r="N67" s="202">
        <f t="shared" si="15"/>
        <v>1.3195795795795797</v>
      </c>
    </row>
    <row r="68" spans="2:14">
      <c r="B68" s="200">
        <v>500</v>
      </c>
      <c r="C68" s="193">
        <v>0.5</v>
      </c>
      <c r="D68" s="193">
        <f t="shared" si="8"/>
        <v>5.5</v>
      </c>
      <c r="E68" s="194">
        <f t="shared" si="9"/>
        <v>33</v>
      </c>
      <c r="F68" s="195">
        <v>80</v>
      </c>
      <c r="G68" s="193">
        <f t="shared" si="10"/>
        <v>20.32</v>
      </c>
      <c r="H68" s="204">
        <f t="shared" si="11"/>
        <v>0.61575757575757573</v>
      </c>
      <c r="I68" s="195">
        <v>110</v>
      </c>
      <c r="J68" s="193">
        <f t="shared" si="12"/>
        <v>27.94</v>
      </c>
      <c r="K68" s="204">
        <f t="shared" si="13"/>
        <v>0.84666666666666668</v>
      </c>
      <c r="L68" s="195">
        <v>177</v>
      </c>
      <c r="M68" s="196">
        <f t="shared" si="14"/>
        <v>44.957999999999998</v>
      </c>
      <c r="N68" s="202">
        <f t="shared" si="15"/>
        <v>1.3623636363636362</v>
      </c>
    </row>
    <row r="69" spans="2:14">
      <c r="B69" s="200">
        <v>550</v>
      </c>
      <c r="C69" s="193">
        <v>0.55000000000000004</v>
      </c>
      <c r="D69" s="193">
        <f t="shared" si="8"/>
        <v>5.45</v>
      </c>
      <c r="E69" s="194">
        <f t="shared" si="9"/>
        <v>32.700000000000003</v>
      </c>
      <c r="F69" s="195">
        <v>84</v>
      </c>
      <c r="G69" s="193">
        <f t="shared" si="10"/>
        <v>21.335999999999999</v>
      </c>
      <c r="H69" s="204">
        <f t="shared" si="11"/>
        <v>0.65247706422018337</v>
      </c>
      <c r="I69" s="195" t="s">
        <v>202</v>
      </c>
      <c r="J69" s="196" t="s">
        <v>202</v>
      </c>
      <c r="K69" s="194" t="s">
        <v>202</v>
      </c>
      <c r="L69" s="195">
        <v>179</v>
      </c>
      <c r="M69" s="196">
        <f t="shared" si="14"/>
        <v>45.466000000000001</v>
      </c>
      <c r="N69" s="202">
        <f t="shared" si="15"/>
        <v>1.3903975535168194</v>
      </c>
    </row>
    <row r="70" spans="2:14">
      <c r="B70" s="200">
        <v>600</v>
      </c>
      <c r="C70" s="193">
        <v>0.6</v>
      </c>
      <c r="D70" s="193">
        <f t="shared" si="8"/>
        <v>5.4</v>
      </c>
      <c r="E70" s="194">
        <f t="shared" si="9"/>
        <v>32.400000000000006</v>
      </c>
      <c r="F70" s="195">
        <v>85</v>
      </c>
      <c r="G70" s="193">
        <f t="shared" si="10"/>
        <v>21.59</v>
      </c>
      <c r="H70" s="204">
        <f t="shared" si="11"/>
        <v>0.66635802469135785</v>
      </c>
      <c r="I70" s="195" t="s">
        <v>202</v>
      </c>
      <c r="J70" s="196" t="s">
        <v>202</v>
      </c>
      <c r="K70" s="194" t="s">
        <v>202</v>
      </c>
      <c r="L70" s="195">
        <v>179</v>
      </c>
      <c r="M70" s="196">
        <f t="shared" si="14"/>
        <v>45.466000000000001</v>
      </c>
      <c r="N70" s="202">
        <f t="shared" si="15"/>
        <v>1.4032716049382714</v>
      </c>
    </row>
    <row r="71" spans="2:14">
      <c r="B71" s="200">
        <v>650</v>
      </c>
      <c r="C71" s="193">
        <v>0.65</v>
      </c>
      <c r="D71" s="193">
        <f t="shared" si="8"/>
        <v>5.35</v>
      </c>
      <c r="E71" s="194">
        <f t="shared" si="9"/>
        <v>32.099999999999994</v>
      </c>
      <c r="F71" s="195">
        <v>86</v>
      </c>
      <c r="G71" s="193">
        <f t="shared" si="10"/>
        <v>21.844000000000001</v>
      </c>
      <c r="H71" s="204">
        <f t="shared" si="11"/>
        <v>0.68049844236760137</v>
      </c>
      <c r="I71" s="195" t="s">
        <v>202</v>
      </c>
      <c r="J71" s="196" t="s">
        <v>202</v>
      </c>
      <c r="K71" s="194" t="s">
        <v>202</v>
      </c>
      <c r="L71" s="195">
        <v>178</v>
      </c>
      <c r="M71" s="196">
        <f t="shared" si="14"/>
        <v>45.212000000000003</v>
      </c>
      <c r="N71" s="202">
        <f t="shared" si="15"/>
        <v>1.4084735202492216</v>
      </c>
    </row>
    <row r="72" spans="2:14" ht="15.75" thickBot="1">
      <c r="B72" s="208">
        <v>700</v>
      </c>
      <c r="C72" s="206">
        <v>0.7</v>
      </c>
      <c r="D72" s="206">
        <f t="shared" si="8"/>
        <v>5.3</v>
      </c>
      <c r="E72" s="209">
        <f t="shared" si="9"/>
        <v>31.799999999999997</v>
      </c>
      <c r="F72" s="205" t="s">
        <v>202</v>
      </c>
      <c r="G72" s="206" t="s">
        <v>202</v>
      </c>
      <c r="H72" s="209" t="s">
        <v>202</v>
      </c>
      <c r="I72" s="205" t="s">
        <v>202</v>
      </c>
      <c r="J72" s="210" t="s">
        <v>202</v>
      </c>
      <c r="K72" s="209" t="s">
        <v>202</v>
      </c>
      <c r="L72" s="205">
        <v>178</v>
      </c>
      <c r="M72" s="210">
        <f t="shared" si="14"/>
        <v>45.212000000000003</v>
      </c>
      <c r="N72" s="211">
        <f t="shared" si="15"/>
        <v>1.4217610062893085</v>
      </c>
    </row>
    <row r="73" spans="2:14" ht="16.5" thickBot="1">
      <c r="B73" s="185"/>
      <c r="C73" s="186"/>
      <c r="D73" s="186"/>
      <c r="E73" s="186"/>
      <c r="F73" s="187"/>
      <c r="G73" s="212" t="s">
        <v>188</v>
      </c>
      <c r="H73" s="213">
        <f>MAX(H59:H71)</f>
        <v>0.68049844236760137</v>
      </c>
      <c r="I73" s="214"/>
      <c r="J73" s="212" t="s">
        <v>188</v>
      </c>
      <c r="K73" s="213">
        <f>MAX(K59:K68)</f>
        <v>0.88446428571428581</v>
      </c>
      <c r="L73" s="214"/>
      <c r="M73" s="212" t="s">
        <v>188</v>
      </c>
      <c r="N73" s="213">
        <f>MAX(N59:N72)</f>
        <v>1.4217610062893085</v>
      </c>
    </row>
    <row r="75" spans="2:14" ht="15.75" thickBot="1"/>
    <row r="76" spans="2:14" ht="18.75">
      <c r="C76" s="172" t="s">
        <v>189</v>
      </c>
      <c r="D76" s="173" t="s">
        <v>190</v>
      </c>
      <c r="F76" s="217" t="s">
        <v>191</v>
      </c>
      <c r="G76" s="218">
        <v>0.74129999999999996</v>
      </c>
      <c r="H76" s="219"/>
    </row>
    <row r="77" spans="2:14">
      <c r="C77" s="130"/>
      <c r="D77" s="215"/>
      <c r="F77" s="220" t="s">
        <v>192</v>
      </c>
      <c r="G77" s="216">
        <f>DEGREES((ATAN(G76)))</f>
        <v>36.549540257557076</v>
      </c>
      <c r="H77" s="221"/>
    </row>
    <row r="78" spans="2:14" ht="15.75" thickBot="1">
      <c r="C78" s="130">
        <v>0.5</v>
      </c>
      <c r="D78" s="129">
        <f>H73</f>
        <v>0.68049844236760137</v>
      </c>
      <c r="F78" s="222" t="s">
        <v>152</v>
      </c>
      <c r="G78" s="223">
        <v>25.43</v>
      </c>
      <c r="H78" s="224" t="s">
        <v>205</v>
      </c>
    </row>
    <row r="79" spans="2:14">
      <c r="C79" s="130">
        <v>1</v>
      </c>
      <c r="D79" s="129">
        <f>K73</f>
        <v>0.88446428571428581</v>
      </c>
    </row>
    <row r="80" spans="2:14" ht="15.75" thickBot="1">
      <c r="C80" s="135">
        <v>1.5</v>
      </c>
      <c r="D80" s="134">
        <f>N73</f>
        <v>1.4217610062893085</v>
      </c>
    </row>
    <row r="84" spans="2:5" ht="21">
      <c r="B84" s="591" t="s">
        <v>204</v>
      </c>
      <c r="C84" s="591"/>
    </row>
    <row r="87" spans="2:5" ht="15.75" thickBot="1"/>
    <row r="88" spans="2:5" ht="19.5" thickBot="1">
      <c r="B88" s="578" t="s">
        <v>0</v>
      </c>
      <c r="C88" s="579"/>
      <c r="D88" s="579"/>
      <c r="E88" s="580"/>
    </row>
    <row r="89" spans="2:5" ht="16.5" thickBot="1">
      <c r="B89" s="581" t="s">
        <v>167</v>
      </c>
      <c r="C89" s="582"/>
      <c r="D89" s="582"/>
      <c r="E89" s="583"/>
    </row>
    <row r="90" spans="2:5" ht="15.75">
      <c r="B90" s="584" t="s">
        <v>193</v>
      </c>
      <c r="C90" s="585"/>
      <c r="D90" s="106">
        <v>6</v>
      </c>
      <c r="E90" s="107" t="s">
        <v>35</v>
      </c>
    </row>
    <row r="91" spans="2:5" ht="15.75">
      <c r="B91" s="586" t="s">
        <v>194</v>
      </c>
      <c r="C91" s="587"/>
      <c r="D91" s="108">
        <v>6</v>
      </c>
      <c r="E91" s="109" t="s">
        <v>35</v>
      </c>
    </row>
    <row r="92" spans="2:5" ht="15.75">
      <c r="B92" s="586" t="s">
        <v>134</v>
      </c>
      <c r="C92" s="587"/>
      <c r="D92" s="108">
        <v>2</v>
      </c>
      <c r="E92" s="109" t="s">
        <v>35</v>
      </c>
    </row>
    <row r="93" spans="2:5" ht="15.75">
      <c r="B93" s="588" t="s">
        <v>168</v>
      </c>
      <c r="C93" s="587"/>
      <c r="D93" s="110">
        <v>2.0150000000000001</v>
      </c>
      <c r="E93" s="109" t="s">
        <v>169</v>
      </c>
    </row>
    <row r="94" spans="2:5" ht="15.75">
      <c r="B94" s="586" t="s">
        <v>170</v>
      </c>
      <c r="C94" s="587"/>
      <c r="D94" s="108">
        <v>0.254</v>
      </c>
      <c r="E94" s="109" t="s">
        <v>129</v>
      </c>
    </row>
    <row r="95" spans="2:5" ht="15.75">
      <c r="B95" s="586" t="s">
        <v>171</v>
      </c>
      <c r="C95" s="587"/>
      <c r="D95" s="108">
        <v>0.125</v>
      </c>
      <c r="E95" s="109" t="s">
        <v>172</v>
      </c>
    </row>
    <row r="96" spans="2:5" ht="15.75">
      <c r="B96" s="586" t="s">
        <v>173</v>
      </c>
      <c r="C96" s="587"/>
      <c r="D96" s="108">
        <v>1E-3</v>
      </c>
      <c r="E96" s="109" t="s">
        <v>35</v>
      </c>
    </row>
    <row r="97" spans="2:14" ht="18.75">
      <c r="B97" s="586" t="s">
        <v>174</v>
      </c>
      <c r="C97" s="587"/>
      <c r="D97" s="111">
        <f>(D90*D91*D92)</f>
        <v>72</v>
      </c>
      <c r="E97" s="109" t="s">
        <v>175</v>
      </c>
    </row>
    <row r="98" spans="2:14" ht="15.75" thickBot="1">
      <c r="B98" s="589" t="s">
        <v>176</v>
      </c>
      <c r="C98" s="590"/>
      <c r="D98" s="112">
        <f>(D93*D97)</f>
        <v>145.08000000000001</v>
      </c>
      <c r="E98" s="113" t="s">
        <v>177</v>
      </c>
    </row>
    <row r="99" spans="2:14" ht="15.75" thickBot="1"/>
    <row r="100" spans="2:14" ht="16.5" thickBot="1">
      <c r="B100" s="573" t="s">
        <v>178</v>
      </c>
      <c r="C100" s="573" t="s">
        <v>198</v>
      </c>
      <c r="D100" s="575" t="s">
        <v>199</v>
      </c>
      <c r="E100" s="573" t="s">
        <v>201</v>
      </c>
      <c r="F100" s="577" t="s">
        <v>195</v>
      </c>
      <c r="G100" s="571"/>
      <c r="H100" s="572"/>
      <c r="I100" s="570" t="s">
        <v>196</v>
      </c>
      <c r="J100" s="571"/>
      <c r="K100" s="572"/>
      <c r="L100" s="570" t="s">
        <v>197</v>
      </c>
      <c r="M100" s="571"/>
      <c r="N100" s="572"/>
    </row>
    <row r="101" spans="2:14" ht="48" thickBot="1">
      <c r="B101" s="574"/>
      <c r="C101" s="574"/>
      <c r="D101" s="576"/>
      <c r="E101" s="574"/>
      <c r="F101" s="188" t="s">
        <v>185</v>
      </c>
      <c r="G101" s="188" t="s">
        <v>186</v>
      </c>
      <c r="H101" s="188" t="s">
        <v>187</v>
      </c>
      <c r="I101" s="188" t="s">
        <v>185</v>
      </c>
      <c r="J101" s="188" t="s">
        <v>186</v>
      </c>
      <c r="K101" s="188" t="s">
        <v>187</v>
      </c>
      <c r="L101" s="188" t="s">
        <v>185</v>
      </c>
      <c r="M101" s="188" t="s">
        <v>186</v>
      </c>
      <c r="N101" s="188" t="s">
        <v>187</v>
      </c>
    </row>
    <row r="102" spans="2:14">
      <c r="B102" s="199">
        <v>50</v>
      </c>
      <c r="C102" s="189">
        <v>0.05</v>
      </c>
      <c r="D102" s="189">
        <f>6-C102</f>
        <v>5.95</v>
      </c>
      <c r="E102" s="225">
        <f>D102*6</f>
        <v>35.700000000000003</v>
      </c>
      <c r="F102" s="191">
        <v>18</v>
      </c>
      <c r="G102" s="189">
        <f>F102*$D$11</f>
        <v>4.5720000000000001</v>
      </c>
      <c r="H102" s="203">
        <f>G102/E102</f>
        <v>0.12806722689075628</v>
      </c>
      <c r="I102" s="191">
        <v>31</v>
      </c>
      <c r="J102" s="189">
        <f>I102*$D$11</f>
        <v>7.8740000000000006</v>
      </c>
      <c r="K102" s="203">
        <f>J102/E102</f>
        <v>0.22056022408963585</v>
      </c>
      <c r="L102" s="191">
        <v>42</v>
      </c>
      <c r="M102" s="192">
        <f>L102*$D$11</f>
        <v>10.667999999999999</v>
      </c>
      <c r="N102" s="201">
        <f>M102/E102</f>
        <v>0.29882352941176465</v>
      </c>
    </row>
    <row r="103" spans="2:14">
      <c r="B103" s="200">
        <v>100</v>
      </c>
      <c r="C103" s="193">
        <v>0.1</v>
      </c>
      <c r="D103" s="193">
        <f t="shared" ref="D103:D125" si="16">6-C103</f>
        <v>5.9</v>
      </c>
      <c r="E103" s="226">
        <f t="shared" ref="E103:E125" si="17">D103*6</f>
        <v>35.400000000000006</v>
      </c>
      <c r="F103" s="195">
        <v>25</v>
      </c>
      <c r="G103" s="193">
        <f t="shared" ref="G103:G117" si="18">F103*$D$11</f>
        <v>6.35</v>
      </c>
      <c r="H103" s="204">
        <f t="shared" ref="H103:H117" si="19">G103/E103</f>
        <v>0.17937853107344628</v>
      </c>
      <c r="I103" s="195">
        <v>38</v>
      </c>
      <c r="J103" s="193">
        <f t="shared" ref="J103:J125" si="20">I103*$D$11</f>
        <v>9.652000000000001</v>
      </c>
      <c r="K103" s="204">
        <f t="shared" ref="K103:K125" si="21">J103/E103</f>
        <v>0.27265536723163841</v>
      </c>
      <c r="L103" s="195">
        <v>49</v>
      </c>
      <c r="M103" s="196">
        <f t="shared" ref="M103:M125" si="22">L103*$D$11</f>
        <v>12.446</v>
      </c>
      <c r="N103" s="202">
        <f t="shared" ref="N103:N125" si="23">M103/E103</f>
        <v>0.35158192090395474</v>
      </c>
    </row>
    <row r="104" spans="2:14">
      <c r="B104" s="200">
        <v>150</v>
      </c>
      <c r="C104" s="193">
        <v>0.15</v>
      </c>
      <c r="D104" s="193">
        <f t="shared" si="16"/>
        <v>5.85</v>
      </c>
      <c r="E104" s="226">
        <f t="shared" si="17"/>
        <v>35.099999999999994</v>
      </c>
      <c r="F104" s="195">
        <v>30</v>
      </c>
      <c r="G104" s="193">
        <f t="shared" si="18"/>
        <v>7.62</v>
      </c>
      <c r="H104" s="204">
        <f t="shared" si="19"/>
        <v>0.21709401709401713</v>
      </c>
      <c r="I104" s="195">
        <v>43</v>
      </c>
      <c r="J104" s="193">
        <f t="shared" si="20"/>
        <v>10.922000000000001</v>
      </c>
      <c r="K104" s="204">
        <f t="shared" si="21"/>
        <v>0.31116809116809124</v>
      </c>
      <c r="L104" s="195">
        <v>55</v>
      </c>
      <c r="M104" s="196">
        <f t="shared" si="22"/>
        <v>13.97</v>
      </c>
      <c r="N104" s="202">
        <f t="shared" si="23"/>
        <v>0.39800569800569807</v>
      </c>
    </row>
    <row r="105" spans="2:14">
      <c r="B105" s="200">
        <v>200</v>
      </c>
      <c r="C105" s="193">
        <v>0.2</v>
      </c>
      <c r="D105" s="193">
        <f t="shared" si="16"/>
        <v>5.8</v>
      </c>
      <c r="E105" s="226">
        <f t="shared" si="17"/>
        <v>34.799999999999997</v>
      </c>
      <c r="F105" s="195">
        <v>35</v>
      </c>
      <c r="G105" s="193">
        <f t="shared" si="18"/>
        <v>8.89</v>
      </c>
      <c r="H105" s="204">
        <f t="shared" si="19"/>
        <v>0.25545977011494259</v>
      </c>
      <c r="I105" s="195">
        <v>49</v>
      </c>
      <c r="J105" s="193">
        <f t="shared" si="20"/>
        <v>12.446</v>
      </c>
      <c r="K105" s="204">
        <f t="shared" si="21"/>
        <v>0.35764367816091958</v>
      </c>
      <c r="L105" s="195">
        <v>62</v>
      </c>
      <c r="M105" s="196">
        <f t="shared" si="22"/>
        <v>15.748000000000001</v>
      </c>
      <c r="N105" s="202">
        <f t="shared" si="23"/>
        <v>0.45252873563218399</v>
      </c>
    </row>
    <row r="106" spans="2:14">
      <c r="B106" s="200">
        <v>250</v>
      </c>
      <c r="C106" s="193">
        <v>0.25</v>
      </c>
      <c r="D106" s="193">
        <f t="shared" si="16"/>
        <v>5.75</v>
      </c>
      <c r="E106" s="226">
        <f t="shared" si="17"/>
        <v>34.5</v>
      </c>
      <c r="F106" s="195">
        <v>39</v>
      </c>
      <c r="G106" s="193">
        <f t="shared" si="18"/>
        <v>9.9060000000000006</v>
      </c>
      <c r="H106" s="204">
        <f t="shared" si="19"/>
        <v>0.28713043478260869</v>
      </c>
      <c r="I106" s="195">
        <v>55</v>
      </c>
      <c r="J106" s="193">
        <f t="shared" si="20"/>
        <v>13.97</v>
      </c>
      <c r="K106" s="204">
        <f t="shared" si="21"/>
        <v>0.4049275362318841</v>
      </c>
      <c r="L106" s="195">
        <v>69</v>
      </c>
      <c r="M106" s="196">
        <f t="shared" si="22"/>
        <v>17.526</v>
      </c>
      <c r="N106" s="202">
        <f t="shared" si="23"/>
        <v>0.50800000000000001</v>
      </c>
    </row>
    <row r="107" spans="2:14">
      <c r="B107" s="200">
        <v>300</v>
      </c>
      <c r="C107" s="193">
        <v>0.3</v>
      </c>
      <c r="D107" s="193">
        <f t="shared" si="16"/>
        <v>5.7</v>
      </c>
      <c r="E107" s="226">
        <f t="shared" si="17"/>
        <v>34.200000000000003</v>
      </c>
      <c r="F107" s="195">
        <v>41</v>
      </c>
      <c r="G107" s="193">
        <f t="shared" si="18"/>
        <v>10.414</v>
      </c>
      <c r="H107" s="204">
        <f t="shared" si="19"/>
        <v>0.30450292397660816</v>
      </c>
      <c r="I107" s="195">
        <v>61</v>
      </c>
      <c r="J107" s="193">
        <f t="shared" si="20"/>
        <v>15.494</v>
      </c>
      <c r="K107" s="204">
        <f t="shared" si="21"/>
        <v>0.45304093567251458</v>
      </c>
      <c r="L107" s="195">
        <v>74</v>
      </c>
      <c r="M107" s="196">
        <f t="shared" si="22"/>
        <v>18.795999999999999</v>
      </c>
      <c r="N107" s="202">
        <f t="shared" si="23"/>
        <v>0.54959064327485374</v>
      </c>
    </row>
    <row r="108" spans="2:14">
      <c r="B108" s="200">
        <v>350</v>
      </c>
      <c r="C108" s="193">
        <v>0.35</v>
      </c>
      <c r="D108" s="193">
        <f t="shared" si="16"/>
        <v>5.65</v>
      </c>
      <c r="E108" s="226">
        <f t="shared" si="17"/>
        <v>33.900000000000006</v>
      </c>
      <c r="F108" s="195">
        <v>43</v>
      </c>
      <c r="G108" s="193">
        <f t="shared" si="18"/>
        <v>10.922000000000001</v>
      </c>
      <c r="H108" s="204">
        <f t="shared" si="19"/>
        <v>0.3221828908554572</v>
      </c>
      <c r="I108" s="195">
        <v>64</v>
      </c>
      <c r="J108" s="193">
        <f t="shared" si="20"/>
        <v>16.256</v>
      </c>
      <c r="K108" s="204">
        <f t="shared" si="21"/>
        <v>0.47952802359881996</v>
      </c>
      <c r="L108" s="195">
        <v>77</v>
      </c>
      <c r="M108" s="196">
        <f t="shared" si="22"/>
        <v>19.558</v>
      </c>
      <c r="N108" s="202">
        <f t="shared" si="23"/>
        <v>0.57693215339233028</v>
      </c>
    </row>
    <row r="109" spans="2:14">
      <c r="B109" s="200">
        <v>400</v>
      </c>
      <c r="C109" s="193">
        <v>0.4</v>
      </c>
      <c r="D109" s="193">
        <f t="shared" si="16"/>
        <v>5.6</v>
      </c>
      <c r="E109" s="226">
        <f t="shared" si="17"/>
        <v>33.599999999999994</v>
      </c>
      <c r="F109" s="195">
        <v>45</v>
      </c>
      <c r="G109" s="193">
        <f t="shared" si="18"/>
        <v>11.43</v>
      </c>
      <c r="H109" s="204">
        <f t="shared" si="19"/>
        <v>0.3401785714285715</v>
      </c>
      <c r="I109" s="195">
        <v>69</v>
      </c>
      <c r="J109" s="193">
        <f t="shared" si="20"/>
        <v>17.526</v>
      </c>
      <c r="K109" s="204">
        <f t="shared" si="21"/>
        <v>0.52160714285714294</v>
      </c>
      <c r="L109" s="195">
        <v>81</v>
      </c>
      <c r="M109" s="196">
        <f t="shared" si="22"/>
        <v>20.574000000000002</v>
      </c>
      <c r="N109" s="202">
        <f t="shared" si="23"/>
        <v>0.61232142857142868</v>
      </c>
    </row>
    <row r="110" spans="2:14">
      <c r="B110" s="200">
        <v>450</v>
      </c>
      <c r="C110" s="193">
        <v>0.45</v>
      </c>
      <c r="D110" s="193">
        <f t="shared" si="16"/>
        <v>5.55</v>
      </c>
      <c r="E110" s="226">
        <f t="shared" si="17"/>
        <v>33.299999999999997</v>
      </c>
      <c r="F110" s="195">
        <v>46</v>
      </c>
      <c r="G110" s="193">
        <f t="shared" si="18"/>
        <v>11.684000000000001</v>
      </c>
      <c r="H110" s="204">
        <f t="shared" si="19"/>
        <v>0.35087087087087093</v>
      </c>
      <c r="I110" s="195">
        <v>74</v>
      </c>
      <c r="J110" s="193">
        <f t="shared" si="20"/>
        <v>18.795999999999999</v>
      </c>
      <c r="K110" s="204">
        <f t="shared" si="21"/>
        <v>0.56444444444444453</v>
      </c>
      <c r="L110" s="195">
        <v>85</v>
      </c>
      <c r="M110" s="196">
        <f t="shared" si="22"/>
        <v>21.59</v>
      </c>
      <c r="N110" s="202">
        <f t="shared" si="23"/>
        <v>0.64834834834834842</v>
      </c>
    </row>
    <row r="111" spans="2:14">
      <c r="B111" s="200">
        <v>500</v>
      </c>
      <c r="C111" s="193">
        <v>0.5</v>
      </c>
      <c r="D111" s="193">
        <f t="shared" si="16"/>
        <v>5.5</v>
      </c>
      <c r="E111" s="226">
        <f t="shared" si="17"/>
        <v>33</v>
      </c>
      <c r="F111" s="195">
        <v>48</v>
      </c>
      <c r="G111" s="193">
        <f t="shared" si="18"/>
        <v>12.192</v>
      </c>
      <c r="H111" s="204">
        <f t="shared" si="19"/>
        <v>0.36945454545454548</v>
      </c>
      <c r="I111" s="195">
        <v>78</v>
      </c>
      <c r="J111" s="193">
        <f t="shared" si="20"/>
        <v>19.812000000000001</v>
      </c>
      <c r="K111" s="204">
        <f t="shared" si="21"/>
        <v>0.60036363636363643</v>
      </c>
      <c r="L111" s="195">
        <v>89</v>
      </c>
      <c r="M111" s="196">
        <f t="shared" si="22"/>
        <v>22.606000000000002</v>
      </c>
      <c r="N111" s="202">
        <f t="shared" si="23"/>
        <v>0.6850303030303031</v>
      </c>
    </row>
    <row r="112" spans="2:14">
      <c r="B112" s="200">
        <v>550</v>
      </c>
      <c r="C112" s="193">
        <v>0.55000000000000004</v>
      </c>
      <c r="D112" s="193">
        <f t="shared" si="16"/>
        <v>5.45</v>
      </c>
      <c r="E112" s="226">
        <f t="shared" si="17"/>
        <v>32.700000000000003</v>
      </c>
      <c r="F112" s="195">
        <v>49</v>
      </c>
      <c r="G112" s="193">
        <f t="shared" si="18"/>
        <v>12.446</v>
      </c>
      <c r="H112" s="204">
        <f t="shared" si="19"/>
        <v>0.38061162079510702</v>
      </c>
      <c r="I112" s="195">
        <v>83</v>
      </c>
      <c r="J112" s="193">
        <f t="shared" si="20"/>
        <v>21.082000000000001</v>
      </c>
      <c r="K112" s="204">
        <f t="shared" si="21"/>
        <v>0.6447094801223241</v>
      </c>
      <c r="L112" s="195">
        <v>93</v>
      </c>
      <c r="M112" s="196">
        <f t="shared" si="22"/>
        <v>23.622</v>
      </c>
      <c r="N112" s="202">
        <f t="shared" si="23"/>
        <v>0.72238532110091735</v>
      </c>
    </row>
    <row r="113" spans="2:14">
      <c r="B113" s="200">
        <v>600</v>
      </c>
      <c r="C113" s="193">
        <v>0.6</v>
      </c>
      <c r="D113" s="193">
        <f t="shared" si="16"/>
        <v>5.4</v>
      </c>
      <c r="E113" s="226">
        <f t="shared" si="17"/>
        <v>32.400000000000006</v>
      </c>
      <c r="F113" s="195">
        <v>50</v>
      </c>
      <c r="G113" s="193">
        <f t="shared" si="18"/>
        <v>12.7</v>
      </c>
      <c r="H113" s="204">
        <f t="shared" si="19"/>
        <v>0.39197530864197522</v>
      </c>
      <c r="I113" s="195">
        <v>87</v>
      </c>
      <c r="J113" s="193">
        <f t="shared" si="20"/>
        <v>22.097999999999999</v>
      </c>
      <c r="K113" s="204">
        <f t="shared" si="21"/>
        <v>0.68203703703703689</v>
      </c>
      <c r="L113" s="195">
        <v>97</v>
      </c>
      <c r="M113" s="196">
        <f t="shared" si="22"/>
        <v>24.638000000000002</v>
      </c>
      <c r="N113" s="202">
        <f t="shared" si="23"/>
        <v>0.76043209876543205</v>
      </c>
    </row>
    <row r="114" spans="2:14">
      <c r="B114" s="200">
        <v>650</v>
      </c>
      <c r="C114" s="193">
        <v>0.65</v>
      </c>
      <c r="D114" s="193">
        <f t="shared" si="16"/>
        <v>5.35</v>
      </c>
      <c r="E114" s="226">
        <f t="shared" si="17"/>
        <v>32.099999999999994</v>
      </c>
      <c r="F114" s="195">
        <v>51</v>
      </c>
      <c r="G114" s="193">
        <f t="shared" si="18"/>
        <v>12.954000000000001</v>
      </c>
      <c r="H114" s="204">
        <f t="shared" si="19"/>
        <v>0.40355140186915894</v>
      </c>
      <c r="I114" s="195">
        <v>91</v>
      </c>
      <c r="J114" s="193">
        <f t="shared" si="20"/>
        <v>23.114000000000001</v>
      </c>
      <c r="K114" s="204">
        <f t="shared" si="21"/>
        <v>0.72006230529595028</v>
      </c>
      <c r="L114" s="195">
        <v>101</v>
      </c>
      <c r="M114" s="196">
        <f t="shared" si="22"/>
        <v>25.654</v>
      </c>
      <c r="N114" s="202">
        <f t="shared" si="23"/>
        <v>0.79919003115264808</v>
      </c>
    </row>
    <row r="115" spans="2:14">
      <c r="B115" s="200">
        <v>700</v>
      </c>
      <c r="C115" s="193">
        <v>0.7</v>
      </c>
      <c r="D115" s="193">
        <f t="shared" si="16"/>
        <v>5.3</v>
      </c>
      <c r="E115" s="226">
        <f t="shared" si="17"/>
        <v>31.799999999999997</v>
      </c>
      <c r="F115" s="205">
        <v>52</v>
      </c>
      <c r="G115" s="206">
        <f t="shared" si="18"/>
        <v>13.208</v>
      </c>
      <c r="H115" s="207">
        <f t="shared" si="19"/>
        <v>0.41534591194968556</v>
      </c>
      <c r="I115" s="205">
        <v>93</v>
      </c>
      <c r="J115" s="193">
        <f t="shared" si="20"/>
        <v>23.622</v>
      </c>
      <c r="K115" s="204">
        <f t="shared" si="21"/>
        <v>0.74283018867924533</v>
      </c>
      <c r="L115" s="205">
        <v>105</v>
      </c>
      <c r="M115" s="210">
        <f t="shared" si="22"/>
        <v>26.67</v>
      </c>
      <c r="N115" s="211">
        <f t="shared" si="23"/>
        <v>0.83867924528301896</v>
      </c>
    </row>
    <row r="116" spans="2:14">
      <c r="B116" s="200">
        <v>750</v>
      </c>
      <c r="C116" s="193">
        <v>0.75</v>
      </c>
      <c r="D116" s="193">
        <f t="shared" si="16"/>
        <v>5.25</v>
      </c>
      <c r="E116" s="226">
        <f t="shared" si="17"/>
        <v>31.5</v>
      </c>
      <c r="F116" s="205">
        <v>52</v>
      </c>
      <c r="G116" s="206">
        <f t="shared" si="18"/>
        <v>13.208</v>
      </c>
      <c r="H116" s="207">
        <f t="shared" si="19"/>
        <v>0.41930158730158729</v>
      </c>
      <c r="I116" s="205">
        <v>95</v>
      </c>
      <c r="J116" s="193">
        <f t="shared" si="20"/>
        <v>24.13</v>
      </c>
      <c r="K116" s="204">
        <f t="shared" si="21"/>
        <v>0.76603174603174595</v>
      </c>
      <c r="L116" s="205">
        <v>109</v>
      </c>
      <c r="M116" s="210">
        <f t="shared" si="22"/>
        <v>27.686</v>
      </c>
      <c r="N116" s="211">
        <f t="shared" si="23"/>
        <v>0.87892063492063488</v>
      </c>
    </row>
    <row r="117" spans="2:14">
      <c r="B117" s="200">
        <v>800</v>
      </c>
      <c r="C117" s="193">
        <v>0.8</v>
      </c>
      <c r="D117" s="193">
        <f t="shared" si="16"/>
        <v>5.2</v>
      </c>
      <c r="E117" s="226">
        <f t="shared" si="17"/>
        <v>31.200000000000003</v>
      </c>
      <c r="F117" s="205">
        <v>52</v>
      </c>
      <c r="G117" s="206">
        <f t="shared" si="18"/>
        <v>13.208</v>
      </c>
      <c r="H117" s="207">
        <f t="shared" si="19"/>
        <v>0.42333333333333328</v>
      </c>
      <c r="I117" s="205">
        <v>98</v>
      </c>
      <c r="J117" s="193">
        <f t="shared" si="20"/>
        <v>24.891999999999999</v>
      </c>
      <c r="K117" s="204">
        <f t="shared" si="21"/>
        <v>0.7978205128205127</v>
      </c>
      <c r="L117" s="205">
        <v>113</v>
      </c>
      <c r="M117" s="210">
        <f t="shared" si="22"/>
        <v>28.702000000000002</v>
      </c>
      <c r="N117" s="211">
        <f t="shared" si="23"/>
        <v>0.91993589743589743</v>
      </c>
    </row>
    <row r="118" spans="2:14">
      <c r="B118" s="200">
        <v>850</v>
      </c>
      <c r="C118" s="193">
        <v>0.85</v>
      </c>
      <c r="D118" s="193">
        <f t="shared" si="16"/>
        <v>5.15</v>
      </c>
      <c r="E118" s="226">
        <f t="shared" si="17"/>
        <v>30.900000000000002</v>
      </c>
      <c r="F118" s="205"/>
      <c r="G118" s="206"/>
      <c r="H118" s="207"/>
      <c r="I118" s="205">
        <v>98</v>
      </c>
      <c r="J118" s="193">
        <f t="shared" si="20"/>
        <v>24.891999999999999</v>
      </c>
      <c r="K118" s="204">
        <f t="shared" si="21"/>
        <v>0.80556634304207109</v>
      </c>
      <c r="L118" s="205">
        <v>117</v>
      </c>
      <c r="M118" s="210">
        <f t="shared" si="22"/>
        <v>29.718</v>
      </c>
      <c r="N118" s="211">
        <f t="shared" si="23"/>
        <v>0.96174757281553391</v>
      </c>
    </row>
    <row r="119" spans="2:14">
      <c r="B119" s="200">
        <v>900</v>
      </c>
      <c r="C119" s="193">
        <v>0.9</v>
      </c>
      <c r="D119" s="193">
        <f t="shared" si="16"/>
        <v>5.0999999999999996</v>
      </c>
      <c r="E119" s="226">
        <f t="shared" si="17"/>
        <v>30.599999999999998</v>
      </c>
      <c r="F119" s="205"/>
      <c r="G119" s="206"/>
      <c r="H119" s="207"/>
      <c r="I119" s="205">
        <v>99</v>
      </c>
      <c r="J119" s="193">
        <f t="shared" si="20"/>
        <v>25.146000000000001</v>
      </c>
      <c r="K119" s="204">
        <f t="shared" si="21"/>
        <v>0.82176470588235306</v>
      </c>
      <c r="L119" s="205">
        <v>119</v>
      </c>
      <c r="M119" s="210">
        <f t="shared" si="22"/>
        <v>30.225999999999999</v>
      </c>
      <c r="N119" s="211">
        <f t="shared" si="23"/>
        <v>0.98777777777777787</v>
      </c>
    </row>
    <row r="120" spans="2:14">
      <c r="B120" s="200">
        <v>950</v>
      </c>
      <c r="C120" s="193">
        <v>0.94999999999999896</v>
      </c>
      <c r="D120" s="193">
        <f t="shared" si="16"/>
        <v>5.0500000000000007</v>
      </c>
      <c r="E120" s="226">
        <f t="shared" si="17"/>
        <v>30.300000000000004</v>
      </c>
      <c r="F120" s="205"/>
      <c r="G120" s="206"/>
      <c r="H120" s="207"/>
      <c r="I120" s="205">
        <v>101</v>
      </c>
      <c r="J120" s="193">
        <f t="shared" si="20"/>
        <v>25.654</v>
      </c>
      <c r="K120" s="204">
        <f t="shared" si="21"/>
        <v>0.84666666666666657</v>
      </c>
      <c r="L120" s="205">
        <v>120</v>
      </c>
      <c r="M120" s="210">
        <f t="shared" si="22"/>
        <v>30.48</v>
      </c>
      <c r="N120" s="211">
        <f t="shared" si="23"/>
        <v>1.0059405940594057</v>
      </c>
    </row>
    <row r="121" spans="2:14">
      <c r="B121" s="200">
        <v>1000</v>
      </c>
      <c r="C121" s="193">
        <v>0.999999999999999</v>
      </c>
      <c r="D121" s="193">
        <f t="shared" si="16"/>
        <v>5.0000000000000009</v>
      </c>
      <c r="E121" s="226">
        <f t="shared" si="17"/>
        <v>30.000000000000007</v>
      </c>
      <c r="F121" s="205"/>
      <c r="G121" s="206"/>
      <c r="H121" s="207"/>
      <c r="I121" s="205">
        <v>102</v>
      </c>
      <c r="J121" s="193">
        <f t="shared" si="20"/>
        <v>25.908000000000001</v>
      </c>
      <c r="K121" s="204">
        <f t="shared" si="21"/>
        <v>0.86359999999999981</v>
      </c>
      <c r="L121" s="205">
        <v>121</v>
      </c>
      <c r="M121" s="210">
        <f t="shared" si="22"/>
        <v>30.734000000000002</v>
      </c>
      <c r="N121" s="211">
        <f t="shared" si="23"/>
        <v>1.0244666666666664</v>
      </c>
    </row>
    <row r="122" spans="2:14">
      <c r="B122" s="200">
        <v>1050</v>
      </c>
      <c r="C122" s="193">
        <v>1.05</v>
      </c>
      <c r="D122" s="193">
        <f t="shared" si="16"/>
        <v>4.95</v>
      </c>
      <c r="E122" s="226">
        <f t="shared" si="17"/>
        <v>29.700000000000003</v>
      </c>
      <c r="F122" s="205"/>
      <c r="G122" s="206"/>
      <c r="H122" s="207"/>
      <c r="I122" s="205">
        <v>103</v>
      </c>
      <c r="J122" s="193">
        <f t="shared" si="20"/>
        <v>26.161999999999999</v>
      </c>
      <c r="K122" s="204">
        <f t="shared" si="21"/>
        <v>0.88087542087542081</v>
      </c>
      <c r="L122" s="205">
        <v>122</v>
      </c>
      <c r="M122" s="210">
        <f t="shared" si="22"/>
        <v>30.988</v>
      </c>
      <c r="N122" s="211">
        <f t="shared" si="23"/>
        <v>1.0433670033670033</v>
      </c>
    </row>
    <row r="123" spans="2:14">
      <c r="B123" s="200">
        <v>1100</v>
      </c>
      <c r="C123" s="193">
        <v>1.1000000000000001</v>
      </c>
      <c r="D123" s="193">
        <f t="shared" si="16"/>
        <v>4.9000000000000004</v>
      </c>
      <c r="E123" s="226">
        <f t="shared" si="17"/>
        <v>29.400000000000002</v>
      </c>
      <c r="F123" s="205"/>
      <c r="G123" s="206"/>
      <c r="H123" s="207"/>
      <c r="I123" s="205">
        <v>105</v>
      </c>
      <c r="J123" s="193">
        <f t="shared" si="20"/>
        <v>26.67</v>
      </c>
      <c r="K123" s="204">
        <f t="shared" si="21"/>
        <v>0.90714285714285714</v>
      </c>
      <c r="L123" s="205">
        <v>122</v>
      </c>
      <c r="M123" s="210">
        <f t="shared" si="22"/>
        <v>30.988</v>
      </c>
      <c r="N123" s="211">
        <f t="shared" si="23"/>
        <v>1.0540136054421767</v>
      </c>
    </row>
    <row r="124" spans="2:14">
      <c r="B124" s="200">
        <v>1150</v>
      </c>
      <c r="C124" s="193">
        <v>1.1499999999999999</v>
      </c>
      <c r="D124" s="193">
        <f t="shared" si="16"/>
        <v>4.8499999999999996</v>
      </c>
      <c r="E124" s="226">
        <f t="shared" si="17"/>
        <v>29.099999999999998</v>
      </c>
      <c r="F124" s="205"/>
      <c r="G124" s="206"/>
      <c r="H124" s="207"/>
      <c r="I124" s="205">
        <v>105</v>
      </c>
      <c r="J124" s="193">
        <f t="shared" si="20"/>
        <v>26.67</v>
      </c>
      <c r="K124" s="204">
        <f t="shared" si="21"/>
        <v>0.91649484536082482</v>
      </c>
      <c r="L124" s="205">
        <v>123</v>
      </c>
      <c r="M124" s="210">
        <f t="shared" si="22"/>
        <v>31.242000000000001</v>
      </c>
      <c r="N124" s="211">
        <f t="shared" si="23"/>
        <v>1.0736082474226805</v>
      </c>
    </row>
    <row r="125" spans="2:14" ht="15.75" thickBot="1">
      <c r="B125" s="200">
        <v>1200</v>
      </c>
      <c r="C125" s="193">
        <v>1.2</v>
      </c>
      <c r="D125" s="193">
        <f t="shared" si="16"/>
        <v>4.8</v>
      </c>
      <c r="E125" s="226">
        <f t="shared" si="17"/>
        <v>28.799999999999997</v>
      </c>
      <c r="F125" s="205" t="s">
        <v>202</v>
      </c>
      <c r="G125" s="206" t="s">
        <v>202</v>
      </c>
      <c r="H125" s="209" t="s">
        <v>202</v>
      </c>
      <c r="I125" s="205">
        <v>105</v>
      </c>
      <c r="J125" s="193">
        <f t="shared" si="20"/>
        <v>26.67</v>
      </c>
      <c r="K125" s="204">
        <f t="shared" si="21"/>
        <v>0.92604166666666676</v>
      </c>
      <c r="L125" s="205">
        <v>123</v>
      </c>
      <c r="M125" s="210">
        <f t="shared" si="22"/>
        <v>31.242000000000001</v>
      </c>
      <c r="N125" s="211">
        <f t="shared" si="23"/>
        <v>1.0847916666666668</v>
      </c>
    </row>
    <row r="126" spans="2:14" ht="16.5" thickBot="1">
      <c r="B126" s="185"/>
      <c r="C126" s="186"/>
      <c r="D126" s="186"/>
      <c r="E126" s="186"/>
      <c r="F126" s="187"/>
      <c r="G126" s="212" t="s">
        <v>188</v>
      </c>
      <c r="H126" s="213">
        <f>MAX(H102:H114)</f>
        <v>0.40355140186915894</v>
      </c>
      <c r="I126" s="214"/>
      <c r="J126" s="212" t="s">
        <v>188</v>
      </c>
      <c r="K126" s="213">
        <f>MAX(K102:K111)</f>
        <v>0.60036363636363643</v>
      </c>
      <c r="L126" s="214"/>
      <c r="M126" s="212" t="s">
        <v>188</v>
      </c>
      <c r="N126" s="213">
        <f>MAX(N102:N125)</f>
        <v>1.0847916666666668</v>
      </c>
    </row>
    <row r="128" spans="2:14" ht="15.75" thickBot="1"/>
    <row r="129" spans="3:8" ht="18.75">
      <c r="C129" s="172" t="s">
        <v>189</v>
      </c>
      <c r="D129" s="173" t="s">
        <v>190</v>
      </c>
      <c r="F129" s="217" t="s">
        <v>191</v>
      </c>
      <c r="G129" s="218">
        <v>0.68120000000000003</v>
      </c>
      <c r="H129" s="219"/>
    </row>
    <row r="130" spans="3:8">
      <c r="C130" s="130"/>
      <c r="D130" s="215"/>
      <c r="F130" s="220" t="s">
        <v>192</v>
      </c>
      <c r="G130" s="216">
        <f>DEGREES((ATAN(G129)))</f>
        <v>34.262691039065849</v>
      </c>
      <c r="H130" s="221"/>
    </row>
    <row r="131" spans="3:8" ht="15.75" thickBot="1">
      <c r="C131" s="130">
        <v>0.5</v>
      </c>
      <c r="D131" s="129">
        <f>H126</f>
        <v>0.40355140186915894</v>
      </c>
      <c r="F131" s="222" t="s">
        <v>152</v>
      </c>
      <c r="G131" s="223">
        <v>1.5</v>
      </c>
      <c r="H131" s="224" t="s">
        <v>205</v>
      </c>
    </row>
    <row r="132" spans="3:8">
      <c r="C132" s="130">
        <v>1</v>
      </c>
      <c r="D132" s="129">
        <f>K126</f>
        <v>0.60036363636363643</v>
      </c>
    </row>
    <row r="133" spans="3:8" ht="15.75" thickBot="1">
      <c r="C133" s="135">
        <v>1.5</v>
      </c>
      <c r="D133" s="134">
        <f>N126</f>
        <v>1.0847916666666668</v>
      </c>
    </row>
  </sheetData>
  <mergeCells count="57">
    <mergeCell ref="E100:E101"/>
    <mergeCell ref="F100:H100"/>
    <mergeCell ref="I100:K100"/>
    <mergeCell ref="L100:N100"/>
    <mergeCell ref="B97:C97"/>
    <mergeCell ref="B98:C98"/>
    <mergeCell ref="B100:B101"/>
    <mergeCell ref="C100:C101"/>
    <mergeCell ref="D100:D101"/>
    <mergeCell ref="B92:C92"/>
    <mergeCell ref="B93:C93"/>
    <mergeCell ref="B94:C94"/>
    <mergeCell ref="B95:C95"/>
    <mergeCell ref="B96:C96"/>
    <mergeCell ref="B84:C84"/>
    <mergeCell ref="B88:E88"/>
    <mergeCell ref="B89:E89"/>
    <mergeCell ref="B90:C90"/>
    <mergeCell ref="B91:C91"/>
    <mergeCell ref="E57:E58"/>
    <mergeCell ref="F57:H57"/>
    <mergeCell ref="I57:K57"/>
    <mergeCell ref="L57:N57"/>
    <mergeCell ref="B2:C2"/>
    <mergeCell ref="B42:C42"/>
    <mergeCell ref="B54:C54"/>
    <mergeCell ref="B55:C55"/>
    <mergeCell ref="B57:B58"/>
    <mergeCell ref="C57:C58"/>
    <mergeCell ref="D57:D58"/>
    <mergeCell ref="B49:C49"/>
    <mergeCell ref="B50:C50"/>
    <mergeCell ref="B51:C51"/>
    <mergeCell ref="B52:C52"/>
    <mergeCell ref="B53:C53"/>
    <mergeCell ref="B15:C15"/>
    <mergeCell ref="B45:E45"/>
    <mergeCell ref="B46:E46"/>
    <mergeCell ref="B47:C47"/>
    <mergeCell ref="B48:C48"/>
    <mergeCell ref="B10:C10"/>
    <mergeCell ref="B11:C11"/>
    <mergeCell ref="B12:C12"/>
    <mergeCell ref="B13:C13"/>
    <mergeCell ref="B14:C14"/>
    <mergeCell ref="B5:E5"/>
    <mergeCell ref="B6:E6"/>
    <mergeCell ref="B7:C7"/>
    <mergeCell ref="B8:C8"/>
    <mergeCell ref="B9:C9"/>
    <mergeCell ref="L17:N17"/>
    <mergeCell ref="B17:B18"/>
    <mergeCell ref="C17:C18"/>
    <mergeCell ref="D17:D18"/>
    <mergeCell ref="E17:E18"/>
    <mergeCell ref="F17:H17"/>
    <mergeCell ref="I17:K17"/>
  </mergeCells>
  <pageMargins left="0.7" right="0.7" top="0.75" bottom="0.75" header="0.3" footer="0.3"/>
  <pageSetup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45"/>
  <sheetViews>
    <sheetView zoomScale="70" zoomScaleNormal="70" workbookViewId="0">
      <selection activeCell="H23" sqref="H23:H24"/>
    </sheetView>
  </sheetViews>
  <sheetFormatPr defaultRowHeight="15"/>
  <cols>
    <col min="1" max="1" width="9.140625" style="184"/>
    <col min="2" max="2" width="10.140625" style="184" customWidth="1"/>
    <col min="3" max="3" width="22.85546875" style="184" customWidth="1"/>
    <col min="4" max="4" width="21.7109375" style="184" bestFit="1" customWidth="1"/>
    <col min="5" max="5" width="14.140625" style="184" customWidth="1"/>
    <col min="6" max="6" width="21.7109375" style="184" bestFit="1" customWidth="1"/>
    <col min="7" max="7" width="16" style="184" customWidth="1"/>
    <col min="8" max="8" width="21.7109375" style="184" bestFit="1" customWidth="1"/>
    <col min="9" max="9" width="16.140625" style="184" customWidth="1"/>
    <col min="10" max="10" width="10.140625" style="184" customWidth="1"/>
    <col min="11" max="16384" width="9.140625" style="184"/>
  </cols>
  <sheetData>
    <row r="2" spans="2:12">
      <c r="C2" s="227" t="s">
        <v>207</v>
      </c>
      <c r="D2" s="3"/>
      <c r="E2" s="3"/>
      <c r="F2" s="228">
        <v>0.254</v>
      </c>
    </row>
    <row r="3" spans="2:12">
      <c r="C3" s="228" t="s">
        <v>208</v>
      </c>
      <c r="F3" s="228">
        <v>1370</v>
      </c>
      <c r="G3" s="184" t="s">
        <v>220</v>
      </c>
    </row>
    <row r="4" spans="2:12">
      <c r="C4" s="228" t="s">
        <v>209</v>
      </c>
      <c r="F4" s="228">
        <v>2055</v>
      </c>
      <c r="G4" s="184" t="s">
        <v>220</v>
      </c>
    </row>
    <row r="5" spans="2:12" ht="15.75" thickBot="1"/>
    <row r="6" spans="2:12" ht="16.5" thickBot="1">
      <c r="B6" s="229"/>
      <c r="C6" s="592" t="s">
        <v>215</v>
      </c>
      <c r="D6" s="593"/>
      <c r="E6" s="593"/>
      <c r="F6" s="593"/>
      <c r="G6" s="593"/>
      <c r="H6" s="593"/>
      <c r="I6" s="594"/>
    </row>
    <row r="7" spans="2:12" ht="16.5" customHeight="1" thickBot="1">
      <c r="B7" s="229"/>
      <c r="C7" s="230" t="s">
        <v>210</v>
      </c>
      <c r="D7" s="231" t="s">
        <v>213</v>
      </c>
      <c r="E7" s="232" t="s">
        <v>211</v>
      </c>
      <c r="F7" s="231" t="s">
        <v>212</v>
      </c>
      <c r="G7" s="232" t="s">
        <v>211</v>
      </c>
      <c r="H7" s="231" t="s">
        <v>214</v>
      </c>
      <c r="I7" s="232" t="s">
        <v>211</v>
      </c>
    </row>
    <row r="8" spans="2:12" ht="15.75">
      <c r="B8" s="229"/>
      <c r="C8" s="268">
        <v>0</v>
      </c>
      <c r="D8" s="280">
        <v>0</v>
      </c>
      <c r="E8" s="271">
        <f>D8*$F$2</f>
        <v>0</v>
      </c>
      <c r="F8" s="242">
        <v>0</v>
      </c>
      <c r="G8" s="274">
        <f>F8*$F$2</f>
        <v>0</v>
      </c>
      <c r="H8" s="242"/>
      <c r="I8" s="277"/>
    </row>
    <row r="9" spans="2:12" ht="15.75">
      <c r="B9" s="229"/>
      <c r="C9" s="269">
        <v>0.5</v>
      </c>
      <c r="D9" s="281">
        <v>57</v>
      </c>
      <c r="E9" s="272">
        <f t="shared" ref="E9:E20" si="0">D9*$F$2</f>
        <v>14.478</v>
      </c>
      <c r="F9" s="243">
        <v>33</v>
      </c>
      <c r="G9" s="275">
        <f t="shared" ref="G9:G20" si="1">F9*$F$2</f>
        <v>8.3819999999999997</v>
      </c>
      <c r="H9" s="243"/>
      <c r="I9" s="278"/>
    </row>
    <row r="10" spans="2:12" ht="15.75">
      <c r="B10" s="229"/>
      <c r="C10" s="269">
        <v>1</v>
      </c>
      <c r="D10" s="281">
        <v>119</v>
      </c>
      <c r="E10" s="272">
        <f t="shared" si="0"/>
        <v>30.225999999999999</v>
      </c>
      <c r="F10" s="243">
        <v>52</v>
      </c>
      <c r="G10" s="275">
        <f t="shared" si="1"/>
        <v>13.208</v>
      </c>
      <c r="H10" s="243"/>
      <c r="I10" s="278"/>
    </row>
    <row r="11" spans="2:12" ht="15.75">
      <c r="B11" s="229"/>
      <c r="C11" s="269">
        <v>1.5</v>
      </c>
      <c r="D11" s="281">
        <v>185</v>
      </c>
      <c r="E11" s="272">
        <f t="shared" si="0"/>
        <v>46.99</v>
      </c>
      <c r="F11" s="243">
        <v>70</v>
      </c>
      <c r="G11" s="275">
        <f t="shared" si="1"/>
        <v>17.78</v>
      </c>
      <c r="H11" s="243"/>
      <c r="I11" s="278"/>
    </row>
    <row r="12" spans="2:12" ht="15.75">
      <c r="B12" s="229"/>
      <c r="C12" s="269">
        <v>2</v>
      </c>
      <c r="D12" s="281">
        <v>250</v>
      </c>
      <c r="E12" s="272">
        <f t="shared" si="0"/>
        <v>63.5</v>
      </c>
      <c r="F12" s="243">
        <v>88</v>
      </c>
      <c r="G12" s="275">
        <f t="shared" si="1"/>
        <v>22.352</v>
      </c>
      <c r="H12" s="283"/>
      <c r="I12" s="278"/>
    </row>
    <row r="13" spans="2:12" ht="15.75">
      <c r="B13" s="229"/>
      <c r="C13" s="236">
        <v>2.5</v>
      </c>
      <c r="D13" s="240">
        <v>329</v>
      </c>
      <c r="E13" s="267">
        <f t="shared" si="0"/>
        <v>83.566000000000003</v>
      </c>
      <c r="F13" s="244">
        <v>107</v>
      </c>
      <c r="G13" s="255">
        <f t="shared" si="1"/>
        <v>27.178000000000001</v>
      </c>
      <c r="H13" s="244"/>
      <c r="I13" s="259"/>
    </row>
    <row r="14" spans="2:12" ht="15.75">
      <c r="B14" s="229"/>
      <c r="C14" s="269">
        <v>3</v>
      </c>
      <c r="D14" s="281">
        <v>408</v>
      </c>
      <c r="E14" s="272">
        <f t="shared" si="0"/>
        <v>103.63200000000001</v>
      </c>
      <c r="F14" s="243">
        <v>124</v>
      </c>
      <c r="G14" s="275">
        <f t="shared" si="1"/>
        <v>31.496000000000002</v>
      </c>
      <c r="H14" s="243"/>
      <c r="I14" s="278"/>
      <c r="K14" s="184">
        <v>2.5</v>
      </c>
      <c r="L14" s="184">
        <f>(E13/1370)*100</f>
        <v>6.09970802919708</v>
      </c>
    </row>
    <row r="15" spans="2:12" ht="15.75">
      <c r="B15" s="229"/>
      <c r="C15" s="269">
        <v>3.5</v>
      </c>
      <c r="D15" s="281">
        <v>482</v>
      </c>
      <c r="E15" s="272">
        <f t="shared" si="0"/>
        <v>122.428</v>
      </c>
      <c r="F15" s="243">
        <v>141</v>
      </c>
      <c r="G15" s="275">
        <f t="shared" si="1"/>
        <v>35.814</v>
      </c>
      <c r="H15" s="243"/>
      <c r="I15" s="278"/>
      <c r="K15" s="184">
        <v>5</v>
      </c>
    </row>
    <row r="16" spans="2:12" ht="15.75">
      <c r="B16" s="229"/>
      <c r="C16" s="269">
        <v>4</v>
      </c>
      <c r="D16" s="281">
        <v>555</v>
      </c>
      <c r="E16" s="272">
        <f t="shared" si="0"/>
        <v>140.97</v>
      </c>
      <c r="F16" s="243">
        <v>158</v>
      </c>
      <c r="G16" s="275">
        <f t="shared" si="1"/>
        <v>40.131999999999998</v>
      </c>
      <c r="H16" s="243"/>
      <c r="I16" s="278"/>
    </row>
    <row r="17" spans="2:9" ht="15.75">
      <c r="B17" s="229"/>
      <c r="C17" s="269">
        <v>4.5</v>
      </c>
      <c r="D17" s="281">
        <v>621</v>
      </c>
      <c r="E17" s="272">
        <f t="shared" si="0"/>
        <v>157.73400000000001</v>
      </c>
      <c r="F17" s="243">
        <v>172</v>
      </c>
      <c r="G17" s="275">
        <f t="shared" si="1"/>
        <v>43.688000000000002</v>
      </c>
      <c r="H17" s="243"/>
      <c r="I17" s="278"/>
    </row>
    <row r="18" spans="2:9" ht="15.75">
      <c r="B18" s="229"/>
      <c r="C18" s="236">
        <v>5</v>
      </c>
      <c r="D18" s="240">
        <v>684</v>
      </c>
      <c r="E18" s="267">
        <f t="shared" si="0"/>
        <v>173.73599999999999</v>
      </c>
      <c r="F18" s="244">
        <v>189</v>
      </c>
      <c r="G18" s="255">
        <f t="shared" si="1"/>
        <v>48.006</v>
      </c>
      <c r="H18" s="244"/>
      <c r="I18" s="259"/>
    </row>
    <row r="19" spans="2:9" ht="15.75">
      <c r="B19" s="229"/>
      <c r="C19" s="269">
        <v>5.5</v>
      </c>
      <c r="D19" s="281">
        <v>742</v>
      </c>
      <c r="E19" s="272">
        <f t="shared" si="0"/>
        <v>188.46799999999999</v>
      </c>
      <c r="F19" s="243">
        <v>204</v>
      </c>
      <c r="G19" s="275">
        <f t="shared" si="1"/>
        <v>51.816000000000003</v>
      </c>
      <c r="H19" s="243"/>
      <c r="I19" s="278"/>
    </row>
    <row r="20" spans="2:9" ht="16.5" thickBot="1">
      <c r="B20" s="229"/>
      <c r="C20" s="270">
        <v>6</v>
      </c>
      <c r="D20" s="282">
        <v>805</v>
      </c>
      <c r="E20" s="273">
        <f t="shared" si="0"/>
        <v>204.47</v>
      </c>
      <c r="F20" s="245">
        <v>220</v>
      </c>
      <c r="G20" s="276">
        <f t="shared" si="1"/>
        <v>55.88</v>
      </c>
      <c r="H20" s="245"/>
      <c r="I20" s="279"/>
    </row>
    <row r="21" spans="2:9" ht="16.5" thickBot="1">
      <c r="B21" s="229"/>
    </row>
    <row r="22" spans="2:9" ht="16.5" thickBot="1">
      <c r="B22" s="229"/>
      <c r="C22" s="601" t="s">
        <v>216</v>
      </c>
      <c r="D22" s="602"/>
      <c r="E22" s="602"/>
      <c r="F22" s="602"/>
      <c r="G22" s="602"/>
      <c r="H22" s="602"/>
      <c r="I22" s="603"/>
    </row>
    <row r="23" spans="2:9" ht="15.75">
      <c r="B23" s="229"/>
      <c r="C23" s="284" t="s">
        <v>217</v>
      </c>
      <c r="D23" s="604"/>
      <c r="E23" s="286">
        <f>(E13/F3)*100</f>
        <v>6.09970802919708</v>
      </c>
      <c r="F23" s="597"/>
      <c r="G23" s="265">
        <f>(G13/F3)*100</f>
        <v>1.9837956204379563</v>
      </c>
      <c r="H23" s="599"/>
      <c r="I23" s="265">
        <f>(I13/F3)*100</f>
        <v>0</v>
      </c>
    </row>
    <row r="24" spans="2:9" ht="16.5" thickBot="1">
      <c r="B24" s="229"/>
      <c r="C24" s="285" t="s">
        <v>218</v>
      </c>
      <c r="D24" s="605"/>
      <c r="E24" s="287">
        <f>(E18/F4)*100</f>
        <v>8.4543065693430641</v>
      </c>
      <c r="F24" s="598"/>
      <c r="G24" s="266">
        <f>(G18/F4)*100</f>
        <v>2.3360583941605837</v>
      </c>
      <c r="H24" s="600"/>
      <c r="I24" s="266">
        <f>(I18/F4)*100</f>
        <v>0</v>
      </c>
    </row>
    <row r="25" spans="2:9" ht="16.5" thickBot="1">
      <c r="B25" s="229"/>
    </row>
    <row r="26" spans="2:9" ht="16.5" thickBot="1">
      <c r="B26" s="229"/>
      <c r="C26" s="592" t="s">
        <v>219</v>
      </c>
      <c r="D26" s="593"/>
      <c r="E26" s="593"/>
      <c r="F26" s="593"/>
      <c r="G26" s="593"/>
      <c r="H26" s="593"/>
      <c r="I26" s="594"/>
    </row>
    <row r="27" spans="2:9" ht="16.5" thickBot="1">
      <c r="B27" s="229"/>
      <c r="C27" s="230" t="s">
        <v>210</v>
      </c>
      <c r="D27" s="231" t="s">
        <v>213</v>
      </c>
      <c r="E27" s="232" t="s">
        <v>211</v>
      </c>
      <c r="F27" s="231" t="s">
        <v>212</v>
      </c>
      <c r="G27" s="232" t="s">
        <v>211</v>
      </c>
      <c r="H27" s="231" t="s">
        <v>214</v>
      </c>
      <c r="I27" s="232" t="s">
        <v>211</v>
      </c>
    </row>
    <row r="28" spans="2:9" ht="15.75">
      <c r="B28" s="229"/>
      <c r="C28" s="234">
        <v>0</v>
      </c>
      <c r="D28" s="238">
        <v>0</v>
      </c>
      <c r="E28" s="249">
        <f>D28*$F$2</f>
        <v>0</v>
      </c>
      <c r="F28" s="242">
        <v>0</v>
      </c>
      <c r="G28" s="253">
        <f>F28*$F$2</f>
        <v>0</v>
      </c>
      <c r="H28" s="246">
        <v>0</v>
      </c>
      <c r="I28" s="257">
        <f>H28*$F$2</f>
        <v>0</v>
      </c>
    </row>
    <row r="29" spans="2:9" ht="15.75">
      <c r="B29" s="229"/>
      <c r="C29" s="235">
        <v>0.5</v>
      </c>
      <c r="D29" s="239">
        <v>0.8</v>
      </c>
      <c r="E29" s="250">
        <f t="shared" ref="E29:E40" si="2">D29*$F$2</f>
        <v>0.20320000000000002</v>
      </c>
      <c r="F29" s="243">
        <v>0.3</v>
      </c>
      <c r="G29" s="254">
        <f t="shared" ref="G29:G40" si="3">F29*$F$2</f>
        <v>7.6200000000000004E-2</v>
      </c>
      <c r="H29" s="247">
        <v>0.2</v>
      </c>
      <c r="I29" s="258">
        <f t="shared" ref="I29:I40" si="4">H29*$F$2</f>
        <v>5.0800000000000005E-2</v>
      </c>
    </row>
    <row r="30" spans="2:9" ht="15.75">
      <c r="B30" s="229"/>
      <c r="C30" s="235">
        <v>1</v>
      </c>
      <c r="D30" s="239">
        <v>1.5</v>
      </c>
      <c r="E30" s="250">
        <f t="shared" si="2"/>
        <v>0.38100000000000001</v>
      </c>
      <c r="F30" s="243">
        <v>1</v>
      </c>
      <c r="G30" s="254">
        <f t="shared" si="3"/>
        <v>0.254</v>
      </c>
      <c r="H30" s="247">
        <v>0.4</v>
      </c>
      <c r="I30" s="258">
        <f t="shared" si="4"/>
        <v>0.10160000000000001</v>
      </c>
    </row>
    <row r="31" spans="2:9" ht="15.75">
      <c r="C31" s="235">
        <v>1.5</v>
      </c>
      <c r="D31" s="239">
        <v>2.4</v>
      </c>
      <c r="E31" s="250">
        <f t="shared" si="2"/>
        <v>0.60960000000000003</v>
      </c>
      <c r="F31" s="243">
        <v>1.9</v>
      </c>
      <c r="G31" s="254">
        <f t="shared" si="3"/>
        <v>0.48259999999999997</v>
      </c>
      <c r="H31" s="247">
        <v>0.8</v>
      </c>
      <c r="I31" s="258">
        <f t="shared" si="4"/>
        <v>0.20320000000000002</v>
      </c>
    </row>
    <row r="32" spans="2:9" ht="15.75">
      <c r="C32" s="235">
        <v>2</v>
      </c>
      <c r="D32" s="239">
        <v>3.2</v>
      </c>
      <c r="E32" s="250">
        <f t="shared" si="2"/>
        <v>0.81280000000000008</v>
      </c>
      <c r="F32" s="243">
        <v>2.6</v>
      </c>
      <c r="G32" s="254">
        <f t="shared" si="3"/>
        <v>0.66039999999999999</v>
      </c>
      <c r="H32" s="233">
        <v>1.3</v>
      </c>
      <c r="I32" s="258">
        <f t="shared" si="4"/>
        <v>0.33019999999999999</v>
      </c>
    </row>
    <row r="33" spans="3:9" ht="15.75">
      <c r="C33" s="236">
        <v>2.5</v>
      </c>
      <c r="D33" s="240">
        <v>3.8</v>
      </c>
      <c r="E33" s="251">
        <f t="shared" si="2"/>
        <v>0.96519999999999995</v>
      </c>
      <c r="F33" s="244">
        <v>3</v>
      </c>
      <c r="G33" s="255">
        <f t="shared" si="3"/>
        <v>0.76200000000000001</v>
      </c>
      <c r="H33" s="244">
        <v>1.7</v>
      </c>
      <c r="I33" s="259">
        <f t="shared" si="4"/>
        <v>0.43180000000000002</v>
      </c>
    </row>
    <row r="34" spans="3:9" ht="15.75">
      <c r="C34" s="235">
        <v>3</v>
      </c>
      <c r="D34" s="239">
        <v>3.9</v>
      </c>
      <c r="E34" s="250">
        <f t="shared" si="2"/>
        <v>0.99060000000000004</v>
      </c>
      <c r="F34" s="243">
        <v>3.3</v>
      </c>
      <c r="G34" s="254">
        <f t="shared" si="3"/>
        <v>0.83819999999999995</v>
      </c>
      <c r="H34" s="247">
        <v>2.2000000000000002</v>
      </c>
      <c r="I34" s="258">
        <f t="shared" si="4"/>
        <v>0.55880000000000007</v>
      </c>
    </row>
    <row r="35" spans="3:9" ht="15.75">
      <c r="C35" s="235">
        <v>3.5</v>
      </c>
      <c r="D35" s="239">
        <v>4.0999999999999996</v>
      </c>
      <c r="E35" s="250">
        <f t="shared" si="2"/>
        <v>1.0413999999999999</v>
      </c>
      <c r="F35" s="243">
        <v>3.8</v>
      </c>
      <c r="G35" s="254">
        <f t="shared" si="3"/>
        <v>0.96519999999999995</v>
      </c>
      <c r="H35" s="247">
        <v>2.65</v>
      </c>
      <c r="I35" s="258">
        <f t="shared" si="4"/>
        <v>0.67310000000000003</v>
      </c>
    </row>
    <row r="36" spans="3:9" ht="15.75">
      <c r="C36" s="235">
        <v>4</v>
      </c>
      <c r="D36" s="239">
        <v>4.2</v>
      </c>
      <c r="E36" s="250">
        <f t="shared" si="2"/>
        <v>1.0668</v>
      </c>
      <c r="F36" s="243">
        <v>3.7</v>
      </c>
      <c r="G36" s="254">
        <f t="shared" si="3"/>
        <v>0.93980000000000008</v>
      </c>
      <c r="H36" s="247">
        <v>2.95</v>
      </c>
      <c r="I36" s="258">
        <f t="shared" si="4"/>
        <v>0.74930000000000008</v>
      </c>
    </row>
    <row r="37" spans="3:9" ht="15.75">
      <c r="C37" s="235">
        <v>4.5</v>
      </c>
      <c r="D37" s="239">
        <v>4</v>
      </c>
      <c r="E37" s="250">
        <f t="shared" si="2"/>
        <v>1.016</v>
      </c>
      <c r="F37" s="243">
        <v>3.5</v>
      </c>
      <c r="G37" s="254">
        <f t="shared" si="3"/>
        <v>0.88900000000000001</v>
      </c>
      <c r="H37" s="247">
        <v>3.1</v>
      </c>
      <c r="I37" s="258">
        <f t="shared" si="4"/>
        <v>0.78739999999999999</v>
      </c>
    </row>
    <row r="38" spans="3:9" ht="15.75">
      <c r="C38" s="236">
        <v>5</v>
      </c>
      <c r="D38" s="240">
        <v>3.9</v>
      </c>
      <c r="E38" s="251">
        <f t="shared" si="2"/>
        <v>0.99060000000000004</v>
      </c>
      <c r="F38" s="244">
        <v>3.3</v>
      </c>
      <c r="G38" s="255">
        <f t="shared" si="3"/>
        <v>0.83819999999999995</v>
      </c>
      <c r="H38" s="244">
        <v>3.2</v>
      </c>
      <c r="I38" s="259">
        <f t="shared" si="4"/>
        <v>0.81280000000000008</v>
      </c>
    </row>
    <row r="39" spans="3:9" ht="15.75">
      <c r="C39" s="235">
        <v>5.5</v>
      </c>
      <c r="D39" s="239">
        <v>3.8</v>
      </c>
      <c r="E39" s="250">
        <f t="shared" si="2"/>
        <v>0.96519999999999995</v>
      </c>
      <c r="F39" s="243">
        <v>3</v>
      </c>
      <c r="G39" s="254">
        <f t="shared" si="3"/>
        <v>0.76200000000000001</v>
      </c>
      <c r="H39" s="247">
        <v>3.3</v>
      </c>
      <c r="I39" s="258">
        <f t="shared" si="4"/>
        <v>0.83819999999999995</v>
      </c>
    </row>
    <row r="40" spans="3:9" ht="16.5" thickBot="1">
      <c r="C40" s="237">
        <v>6</v>
      </c>
      <c r="D40" s="241">
        <v>3.6</v>
      </c>
      <c r="E40" s="252">
        <f t="shared" si="2"/>
        <v>0.91439999999999999</v>
      </c>
      <c r="F40" s="245">
        <v>2.9</v>
      </c>
      <c r="G40" s="256">
        <f t="shared" si="3"/>
        <v>0.73660000000000003</v>
      </c>
      <c r="H40" s="248">
        <v>3.3</v>
      </c>
      <c r="I40" s="260">
        <f t="shared" si="4"/>
        <v>0.83819999999999995</v>
      </c>
    </row>
    <row r="42" spans="3:9" ht="15.75" thickBot="1"/>
    <row r="43" spans="3:9">
      <c r="C43" s="595" t="s">
        <v>216</v>
      </c>
      <c r="D43" s="596"/>
    </row>
    <row r="44" spans="3:9">
      <c r="C44" s="261" t="s">
        <v>217</v>
      </c>
      <c r="D44" s="263">
        <f>(E33/F3)*100</f>
        <v>7.0452554744525553E-2</v>
      </c>
    </row>
    <row r="45" spans="3:9" ht="15.75" thickBot="1">
      <c r="C45" s="262" t="s">
        <v>218</v>
      </c>
      <c r="D45" s="264">
        <f>(E38/F4)*100</f>
        <v>4.8204379562043799E-2</v>
      </c>
    </row>
  </sheetData>
  <mergeCells count="7">
    <mergeCell ref="C6:I6"/>
    <mergeCell ref="C26:I26"/>
    <mergeCell ref="C43:D43"/>
    <mergeCell ref="F23:F24"/>
    <mergeCell ref="H23:H24"/>
    <mergeCell ref="C22:I22"/>
    <mergeCell ref="D23:D24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O92"/>
  <sheetViews>
    <sheetView topLeftCell="A19" zoomScale="87" zoomScaleNormal="87" workbookViewId="0">
      <selection activeCell="J22" sqref="J22:J30"/>
    </sheetView>
  </sheetViews>
  <sheetFormatPr defaultRowHeight="15"/>
  <cols>
    <col min="3" max="3" width="11" customWidth="1"/>
    <col min="4" max="4" width="16.85546875" customWidth="1"/>
    <col min="7" max="7" width="12.140625" customWidth="1"/>
    <col min="9" max="9" width="10.5703125" customWidth="1"/>
    <col min="10" max="10" width="12" customWidth="1"/>
    <col min="12" max="12" width="10.5703125" customWidth="1"/>
    <col min="13" max="13" width="12.85546875" customWidth="1"/>
    <col min="15" max="15" width="11.7109375" customWidth="1"/>
  </cols>
  <sheetData>
    <row r="2" spans="3:14" ht="28.5">
      <c r="K2" s="628" t="s">
        <v>166</v>
      </c>
      <c r="L2" s="628"/>
      <c r="M2" s="628"/>
      <c r="N2" s="628"/>
    </row>
    <row r="4" spans="3:14" ht="21">
      <c r="D4" s="441">
        <v>0.35</v>
      </c>
    </row>
    <row r="6" spans="3:14" ht="15.75" thickBot="1"/>
    <row r="7" spans="3:14" ht="19.5" thickBot="1">
      <c r="C7" s="578" t="s">
        <v>0</v>
      </c>
      <c r="D7" s="579"/>
      <c r="E7" s="579"/>
      <c r="F7" s="580"/>
    </row>
    <row r="8" spans="3:14" ht="16.5" thickBot="1">
      <c r="C8" s="581" t="s">
        <v>167</v>
      </c>
      <c r="D8" s="582"/>
      <c r="E8" s="582"/>
      <c r="F8" s="583"/>
    </row>
    <row r="9" spans="3:14" ht="15.75">
      <c r="C9" s="584" t="s">
        <v>193</v>
      </c>
      <c r="D9" s="585"/>
      <c r="E9" s="106">
        <v>6</v>
      </c>
      <c r="F9" s="107" t="s">
        <v>35</v>
      </c>
    </row>
    <row r="10" spans="3:14" ht="15.75">
      <c r="C10" s="586" t="s">
        <v>194</v>
      </c>
      <c r="D10" s="587"/>
      <c r="E10" s="108">
        <v>6</v>
      </c>
      <c r="F10" s="109" t="s">
        <v>35</v>
      </c>
    </row>
    <row r="11" spans="3:14" ht="15.75">
      <c r="C11" s="586" t="s">
        <v>134</v>
      </c>
      <c r="D11" s="587"/>
      <c r="E11" s="108">
        <v>2</v>
      </c>
      <c r="F11" s="109" t="s">
        <v>35</v>
      </c>
    </row>
    <row r="12" spans="3:14" ht="15.75">
      <c r="C12" s="588" t="s">
        <v>168</v>
      </c>
      <c r="D12" s="587"/>
      <c r="E12" s="110">
        <v>1.72</v>
      </c>
      <c r="F12" s="109" t="s">
        <v>169</v>
      </c>
    </row>
    <row r="13" spans="3:14" ht="15.75">
      <c r="C13" s="586" t="s">
        <v>170</v>
      </c>
      <c r="D13" s="587"/>
      <c r="E13" s="108">
        <v>0.254</v>
      </c>
      <c r="F13" s="109" t="s">
        <v>129</v>
      </c>
    </row>
    <row r="14" spans="3:14" ht="15.75">
      <c r="C14" s="586" t="s">
        <v>171</v>
      </c>
      <c r="D14" s="587"/>
      <c r="E14" s="108">
        <v>1.25</v>
      </c>
      <c r="F14" s="109" t="s">
        <v>172</v>
      </c>
      <c r="J14" s="438"/>
    </row>
    <row r="15" spans="3:14" ht="15.75">
      <c r="C15" s="586" t="s">
        <v>173</v>
      </c>
      <c r="D15" s="587"/>
      <c r="E15" s="108">
        <v>1E-3</v>
      </c>
      <c r="F15" s="109" t="s">
        <v>35</v>
      </c>
    </row>
    <row r="16" spans="3:14" ht="18.75">
      <c r="C16" s="586" t="s">
        <v>174</v>
      </c>
      <c r="D16" s="587"/>
      <c r="E16" s="111">
        <f>(E9*E10*E11)</f>
        <v>72</v>
      </c>
      <c r="F16" s="109" t="s">
        <v>175</v>
      </c>
    </row>
    <row r="17" spans="3:15" ht="15.75" thickBot="1">
      <c r="C17" s="589" t="s">
        <v>176</v>
      </c>
      <c r="D17" s="590"/>
      <c r="E17" s="112">
        <f>(E12*E16)</f>
        <v>123.84</v>
      </c>
      <c r="F17" s="113" t="s">
        <v>177</v>
      </c>
    </row>
    <row r="19" spans="3:15" ht="15.75" thickBot="1"/>
    <row r="20" spans="3:15" ht="15.75" customHeight="1">
      <c r="C20" s="622" t="s">
        <v>178</v>
      </c>
      <c r="D20" s="624" t="s">
        <v>179</v>
      </c>
      <c r="E20" s="626" t="s">
        <v>180</v>
      </c>
      <c r="F20" s="622" t="s">
        <v>181</v>
      </c>
      <c r="G20" s="621" t="s">
        <v>182</v>
      </c>
      <c r="H20" s="617"/>
      <c r="I20" s="618"/>
      <c r="J20" s="616" t="s">
        <v>183</v>
      </c>
      <c r="K20" s="617"/>
      <c r="L20" s="618"/>
      <c r="M20" s="616" t="s">
        <v>184</v>
      </c>
      <c r="N20" s="617"/>
      <c r="O20" s="618"/>
    </row>
    <row r="21" spans="3:15" ht="48" thickBot="1">
      <c r="C21" s="623"/>
      <c r="D21" s="625"/>
      <c r="E21" s="627"/>
      <c r="F21" s="623"/>
      <c r="G21" s="114" t="s">
        <v>185</v>
      </c>
      <c r="H21" s="115" t="s">
        <v>186</v>
      </c>
      <c r="I21" s="116" t="s">
        <v>187</v>
      </c>
      <c r="J21" s="117" t="s">
        <v>185</v>
      </c>
      <c r="K21" s="115" t="s">
        <v>186</v>
      </c>
      <c r="L21" s="116" t="s">
        <v>187</v>
      </c>
      <c r="M21" s="117" t="s">
        <v>185</v>
      </c>
      <c r="N21" s="115" t="s">
        <v>186</v>
      </c>
      <c r="O21" s="116" t="s">
        <v>187</v>
      </c>
    </row>
    <row r="22" spans="3:15">
      <c r="C22" s="118">
        <v>0</v>
      </c>
      <c r="D22" s="119">
        <v>0</v>
      </c>
      <c r="E22" s="120">
        <f t="shared" ref="E22:E28" si="0">($E$9-D22)</f>
        <v>6</v>
      </c>
      <c r="F22" s="121">
        <f>E22*$E$9</f>
        <v>36</v>
      </c>
      <c r="G22" s="152">
        <v>0</v>
      </c>
      <c r="H22" s="122">
        <f>G22*$E$13</f>
        <v>0</v>
      </c>
      <c r="I22" s="123">
        <f t="shared" ref="I22:I29" si="1">H22/F22</f>
        <v>0</v>
      </c>
      <c r="J22" s="155">
        <v>0</v>
      </c>
      <c r="K22" s="124">
        <f>J22*$E$13</f>
        <v>0</v>
      </c>
      <c r="L22" s="125">
        <f t="shared" ref="L22:L30" si="2">K22/F22</f>
        <v>0</v>
      </c>
      <c r="M22" s="158">
        <v>0</v>
      </c>
      <c r="N22" s="124">
        <f>M22*$E$13</f>
        <v>0</v>
      </c>
      <c r="O22" s="125">
        <f t="shared" ref="O22:O31" si="3">N22/F22</f>
        <v>0</v>
      </c>
    </row>
    <row r="23" spans="3:15">
      <c r="C23" s="126">
        <v>50</v>
      </c>
      <c r="D23" s="53">
        <v>0.05</v>
      </c>
      <c r="E23" s="8">
        <f t="shared" si="0"/>
        <v>5.95</v>
      </c>
      <c r="F23" s="127">
        <f t="shared" ref="F23:F28" si="4">$E$9*E23</f>
        <v>35.700000000000003</v>
      </c>
      <c r="G23" s="161">
        <v>64</v>
      </c>
      <c r="H23" s="128">
        <f t="shared" ref="H23:H29" si="5">G23*$E$13</f>
        <v>16.256</v>
      </c>
      <c r="I23" s="129">
        <f t="shared" si="1"/>
        <v>0.45535014005602237</v>
      </c>
      <c r="J23" s="164">
        <v>97</v>
      </c>
      <c r="K23" s="128">
        <f t="shared" ref="K23:K30" si="6">J23*$E$13</f>
        <v>24.638000000000002</v>
      </c>
      <c r="L23" s="129">
        <f t="shared" si="2"/>
        <v>0.69014005602240891</v>
      </c>
      <c r="M23" s="161">
        <v>119</v>
      </c>
      <c r="N23" s="128">
        <f t="shared" ref="N23:N31" si="7">M23*$E$13</f>
        <v>30.225999999999999</v>
      </c>
      <c r="O23" s="129">
        <f t="shared" si="3"/>
        <v>0.84666666666666657</v>
      </c>
    </row>
    <row r="24" spans="3:15">
      <c r="C24" s="126">
        <v>100</v>
      </c>
      <c r="D24" s="53">
        <v>0.1</v>
      </c>
      <c r="E24" s="8">
        <f t="shared" si="0"/>
        <v>5.9</v>
      </c>
      <c r="F24" s="127">
        <f t="shared" si="4"/>
        <v>35.400000000000006</v>
      </c>
      <c r="G24" s="161">
        <v>87</v>
      </c>
      <c r="H24" s="128">
        <f t="shared" si="5"/>
        <v>22.097999999999999</v>
      </c>
      <c r="I24" s="129">
        <f t="shared" si="1"/>
        <v>0.62423728813559309</v>
      </c>
      <c r="J24" s="164">
        <v>124</v>
      </c>
      <c r="K24" s="128">
        <f t="shared" si="6"/>
        <v>31.496000000000002</v>
      </c>
      <c r="L24" s="129">
        <f t="shared" si="2"/>
        <v>0.88971751412429367</v>
      </c>
      <c r="M24" s="161">
        <v>143</v>
      </c>
      <c r="N24" s="128">
        <f t="shared" si="7"/>
        <v>36.322000000000003</v>
      </c>
      <c r="O24" s="129">
        <f t="shared" si="3"/>
        <v>1.0260451977401128</v>
      </c>
    </row>
    <row r="25" spans="3:15">
      <c r="C25" s="126">
        <v>150</v>
      </c>
      <c r="D25" s="53">
        <v>0.15</v>
      </c>
      <c r="E25" s="8">
        <f t="shared" si="0"/>
        <v>5.85</v>
      </c>
      <c r="F25" s="127">
        <f t="shared" si="4"/>
        <v>35.099999999999994</v>
      </c>
      <c r="G25" s="161">
        <v>99</v>
      </c>
      <c r="H25" s="128">
        <f t="shared" si="5"/>
        <v>25.146000000000001</v>
      </c>
      <c r="I25" s="129">
        <f t="shared" si="1"/>
        <v>0.71641025641025657</v>
      </c>
      <c r="J25" s="164">
        <v>144</v>
      </c>
      <c r="K25" s="128">
        <f t="shared" si="6"/>
        <v>36.576000000000001</v>
      </c>
      <c r="L25" s="129">
        <f t="shared" si="2"/>
        <v>1.0420512820512822</v>
      </c>
      <c r="M25" s="161">
        <v>161</v>
      </c>
      <c r="N25" s="128">
        <f t="shared" si="7"/>
        <v>40.893999999999998</v>
      </c>
      <c r="O25" s="129">
        <f t="shared" si="3"/>
        <v>1.1650712250712252</v>
      </c>
    </row>
    <row r="26" spans="3:15">
      <c r="C26" s="126">
        <v>200</v>
      </c>
      <c r="D26" s="53">
        <v>0.2</v>
      </c>
      <c r="E26" s="8">
        <f t="shared" si="0"/>
        <v>5.8</v>
      </c>
      <c r="F26" s="127">
        <f t="shared" si="4"/>
        <v>34.799999999999997</v>
      </c>
      <c r="G26" s="161">
        <v>106</v>
      </c>
      <c r="H26" s="128">
        <f t="shared" si="5"/>
        <v>26.923999999999999</v>
      </c>
      <c r="I26" s="129">
        <f t="shared" si="1"/>
        <v>0.77367816091954023</v>
      </c>
      <c r="J26" s="164">
        <v>157</v>
      </c>
      <c r="K26" s="128">
        <f t="shared" si="6"/>
        <v>39.878</v>
      </c>
      <c r="L26" s="129">
        <f t="shared" si="2"/>
        <v>1.1459195402298852</v>
      </c>
      <c r="M26" s="161">
        <v>173</v>
      </c>
      <c r="N26" s="128">
        <f t="shared" si="7"/>
        <v>43.942</v>
      </c>
      <c r="O26" s="129">
        <f t="shared" si="3"/>
        <v>1.2627011494252876</v>
      </c>
    </row>
    <row r="27" spans="3:15">
      <c r="C27" s="126">
        <v>250</v>
      </c>
      <c r="D27" s="53">
        <v>0.25</v>
      </c>
      <c r="E27" s="8">
        <f t="shared" si="0"/>
        <v>5.75</v>
      </c>
      <c r="F27" s="127">
        <f t="shared" si="4"/>
        <v>34.5</v>
      </c>
      <c r="G27" s="161">
        <v>108</v>
      </c>
      <c r="H27" s="128">
        <f t="shared" si="5"/>
        <v>27.432000000000002</v>
      </c>
      <c r="I27" s="129">
        <f t="shared" si="1"/>
        <v>0.79513043478260881</v>
      </c>
      <c r="J27" s="164">
        <v>162</v>
      </c>
      <c r="K27" s="128">
        <f t="shared" si="6"/>
        <v>41.148000000000003</v>
      </c>
      <c r="L27" s="129">
        <f t="shared" si="2"/>
        <v>1.1926956521739132</v>
      </c>
      <c r="M27" s="161">
        <v>187</v>
      </c>
      <c r="N27" s="128">
        <f t="shared" si="7"/>
        <v>47.497999999999998</v>
      </c>
      <c r="O27" s="129">
        <f t="shared" si="3"/>
        <v>1.3767536231884057</v>
      </c>
    </row>
    <row r="28" spans="3:15">
      <c r="C28" s="126">
        <v>300</v>
      </c>
      <c r="D28" s="53">
        <v>0.3</v>
      </c>
      <c r="E28" s="8">
        <f t="shared" si="0"/>
        <v>5.7</v>
      </c>
      <c r="F28" s="127">
        <f t="shared" si="4"/>
        <v>34.200000000000003</v>
      </c>
      <c r="G28" s="161">
        <v>104</v>
      </c>
      <c r="H28" s="128">
        <f t="shared" si="5"/>
        <v>26.416</v>
      </c>
      <c r="I28" s="129">
        <f t="shared" si="1"/>
        <v>0.77239766081871342</v>
      </c>
      <c r="J28" s="164">
        <v>163</v>
      </c>
      <c r="K28" s="128">
        <f t="shared" si="6"/>
        <v>41.402000000000001</v>
      </c>
      <c r="L28" s="129">
        <f t="shared" si="2"/>
        <v>1.2105847953216373</v>
      </c>
      <c r="M28" s="161">
        <v>195</v>
      </c>
      <c r="N28" s="128">
        <f t="shared" si="7"/>
        <v>49.53</v>
      </c>
      <c r="O28" s="129">
        <f t="shared" si="3"/>
        <v>1.4482456140350877</v>
      </c>
    </row>
    <row r="29" spans="3:15">
      <c r="C29" s="126">
        <v>350</v>
      </c>
      <c r="D29" s="53">
        <v>0.35</v>
      </c>
      <c r="E29" s="8">
        <f>($E$9-D29)</f>
        <v>5.65</v>
      </c>
      <c r="F29" s="127">
        <f>$E$9*E29</f>
        <v>33.900000000000006</v>
      </c>
      <c r="G29" s="127">
        <v>94</v>
      </c>
      <c r="H29" s="128">
        <f t="shared" si="5"/>
        <v>23.876000000000001</v>
      </c>
      <c r="I29" s="129">
        <f t="shared" si="1"/>
        <v>0.7043067846607669</v>
      </c>
      <c r="J29" s="130">
        <v>160</v>
      </c>
      <c r="K29" s="128">
        <f t="shared" si="6"/>
        <v>40.64</v>
      </c>
      <c r="L29" s="129">
        <f t="shared" si="2"/>
        <v>1.1988200589970499</v>
      </c>
      <c r="M29" s="127">
        <v>198</v>
      </c>
      <c r="N29" s="128">
        <f t="shared" si="7"/>
        <v>50.292000000000002</v>
      </c>
      <c r="O29" s="129">
        <f t="shared" si="3"/>
        <v>1.4835398230088495</v>
      </c>
    </row>
    <row r="30" spans="3:15">
      <c r="C30" s="126">
        <v>400</v>
      </c>
      <c r="D30" s="53">
        <v>0.4</v>
      </c>
      <c r="E30" s="8">
        <f>($E$9-D30)</f>
        <v>5.6</v>
      </c>
      <c r="F30" s="127">
        <f>$E$9*E30</f>
        <v>33.599999999999994</v>
      </c>
      <c r="G30" s="127"/>
      <c r="H30" s="128"/>
      <c r="I30" s="129"/>
      <c r="J30" s="130">
        <v>154</v>
      </c>
      <c r="K30" s="128">
        <f t="shared" si="6"/>
        <v>39.116</v>
      </c>
      <c r="L30" s="129">
        <f t="shared" si="2"/>
        <v>1.1641666666666668</v>
      </c>
      <c r="M30" s="127">
        <v>189</v>
      </c>
      <c r="N30" s="128">
        <f t="shared" si="7"/>
        <v>48.006</v>
      </c>
      <c r="O30" s="129">
        <f t="shared" si="3"/>
        <v>1.4287500000000002</v>
      </c>
    </row>
    <row r="31" spans="3:15" ht="15.75" thickBot="1">
      <c r="C31" s="126">
        <v>450</v>
      </c>
      <c r="D31" s="53">
        <v>0.45</v>
      </c>
      <c r="E31" s="8">
        <f>($E$9-D31)</f>
        <v>5.55</v>
      </c>
      <c r="F31" s="127">
        <f>$E$9*E31</f>
        <v>33.299999999999997</v>
      </c>
      <c r="G31" s="132"/>
      <c r="H31" s="133"/>
      <c r="I31" s="134"/>
      <c r="J31" s="135"/>
      <c r="K31" s="133"/>
      <c r="L31" s="134"/>
      <c r="M31" s="132">
        <v>177</v>
      </c>
      <c r="N31" s="133">
        <f t="shared" si="7"/>
        <v>44.957999999999998</v>
      </c>
      <c r="O31" s="129">
        <f t="shared" si="3"/>
        <v>1.3500900900900901</v>
      </c>
    </row>
    <row r="32" spans="3:15" ht="16.5" thickBot="1">
      <c r="C32" s="136"/>
      <c r="D32" s="137"/>
      <c r="E32" s="137"/>
      <c r="F32" s="137"/>
      <c r="G32" s="137"/>
      <c r="H32" s="138" t="s">
        <v>188</v>
      </c>
      <c r="I32" s="139">
        <f>MAX(I22:I31)</f>
        <v>0.79513043478260881</v>
      </c>
      <c r="J32" s="137"/>
      <c r="K32" s="138" t="s">
        <v>188</v>
      </c>
      <c r="L32" s="139">
        <f>MAX(L22:L31)</f>
        <v>1.2105847953216373</v>
      </c>
      <c r="M32" s="137"/>
      <c r="N32" s="138" t="s">
        <v>188</v>
      </c>
      <c r="O32" s="140">
        <f>MAX(O22:O31)</f>
        <v>1.4835398230088495</v>
      </c>
    </row>
    <row r="34" spans="3:7" ht="15.75" thickBot="1"/>
    <row r="35" spans="3:7" ht="18.75">
      <c r="C35" s="141" t="s">
        <v>189</v>
      </c>
      <c r="D35" s="142" t="s">
        <v>190</v>
      </c>
    </row>
    <row r="36" spans="3:7">
      <c r="C36" s="143">
        <v>0</v>
      </c>
      <c r="D36" s="144">
        <v>0</v>
      </c>
      <c r="F36" t="s">
        <v>191</v>
      </c>
      <c r="G36" s="89">
        <v>0.90310000000000001</v>
      </c>
    </row>
    <row r="37" spans="3:7">
      <c r="C37" s="130">
        <v>0.65</v>
      </c>
      <c r="D37" s="129">
        <f>I32</f>
        <v>0.79513043478260881</v>
      </c>
      <c r="F37" t="s">
        <v>192</v>
      </c>
      <c r="G37" s="12">
        <f>DEGREES((ATAN(G36)))</f>
        <v>42.085192263662485</v>
      </c>
    </row>
    <row r="38" spans="3:7">
      <c r="C38" s="130">
        <v>1.1499999999999999</v>
      </c>
      <c r="D38" s="129">
        <f>L32</f>
        <v>1.2105847953216373</v>
      </c>
    </row>
    <row r="39" spans="3:7" ht="15.75" thickBot="1">
      <c r="C39" s="135">
        <v>1.65</v>
      </c>
      <c r="D39" s="134">
        <f>O32</f>
        <v>1.4835398230088495</v>
      </c>
    </row>
    <row r="43" spans="3:7" ht="15.75" thickBot="1"/>
    <row r="44" spans="3:7" ht="21.75" thickBot="1">
      <c r="C44" s="619"/>
      <c r="D44" s="620"/>
      <c r="E44" s="441">
        <v>0.6</v>
      </c>
    </row>
    <row r="45" spans="3:7" ht="15.75" thickBot="1"/>
    <row r="46" spans="3:7" ht="19.5" thickBot="1">
      <c r="C46" s="578" t="s">
        <v>0</v>
      </c>
      <c r="D46" s="579"/>
      <c r="E46" s="579"/>
      <c r="F46" s="580"/>
    </row>
    <row r="47" spans="3:7" ht="16.5" thickBot="1">
      <c r="C47" s="581" t="s">
        <v>167</v>
      </c>
      <c r="D47" s="582"/>
      <c r="E47" s="582"/>
      <c r="F47" s="583"/>
    </row>
    <row r="48" spans="3:7" ht="15.75">
      <c r="C48" s="584" t="s">
        <v>193</v>
      </c>
      <c r="D48" s="585"/>
      <c r="E48" s="106">
        <v>6</v>
      </c>
      <c r="F48" s="107" t="s">
        <v>35</v>
      </c>
    </row>
    <row r="49" spans="3:15" ht="15.75">
      <c r="C49" s="586" t="s">
        <v>194</v>
      </c>
      <c r="D49" s="587"/>
      <c r="E49" s="108">
        <v>6</v>
      </c>
      <c r="F49" s="109" t="s">
        <v>35</v>
      </c>
    </row>
    <row r="50" spans="3:15" ht="15.75" customHeight="1">
      <c r="C50" s="586" t="s">
        <v>134</v>
      </c>
      <c r="D50" s="587"/>
      <c r="E50" s="108">
        <v>2</v>
      </c>
      <c r="F50" s="109" t="s">
        <v>35</v>
      </c>
    </row>
    <row r="51" spans="3:15" ht="15.75">
      <c r="C51" s="588" t="s">
        <v>168</v>
      </c>
      <c r="D51" s="587"/>
      <c r="E51" s="110">
        <v>1.72</v>
      </c>
      <c r="F51" s="109" t="s">
        <v>169</v>
      </c>
    </row>
    <row r="52" spans="3:15" ht="15.75">
      <c r="C52" s="586" t="s">
        <v>170</v>
      </c>
      <c r="D52" s="587"/>
      <c r="E52" s="108">
        <v>0.254</v>
      </c>
      <c r="F52" s="109" t="s">
        <v>129</v>
      </c>
    </row>
    <row r="53" spans="3:15" ht="15.75">
      <c r="C53" s="586" t="s">
        <v>171</v>
      </c>
      <c r="D53" s="587"/>
      <c r="E53" s="108">
        <v>0.25</v>
      </c>
      <c r="F53" s="109" t="s">
        <v>172</v>
      </c>
    </row>
    <row r="54" spans="3:15" ht="15.75">
      <c r="C54" s="586" t="s">
        <v>173</v>
      </c>
      <c r="D54" s="587"/>
      <c r="E54" s="108">
        <v>1E-3</v>
      </c>
      <c r="F54" s="109" t="s">
        <v>35</v>
      </c>
    </row>
    <row r="55" spans="3:15" ht="18.75">
      <c r="C55" s="586" t="s">
        <v>174</v>
      </c>
      <c r="D55" s="587"/>
      <c r="E55" s="111">
        <f>(E48*E49*E50)</f>
        <v>72</v>
      </c>
      <c r="F55" s="109" t="s">
        <v>175</v>
      </c>
    </row>
    <row r="56" spans="3:15" ht="15.75" thickBot="1">
      <c r="C56" s="589" t="s">
        <v>176</v>
      </c>
      <c r="D56" s="590"/>
      <c r="E56" s="112">
        <f>(E51*E55)</f>
        <v>123.84</v>
      </c>
      <c r="F56" s="113" t="s">
        <v>177</v>
      </c>
    </row>
    <row r="57" spans="3:15" ht="15.75" thickBot="1"/>
    <row r="58" spans="3:15" ht="15.75">
      <c r="C58" s="609" t="s">
        <v>178</v>
      </c>
      <c r="D58" s="611" t="s">
        <v>198</v>
      </c>
      <c r="E58" s="613" t="s">
        <v>199</v>
      </c>
      <c r="F58" s="609" t="s">
        <v>200</v>
      </c>
      <c r="G58" s="615" t="s">
        <v>195</v>
      </c>
      <c r="H58" s="607"/>
      <c r="I58" s="608"/>
      <c r="J58" s="606" t="s">
        <v>196</v>
      </c>
      <c r="K58" s="607"/>
      <c r="L58" s="608"/>
      <c r="M58" s="606" t="s">
        <v>197</v>
      </c>
      <c r="N58" s="607"/>
      <c r="O58" s="608"/>
    </row>
    <row r="59" spans="3:15" ht="48" thickBot="1">
      <c r="C59" s="610"/>
      <c r="D59" s="612"/>
      <c r="E59" s="614"/>
      <c r="F59" s="610"/>
      <c r="G59" s="145" t="s">
        <v>185</v>
      </c>
      <c r="H59" s="146" t="s">
        <v>186</v>
      </c>
      <c r="I59" s="147" t="s">
        <v>187</v>
      </c>
      <c r="J59" s="148" t="s">
        <v>185</v>
      </c>
      <c r="K59" s="146" t="s">
        <v>186</v>
      </c>
      <c r="L59" s="147" t="s">
        <v>187</v>
      </c>
      <c r="M59" s="148" t="s">
        <v>185</v>
      </c>
      <c r="N59" s="146" t="s">
        <v>186</v>
      </c>
      <c r="O59" s="147" t="s">
        <v>187</v>
      </c>
    </row>
    <row r="60" spans="3:15">
      <c r="C60" s="149">
        <v>0</v>
      </c>
      <c r="D60" s="150">
        <v>0</v>
      </c>
      <c r="E60" s="151">
        <f t="shared" ref="E60:E68" si="8">($E$9-D60)</f>
        <v>6</v>
      </c>
      <c r="F60" s="152">
        <f>E60*$E$9</f>
        <v>36</v>
      </c>
      <c r="G60" s="152">
        <v>0</v>
      </c>
      <c r="H60" s="153">
        <f>G60*$E$13</f>
        <v>0</v>
      </c>
      <c r="I60" s="154">
        <f t="shared" ref="I60:I66" si="9">H60/F60</f>
        <v>0</v>
      </c>
      <c r="J60" s="155">
        <v>0</v>
      </c>
      <c r="K60" s="156">
        <f>J60*$E$13</f>
        <v>0</v>
      </c>
      <c r="L60" s="157">
        <f t="shared" ref="L60:L68" si="10">K60/F60</f>
        <v>0</v>
      </c>
      <c r="M60" s="158">
        <v>0</v>
      </c>
      <c r="N60" s="156">
        <f>M60*$E$13</f>
        <v>0</v>
      </c>
      <c r="O60" s="157">
        <f t="shared" ref="O60:O68" si="11">N60/F60</f>
        <v>0</v>
      </c>
    </row>
    <row r="61" spans="3:15">
      <c r="C61" s="159">
        <v>50</v>
      </c>
      <c r="D61" s="160">
        <v>0.05</v>
      </c>
      <c r="E61" s="105">
        <f t="shared" si="8"/>
        <v>5.95</v>
      </c>
      <c r="F61" s="161">
        <f t="shared" ref="F61:F68" si="12">$E$9*E61</f>
        <v>35.700000000000003</v>
      </c>
      <c r="G61" s="161">
        <v>28</v>
      </c>
      <c r="H61" s="162">
        <f t="shared" ref="H61:H66" si="13">G61*$E$13</f>
        <v>7.1120000000000001</v>
      </c>
      <c r="I61" s="163">
        <f t="shared" si="9"/>
        <v>0.19921568627450978</v>
      </c>
      <c r="J61" s="164">
        <v>40</v>
      </c>
      <c r="K61" s="162">
        <f t="shared" ref="K61:K68" si="14">J61*$E$13</f>
        <v>10.16</v>
      </c>
      <c r="L61" s="163">
        <f t="shared" si="10"/>
        <v>0.28459383753501399</v>
      </c>
      <c r="M61" s="161">
        <v>62</v>
      </c>
      <c r="N61" s="162">
        <f t="shared" ref="N61:N68" si="15">M61*$E$13</f>
        <v>15.748000000000001</v>
      </c>
      <c r="O61" s="163">
        <f t="shared" si="11"/>
        <v>0.44112044817927171</v>
      </c>
    </row>
    <row r="62" spans="3:15">
      <c r="C62" s="159">
        <v>100</v>
      </c>
      <c r="D62" s="160">
        <v>0.1</v>
      </c>
      <c r="E62" s="105">
        <f t="shared" si="8"/>
        <v>5.9</v>
      </c>
      <c r="F62" s="161">
        <f t="shared" si="12"/>
        <v>35.400000000000006</v>
      </c>
      <c r="G62" s="161">
        <v>37</v>
      </c>
      <c r="H62" s="162">
        <f t="shared" si="13"/>
        <v>9.3979999999999997</v>
      </c>
      <c r="I62" s="163">
        <f t="shared" si="9"/>
        <v>0.26548022598870052</v>
      </c>
      <c r="J62" s="164">
        <v>61</v>
      </c>
      <c r="K62" s="162">
        <f t="shared" si="14"/>
        <v>15.494</v>
      </c>
      <c r="L62" s="163">
        <f t="shared" si="10"/>
        <v>0.43768361581920895</v>
      </c>
      <c r="M62" s="161">
        <v>85</v>
      </c>
      <c r="N62" s="162">
        <f t="shared" si="15"/>
        <v>21.59</v>
      </c>
      <c r="O62" s="163">
        <f t="shared" si="11"/>
        <v>0.60988700564971743</v>
      </c>
    </row>
    <row r="63" spans="3:15">
      <c r="C63" s="159">
        <v>150</v>
      </c>
      <c r="D63" s="160">
        <v>0.15</v>
      </c>
      <c r="E63" s="105">
        <f t="shared" si="8"/>
        <v>5.85</v>
      </c>
      <c r="F63" s="161">
        <f t="shared" si="12"/>
        <v>35.099999999999994</v>
      </c>
      <c r="G63" s="161">
        <v>45</v>
      </c>
      <c r="H63" s="162">
        <f t="shared" si="13"/>
        <v>11.43</v>
      </c>
      <c r="I63" s="163">
        <f t="shared" si="9"/>
        <v>0.32564102564102571</v>
      </c>
      <c r="J63" s="164">
        <v>78</v>
      </c>
      <c r="K63" s="162">
        <f t="shared" si="14"/>
        <v>19.812000000000001</v>
      </c>
      <c r="L63" s="163">
        <f t="shared" si="10"/>
        <v>0.56444444444444453</v>
      </c>
      <c r="M63" s="161">
        <v>102</v>
      </c>
      <c r="N63" s="162">
        <f t="shared" si="15"/>
        <v>25.908000000000001</v>
      </c>
      <c r="O63" s="163">
        <f t="shared" si="11"/>
        <v>0.7381196581196583</v>
      </c>
    </row>
    <row r="64" spans="3:15">
      <c r="C64" s="159">
        <v>200</v>
      </c>
      <c r="D64" s="160">
        <v>0.2</v>
      </c>
      <c r="E64" s="105">
        <f t="shared" si="8"/>
        <v>5.8</v>
      </c>
      <c r="F64" s="161">
        <f t="shared" si="12"/>
        <v>34.799999999999997</v>
      </c>
      <c r="G64" s="161">
        <v>49</v>
      </c>
      <c r="H64" s="162">
        <f t="shared" si="13"/>
        <v>12.446</v>
      </c>
      <c r="I64" s="163">
        <f t="shared" si="9"/>
        <v>0.35764367816091958</v>
      </c>
      <c r="J64" s="164">
        <v>87</v>
      </c>
      <c r="K64" s="162">
        <f t="shared" si="14"/>
        <v>22.097999999999999</v>
      </c>
      <c r="L64" s="163">
        <f t="shared" si="10"/>
        <v>0.63500000000000001</v>
      </c>
      <c r="M64" s="161">
        <v>121</v>
      </c>
      <c r="N64" s="162">
        <f t="shared" si="15"/>
        <v>30.734000000000002</v>
      </c>
      <c r="O64" s="163">
        <f t="shared" si="11"/>
        <v>0.88316091954023002</v>
      </c>
    </row>
    <row r="65" spans="3:15">
      <c r="C65" s="159">
        <v>250</v>
      </c>
      <c r="D65" s="160">
        <v>0.25</v>
      </c>
      <c r="E65" s="105">
        <f t="shared" si="8"/>
        <v>5.75</v>
      </c>
      <c r="F65" s="161">
        <f t="shared" si="12"/>
        <v>34.5</v>
      </c>
      <c r="G65" s="161">
        <v>52</v>
      </c>
      <c r="H65" s="162">
        <f t="shared" si="13"/>
        <v>13.208</v>
      </c>
      <c r="I65" s="163">
        <f t="shared" si="9"/>
        <v>0.38284057971014496</v>
      </c>
      <c r="J65" s="164">
        <v>102</v>
      </c>
      <c r="K65" s="162">
        <f t="shared" si="14"/>
        <v>25.908000000000001</v>
      </c>
      <c r="L65" s="163">
        <f t="shared" si="10"/>
        <v>0.75095652173913052</v>
      </c>
      <c r="M65" s="161">
        <v>134</v>
      </c>
      <c r="N65" s="162">
        <f t="shared" si="15"/>
        <v>34.036000000000001</v>
      </c>
      <c r="O65" s="163">
        <f t="shared" si="11"/>
        <v>0.98655072463768123</v>
      </c>
    </row>
    <row r="66" spans="3:15">
      <c r="C66" s="159">
        <v>300</v>
      </c>
      <c r="D66" s="160">
        <v>0.3</v>
      </c>
      <c r="E66" s="105">
        <f t="shared" si="8"/>
        <v>5.7</v>
      </c>
      <c r="F66" s="161">
        <f t="shared" si="12"/>
        <v>34.200000000000003</v>
      </c>
      <c r="G66" s="161">
        <v>59</v>
      </c>
      <c r="H66" s="162">
        <f t="shared" si="13"/>
        <v>14.986000000000001</v>
      </c>
      <c r="I66" s="163">
        <f t="shared" si="9"/>
        <v>0.43818713450292396</v>
      </c>
      <c r="J66" s="164">
        <v>115</v>
      </c>
      <c r="K66" s="162">
        <f t="shared" si="14"/>
        <v>29.21</v>
      </c>
      <c r="L66" s="163">
        <f t="shared" si="10"/>
        <v>0.8540935672514619</v>
      </c>
      <c r="M66" s="161">
        <v>146</v>
      </c>
      <c r="N66" s="162">
        <f t="shared" si="15"/>
        <v>37.084000000000003</v>
      </c>
      <c r="O66" s="163">
        <f t="shared" si="11"/>
        <v>1.084327485380117</v>
      </c>
    </row>
    <row r="67" spans="3:15">
      <c r="C67" s="159">
        <v>350</v>
      </c>
      <c r="D67" s="160">
        <v>0.35</v>
      </c>
      <c r="E67" s="105">
        <f t="shared" si="8"/>
        <v>5.65</v>
      </c>
      <c r="F67" s="161">
        <f t="shared" si="12"/>
        <v>33.900000000000006</v>
      </c>
      <c r="G67" s="161">
        <v>47</v>
      </c>
      <c r="H67" s="162">
        <f>G67*$E$13</f>
        <v>11.938000000000001</v>
      </c>
      <c r="I67" s="163">
        <f>H67/F67</f>
        <v>0.35215339233038345</v>
      </c>
      <c r="J67" s="164">
        <v>104</v>
      </c>
      <c r="K67" s="162">
        <f t="shared" si="14"/>
        <v>26.416</v>
      </c>
      <c r="L67" s="163">
        <f t="shared" si="10"/>
        <v>0.77923303834808244</v>
      </c>
      <c r="M67" s="161">
        <v>157</v>
      </c>
      <c r="N67" s="162">
        <f t="shared" si="15"/>
        <v>39.878</v>
      </c>
      <c r="O67" s="163">
        <f t="shared" si="11"/>
        <v>1.1763421828908553</v>
      </c>
    </row>
    <row r="68" spans="3:15">
      <c r="C68" s="159">
        <v>400</v>
      </c>
      <c r="D68" s="160">
        <v>0.4</v>
      </c>
      <c r="E68" s="105">
        <f t="shared" si="8"/>
        <v>5.6</v>
      </c>
      <c r="F68" s="161">
        <f t="shared" si="12"/>
        <v>33.599999999999994</v>
      </c>
      <c r="G68" s="161">
        <v>39</v>
      </c>
      <c r="H68" s="162">
        <f>G68*$E$13</f>
        <v>9.9060000000000006</v>
      </c>
      <c r="I68" s="163">
        <f>H68/F68</f>
        <v>0.29482142857142862</v>
      </c>
      <c r="J68" s="164">
        <v>91</v>
      </c>
      <c r="K68" s="162">
        <f t="shared" si="14"/>
        <v>23.114000000000001</v>
      </c>
      <c r="L68" s="163">
        <f t="shared" si="10"/>
        <v>0.68791666666666684</v>
      </c>
      <c r="M68" s="161">
        <v>131</v>
      </c>
      <c r="N68" s="162">
        <f t="shared" si="15"/>
        <v>33.274000000000001</v>
      </c>
      <c r="O68" s="163">
        <f t="shared" si="11"/>
        <v>0.99029761904761926</v>
      </c>
    </row>
    <row r="69" spans="3:15" ht="15.75" thickBot="1">
      <c r="C69" s="165"/>
      <c r="D69" s="160"/>
      <c r="E69" s="105"/>
      <c r="F69" s="161"/>
      <c r="G69" s="161"/>
      <c r="H69" s="167"/>
      <c r="I69" s="168"/>
      <c r="J69" s="164"/>
      <c r="K69" s="167"/>
      <c r="L69" s="163"/>
      <c r="M69" s="166"/>
      <c r="N69" s="167"/>
      <c r="O69" s="168"/>
    </row>
    <row r="70" spans="3:15">
      <c r="C70" s="174"/>
      <c r="D70" s="160"/>
      <c r="E70" s="105"/>
      <c r="F70" s="161"/>
      <c r="G70" s="161"/>
      <c r="J70" s="164"/>
      <c r="K70" s="162"/>
      <c r="L70" s="163"/>
    </row>
    <row r="71" spans="3:15">
      <c r="C71" s="174"/>
      <c r="D71" s="160"/>
      <c r="E71" s="105"/>
      <c r="F71" s="161"/>
      <c r="G71" s="161"/>
      <c r="J71" s="164"/>
      <c r="K71" s="162"/>
      <c r="L71" s="163"/>
    </row>
    <row r="72" spans="3:15" ht="15.75" thickBot="1">
      <c r="C72" s="174"/>
      <c r="D72" s="160"/>
      <c r="E72" s="105"/>
      <c r="F72" s="161"/>
      <c r="G72" s="161"/>
      <c r="J72" s="164"/>
      <c r="K72" s="167"/>
      <c r="L72" s="163"/>
    </row>
    <row r="73" spans="3:15">
      <c r="C73" s="174"/>
      <c r="D73" s="160"/>
      <c r="E73" s="105"/>
      <c r="F73" s="161"/>
      <c r="G73" s="161"/>
      <c r="J73" s="164"/>
      <c r="K73" s="162"/>
      <c r="L73" s="163"/>
    </row>
    <row r="74" spans="3:15">
      <c r="C74" s="174"/>
      <c r="D74" s="160"/>
      <c r="E74" s="105"/>
      <c r="F74" s="161"/>
      <c r="G74" s="161"/>
      <c r="J74" s="164"/>
      <c r="K74" s="162"/>
      <c r="L74" s="163"/>
    </row>
    <row r="75" spans="3:15">
      <c r="C75" s="174"/>
      <c r="D75" s="160"/>
      <c r="E75" s="105"/>
      <c r="F75" s="161"/>
      <c r="G75" s="161"/>
      <c r="J75" s="175"/>
      <c r="K75" s="176"/>
      <c r="L75" s="177"/>
    </row>
    <row r="76" spans="3:15">
      <c r="C76" s="174"/>
      <c r="D76" s="160"/>
      <c r="E76" s="105"/>
      <c r="F76" s="161"/>
      <c r="G76" s="161"/>
    </row>
    <row r="77" spans="3:15">
      <c r="C77" s="174"/>
      <c r="D77" s="160"/>
      <c r="E77" s="105"/>
      <c r="F77" s="161"/>
      <c r="G77" s="161"/>
    </row>
    <row r="78" spans="3:15">
      <c r="C78" s="174"/>
      <c r="D78" s="160"/>
      <c r="E78" s="105"/>
      <c r="F78" s="161"/>
      <c r="G78" s="161"/>
    </row>
    <row r="80" spans="3:15" ht="15.75" thickBot="1"/>
    <row r="81" spans="3:7" ht="18.75">
      <c r="C81" s="172" t="s">
        <v>189</v>
      </c>
      <c r="D81" s="173" t="s">
        <v>190</v>
      </c>
      <c r="F81" t="s">
        <v>191</v>
      </c>
      <c r="G81" s="89">
        <v>0.81079999999999997</v>
      </c>
    </row>
    <row r="82" spans="3:7">
      <c r="C82" s="143">
        <v>0</v>
      </c>
      <c r="D82" s="144">
        <v>0</v>
      </c>
      <c r="F82" t="s">
        <v>192</v>
      </c>
      <c r="G82" s="12">
        <f>DEGREES((ATAN(G81)))</f>
        <v>39.035139173748433</v>
      </c>
    </row>
    <row r="83" spans="3:7">
      <c r="C83" s="130">
        <v>0.5</v>
      </c>
      <c r="D83" s="129">
        <f>MAX(I60:I68)</f>
        <v>0.43818713450292396</v>
      </c>
    </row>
    <row r="84" spans="3:7">
      <c r="C84" s="130">
        <v>1</v>
      </c>
      <c r="D84" s="129">
        <f>MAX(L60:L68)</f>
        <v>0.8540935672514619</v>
      </c>
    </row>
    <row r="85" spans="3:7" ht="15.75" thickBot="1">
      <c r="C85" s="135">
        <v>1.5</v>
      </c>
      <c r="D85" s="134">
        <f>MAX(O60:O68)</f>
        <v>1.1763421828908553</v>
      </c>
    </row>
    <row r="92" spans="3:7" ht="21">
      <c r="E92" s="441">
        <v>0.8</v>
      </c>
    </row>
  </sheetData>
  <mergeCells count="38">
    <mergeCell ref="C17:D17"/>
    <mergeCell ref="K2:N2"/>
    <mergeCell ref="C7:F7"/>
    <mergeCell ref="C8:F8"/>
    <mergeCell ref="C9:D9"/>
    <mergeCell ref="C10:D10"/>
    <mergeCell ref="C11:D11"/>
    <mergeCell ref="C12:D12"/>
    <mergeCell ref="C13:D13"/>
    <mergeCell ref="C14:D14"/>
    <mergeCell ref="C15:D15"/>
    <mergeCell ref="C16:D16"/>
    <mergeCell ref="M20:O20"/>
    <mergeCell ref="J20:L20"/>
    <mergeCell ref="C50:D50"/>
    <mergeCell ref="C51:D51"/>
    <mergeCell ref="C52:D52"/>
    <mergeCell ref="C49:D49"/>
    <mergeCell ref="C44:D44"/>
    <mergeCell ref="C46:F46"/>
    <mergeCell ref="C47:F47"/>
    <mergeCell ref="C48:D48"/>
    <mergeCell ref="G20:I20"/>
    <mergeCell ref="C20:C21"/>
    <mergeCell ref="D20:D21"/>
    <mergeCell ref="E20:E21"/>
    <mergeCell ref="F20:F21"/>
    <mergeCell ref="C53:D53"/>
    <mergeCell ref="C54:D54"/>
    <mergeCell ref="J58:L58"/>
    <mergeCell ref="M58:O58"/>
    <mergeCell ref="C56:D56"/>
    <mergeCell ref="C58:C59"/>
    <mergeCell ref="D58:D59"/>
    <mergeCell ref="E58:E59"/>
    <mergeCell ref="F58:F59"/>
    <mergeCell ref="G58:I58"/>
    <mergeCell ref="C55:D5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2"/>
  <sheetViews>
    <sheetView workbookViewId="0">
      <selection activeCell="F8" sqref="F8"/>
    </sheetView>
  </sheetViews>
  <sheetFormatPr defaultRowHeight="15"/>
  <cols>
    <col min="2" max="2" width="13.85546875" customWidth="1"/>
    <col min="3" max="3" width="44.42578125" customWidth="1"/>
    <col min="4" max="6" width="10.7109375" customWidth="1"/>
  </cols>
  <sheetData>
    <row r="1" spans="2:8" ht="15.75" customHeight="1"/>
    <row r="2" spans="2:8" ht="21">
      <c r="E2" s="569" t="s">
        <v>292</v>
      </c>
      <c r="F2" s="569"/>
      <c r="G2" s="569"/>
      <c r="H2" s="569"/>
    </row>
    <row r="5" spans="2:8" ht="15.75" thickBot="1"/>
    <row r="6" spans="2:8" ht="20.100000000000001" customHeight="1">
      <c r="B6" s="629" t="s">
        <v>147</v>
      </c>
      <c r="C6" s="629" t="s">
        <v>148</v>
      </c>
      <c r="D6" s="629">
        <v>1</v>
      </c>
    </row>
    <row r="7" spans="2:8" ht="20.100000000000001" customHeight="1" thickBot="1">
      <c r="B7" s="630"/>
      <c r="C7" s="630"/>
      <c r="D7" s="630"/>
    </row>
    <row r="8" spans="2:8" ht="30" customHeight="1">
      <c r="B8" s="362">
        <v>1</v>
      </c>
      <c r="C8" s="363" t="s">
        <v>161</v>
      </c>
      <c r="D8" s="362">
        <v>672</v>
      </c>
      <c r="E8">
        <v>672</v>
      </c>
    </row>
    <row r="9" spans="2:8" ht="30" customHeight="1">
      <c r="B9" s="357">
        <v>2</v>
      </c>
      <c r="C9" s="359" t="s">
        <v>162</v>
      </c>
      <c r="D9" s="357">
        <v>872</v>
      </c>
      <c r="E9">
        <v>872</v>
      </c>
    </row>
    <row r="10" spans="2:8" ht="30" customHeight="1">
      <c r="B10" s="357">
        <v>3</v>
      </c>
      <c r="C10" s="359" t="s">
        <v>165</v>
      </c>
      <c r="D10" s="357">
        <v>1682</v>
      </c>
      <c r="E10">
        <v>1683</v>
      </c>
    </row>
    <row r="11" spans="2:8" ht="30" customHeight="1">
      <c r="B11" s="357">
        <v>4</v>
      </c>
      <c r="C11" s="359" t="s">
        <v>163</v>
      </c>
      <c r="D11" s="357">
        <v>1558</v>
      </c>
      <c r="E11">
        <v>1560</v>
      </c>
    </row>
    <row r="12" spans="2:8" ht="30" customHeight="1" thickBot="1">
      <c r="B12" s="361">
        <v>5</v>
      </c>
      <c r="C12" s="360" t="s">
        <v>164</v>
      </c>
      <c r="D12" s="358">
        <f>(D9-D8)/((D11-D8)-(D10-D9))</f>
        <v>2.6315789473684212</v>
      </c>
      <c r="E12" s="358">
        <f>(E9-E8)/((E11-E8)-(E10-E9))</f>
        <v>2.5974025974025974</v>
      </c>
    </row>
  </sheetData>
  <mergeCells count="4">
    <mergeCell ref="E2:H2"/>
    <mergeCell ref="B6:B7"/>
    <mergeCell ref="C6:C7"/>
    <mergeCell ref="D6:D7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2" workbookViewId="0">
      <selection activeCell="A3" sqref="A3:E13"/>
    </sheetView>
  </sheetViews>
  <sheetFormatPr defaultRowHeight="15"/>
  <cols>
    <col min="1" max="1" width="10.5703125" customWidth="1"/>
    <col min="2" max="2" width="10.85546875" customWidth="1"/>
    <col min="3" max="3" width="11.140625" customWidth="1"/>
    <col min="4" max="4" width="11" customWidth="1"/>
    <col min="5" max="5" width="11.140625" customWidth="1"/>
    <col min="6" max="6" width="12" bestFit="1" customWidth="1"/>
  </cols>
  <sheetData>
    <row r="1" spans="1:12" ht="21">
      <c r="A1" t="s">
        <v>153</v>
      </c>
      <c r="I1" s="569" t="s">
        <v>293</v>
      </c>
      <c r="J1" s="569"/>
      <c r="K1" s="569"/>
      <c r="L1" s="569"/>
    </row>
    <row r="2" spans="1:12" ht="15.75" thickBot="1"/>
    <row r="3" spans="1:12" ht="45.75" thickBot="1">
      <c r="A3" s="364" t="s">
        <v>159</v>
      </c>
      <c r="B3" s="364" t="s">
        <v>160</v>
      </c>
      <c r="C3" s="368" t="s">
        <v>1</v>
      </c>
      <c r="D3" s="364" t="s">
        <v>2</v>
      </c>
      <c r="E3" s="364" t="s">
        <v>3</v>
      </c>
    </row>
    <row r="4" spans="1:12">
      <c r="A4" s="533">
        <v>4.75</v>
      </c>
      <c r="B4" s="365">
        <v>39.6</v>
      </c>
      <c r="C4" s="532">
        <f t="shared" ref="C4:C12" si="0">(B4/B$13)*100</f>
        <v>9.9000000000000021</v>
      </c>
      <c r="D4" s="532">
        <f>C$4</f>
        <v>9.9000000000000021</v>
      </c>
      <c r="E4" s="532">
        <f>100-D4</f>
        <v>90.1</v>
      </c>
    </row>
    <row r="5" spans="1:12">
      <c r="A5" s="534">
        <v>2.36</v>
      </c>
      <c r="B5" s="366">
        <v>25.4</v>
      </c>
      <c r="C5" s="326">
        <f t="shared" si="0"/>
        <v>6.35</v>
      </c>
      <c r="D5" s="326">
        <f>D4+C5</f>
        <v>16.25</v>
      </c>
      <c r="E5" s="326">
        <f t="shared" ref="E5:E12" si="1">100-D5</f>
        <v>83.75</v>
      </c>
      <c r="F5">
        <f>B4+B5</f>
        <v>65</v>
      </c>
      <c r="G5">
        <f>F5/4</f>
        <v>16.25</v>
      </c>
    </row>
    <row r="6" spans="1:12">
      <c r="A6" s="534">
        <v>1.18</v>
      </c>
      <c r="B6" s="366">
        <v>124.6</v>
      </c>
      <c r="C6" s="326">
        <f t="shared" si="0"/>
        <v>31.150000000000006</v>
      </c>
      <c r="D6" s="326">
        <f t="shared" ref="D6:D12" si="2">D5+C6</f>
        <v>47.400000000000006</v>
      </c>
      <c r="E6" s="326">
        <f t="shared" si="1"/>
        <v>52.599999999999994</v>
      </c>
    </row>
    <row r="7" spans="1:12">
      <c r="A7" s="534">
        <v>0.6</v>
      </c>
      <c r="B7" s="366">
        <v>112.8</v>
      </c>
      <c r="C7" s="326">
        <f t="shared" si="0"/>
        <v>28.200000000000003</v>
      </c>
      <c r="D7" s="326">
        <f t="shared" si="2"/>
        <v>75.600000000000009</v>
      </c>
      <c r="E7" s="326">
        <f t="shared" si="1"/>
        <v>24.399999999999991</v>
      </c>
    </row>
    <row r="8" spans="1:12">
      <c r="A8" s="534">
        <v>0.42499999999999999</v>
      </c>
      <c r="B8" s="366">
        <v>69.3</v>
      </c>
      <c r="C8" s="326">
        <f t="shared" si="0"/>
        <v>17.325000000000003</v>
      </c>
      <c r="D8" s="326">
        <f t="shared" si="2"/>
        <v>92.925000000000011</v>
      </c>
      <c r="E8" s="326">
        <f t="shared" si="1"/>
        <v>7.0749999999999886</v>
      </c>
      <c r="F8">
        <f>B6+B7+B8</f>
        <v>306.7</v>
      </c>
      <c r="G8">
        <f>F8/4</f>
        <v>76.674999999999997</v>
      </c>
    </row>
    <row r="9" spans="1:12">
      <c r="A9" s="534">
        <v>0.3</v>
      </c>
      <c r="B9" s="366">
        <v>22.9</v>
      </c>
      <c r="C9" s="326">
        <f t="shared" si="0"/>
        <v>5.7250000000000005</v>
      </c>
      <c r="D9" s="326">
        <f t="shared" si="2"/>
        <v>98.65</v>
      </c>
      <c r="E9" s="326">
        <f t="shared" si="1"/>
        <v>1.3499999999999943</v>
      </c>
    </row>
    <row r="10" spans="1:12">
      <c r="A10" s="534">
        <v>0.15</v>
      </c>
      <c r="B10" s="366">
        <v>3.4</v>
      </c>
      <c r="C10" s="326">
        <f t="shared" si="0"/>
        <v>0.85000000000000009</v>
      </c>
      <c r="D10" s="326">
        <f t="shared" si="2"/>
        <v>99.5</v>
      </c>
      <c r="E10" s="326">
        <f>100-D10</f>
        <v>0.5</v>
      </c>
    </row>
    <row r="11" spans="1:12">
      <c r="A11" s="534">
        <v>7.4999999999999997E-2</v>
      </c>
      <c r="B11" s="366">
        <v>1.5</v>
      </c>
      <c r="C11" s="326">
        <f t="shared" si="0"/>
        <v>0.37500000000000006</v>
      </c>
      <c r="D11" s="326">
        <f t="shared" si="2"/>
        <v>99.875</v>
      </c>
      <c r="E11" s="326">
        <f>100-D11</f>
        <v>0.125</v>
      </c>
      <c r="F11">
        <f>B9+B10+B11</f>
        <v>27.799999999999997</v>
      </c>
      <c r="G11">
        <f>F11/4</f>
        <v>6.9499999999999993</v>
      </c>
    </row>
    <row r="12" spans="1:12" ht="15.75" thickBot="1">
      <c r="A12" s="366" t="s">
        <v>158</v>
      </c>
      <c r="B12" s="366">
        <v>0.5</v>
      </c>
      <c r="C12" s="327">
        <f t="shared" si="0"/>
        <v>0.12500000000000003</v>
      </c>
      <c r="D12" s="327">
        <f t="shared" si="2"/>
        <v>100</v>
      </c>
      <c r="E12" s="327">
        <f t="shared" si="1"/>
        <v>0</v>
      </c>
      <c r="F12">
        <f>B12</f>
        <v>0.5</v>
      </c>
      <c r="G12">
        <f>F12/4</f>
        <v>0.125</v>
      </c>
    </row>
    <row r="13" spans="1:12" ht="15.75" thickBot="1">
      <c r="A13" s="367" t="s">
        <v>146</v>
      </c>
      <c r="B13" s="367">
        <f>SUM(B4:B12)</f>
        <v>399.99999999999994</v>
      </c>
      <c r="C13" s="631"/>
      <c r="D13" s="632"/>
      <c r="E13" s="632"/>
      <c r="F13">
        <f>F5+F8+F11+F12</f>
        <v>400</v>
      </c>
    </row>
    <row r="16" spans="1:12">
      <c r="B16" s="9" t="s">
        <v>149</v>
      </c>
      <c r="C16" s="9">
        <v>1.4</v>
      </c>
      <c r="E16" s="9" t="s">
        <v>152</v>
      </c>
      <c r="F16" s="9">
        <f>C16/C18</f>
        <v>3.043478260869565</v>
      </c>
    </row>
    <row r="17" spans="2:7">
      <c r="B17" s="9" t="s">
        <v>150</v>
      </c>
      <c r="C17" s="9">
        <v>0.7</v>
      </c>
      <c r="E17" s="9" t="s">
        <v>101</v>
      </c>
      <c r="F17" s="9">
        <f>(C17*C17)/(C16*C18)</f>
        <v>0.76086956521739113</v>
      </c>
    </row>
    <row r="18" spans="2:7">
      <c r="B18" s="9" t="s">
        <v>151</v>
      </c>
      <c r="C18" s="9">
        <v>0.46</v>
      </c>
    </row>
    <row r="19" spans="2:7">
      <c r="F19" s="9" t="s">
        <v>156</v>
      </c>
      <c r="G19" s="9">
        <v>0.27</v>
      </c>
    </row>
    <row r="20" spans="2:7">
      <c r="F20" s="9" t="s">
        <v>155</v>
      </c>
      <c r="G20" s="9">
        <v>2.25</v>
      </c>
    </row>
    <row r="21" spans="2:7" ht="15.75" thickBot="1">
      <c r="F21" s="102" t="s">
        <v>157</v>
      </c>
      <c r="G21" s="102">
        <v>0.48</v>
      </c>
    </row>
    <row r="22" spans="2:7" ht="15.75" thickBot="1">
      <c r="F22" s="103" t="s">
        <v>154</v>
      </c>
      <c r="G22" s="104">
        <f>G19+G20+G21</f>
        <v>3</v>
      </c>
    </row>
  </sheetData>
  <mergeCells count="2">
    <mergeCell ref="I1:L1"/>
    <mergeCell ref="C13:E13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9"/>
  <sheetViews>
    <sheetView workbookViewId="0">
      <selection activeCell="D5" sqref="D5"/>
    </sheetView>
  </sheetViews>
  <sheetFormatPr defaultRowHeight="15"/>
  <cols>
    <col min="2" max="2" width="27.5703125" bestFit="1" customWidth="1"/>
    <col min="3" max="3" width="20.28515625" bestFit="1" customWidth="1"/>
    <col min="4" max="4" width="16.7109375" bestFit="1" customWidth="1"/>
    <col min="7" max="7" width="14.140625" bestFit="1" customWidth="1"/>
    <col min="11" max="11" width="14.140625" bestFit="1" customWidth="1"/>
  </cols>
  <sheetData>
    <row r="1" spans="2:13" ht="21.75" thickBot="1">
      <c r="F1" s="569" t="s">
        <v>296</v>
      </c>
      <c r="G1" s="569"/>
      <c r="H1" s="569"/>
    </row>
    <row r="2" spans="2:13" ht="15.75" thickBot="1">
      <c r="B2" s="633" t="s">
        <v>235</v>
      </c>
      <c r="C2" s="634"/>
      <c r="D2" s="635"/>
    </row>
    <row r="3" spans="2:13" ht="15.75" thickBot="1">
      <c r="B3" s="636" t="s">
        <v>236</v>
      </c>
      <c r="C3" s="637"/>
      <c r="D3" s="638"/>
    </row>
    <row r="4" spans="2:13">
      <c r="B4" s="301" t="s">
        <v>244</v>
      </c>
      <c r="C4" s="302" t="s">
        <v>35</v>
      </c>
      <c r="D4" s="303">
        <v>15</v>
      </c>
    </row>
    <row r="5" spans="2:13">
      <c r="B5" s="304" t="s">
        <v>224</v>
      </c>
      <c r="C5" s="305" t="s">
        <v>35</v>
      </c>
      <c r="D5" s="306">
        <v>16.5</v>
      </c>
    </row>
    <row r="6" spans="2:13" ht="15.75" thickBot="1">
      <c r="B6" s="307" t="s">
        <v>245</v>
      </c>
      <c r="C6" s="308" t="s">
        <v>177</v>
      </c>
      <c r="D6" s="309">
        <v>10947</v>
      </c>
    </row>
    <row r="7" spans="2:13" ht="15.75" thickBot="1">
      <c r="B7" s="633" t="s">
        <v>237</v>
      </c>
      <c r="C7" s="634"/>
      <c r="D7" s="635"/>
    </row>
    <row r="8" spans="2:13">
      <c r="B8" s="301" t="s">
        <v>246</v>
      </c>
      <c r="C8" s="302" t="s">
        <v>177</v>
      </c>
      <c r="D8" s="310">
        <v>15414</v>
      </c>
    </row>
    <row r="9" spans="2:13">
      <c r="B9" s="304" t="s">
        <v>247</v>
      </c>
      <c r="C9" s="305" t="s">
        <v>177</v>
      </c>
      <c r="D9" s="311">
        <f>D8-D6</f>
        <v>4467</v>
      </c>
    </row>
    <row r="10" spans="2:13" ht="15.75" thickBot="1">
      <c r="B10" s="304" t="s">
        <v>243</v>
      </c>
      <c r="C10" s="305" t="s">
        <v>35</v>
      </c>
      <c r="D10" s="306">
        <f>D5</f>
        <v>16.5</v>
      </c>
    </row>
    <row r="11" spans="2:13" ht="15.75" thickBot="1">
      <c r="B11" s="304" t="s">
        <v>248</v>
      </c>
      <c r="C11" s="305" t="s">
        <v>240</v>
      </c>
      <c r="D11" s="312">
        <f>(3.14/4)*D4*D4*D10</f>
        <v>2914.3125</v>
      </c>
      <c r="G11" s="185" t="s">
        <v>300</v>
      </c>
      <c r="H11" s="391">
        <v>1.72</v>
      </c>
      <c r="I11" s="354" t="s">
        <v>126</v>
      </c>
      <c r="K11" s="392" t="s">
        <v>255</v>
      </c>
      <c r="L11" s="356" t="s">
        <v>220</v>
      </c>
      <c r="M11" s="10"/>
    </row>
    <row r="12" spans="2:13" ht="15.75" thickBot="1">
      <c r="B12" s="307" t="s">
        <v>238</v>
      </c>
      <c r="C12" s="308" t="s">
        <v>241</v>
      </c>
      <c r="D12" s="320">
        <f>D9/D11</f>
        <v>1.5327800295953162</v>
      </c>
      <c r="G12" s="10"/>
      <c r="H12" s="10"/>
      <c r="I12" s="10"/>
      <c r="K12" s="353" t="s">
        <v>297</v>
      </c>
      <c r="L12" s="354"/>
      <c r="M12" s="10"/>
    </row>
    <row r="13" spans="2:13" ht="15.75" thickBot="1">
      <c r="B13" s="633" t="s">
        <v>239</v>
      </c>
      <c r="C13" s="634"/>
      <c r="D13" s="635"/>
      <c r="K13" s="353" t="s">
        <v>298</v>
      </c>
      <c r="L13" s="354">
        <f>(H11*120*120*50)/1000</f>
        <v>1238.4000000000001</v>
      </c>
      <c r="M13" s="10"/>
    </row>
    <row r="14" spans="2:13" ht="15.75" thickBot="1">
      <c r="B14" s="313" t="s">
        <v>249</v>
      </c>
      <c r="C14" s="314" t="s">
        <v>177</v>
      </c>
      <c r="D14" s="315">
        <v>15414</v>
      </c>
      <c r="K14" s="393" t="s">
        <v>299</v>
      </c>
      <c r="L14" s="389"/>
      <c r="M14" s="10"/>
    </row>
    <row r="15" spans="2:13">
      <c r="B15" s="304" t="s">
        <v>250</v>
      </c>
      <c r="C15" s="305" t="s">
        <v>177</v>
      </c>
      <c r="D15" s="311">
        <f>D14-D6</f>
        <v>4467</v>
      </c>
      <c r="G15" s="321" t="s">
        <v>256</v>
      </c>
      <c r="H15" s="355">
        <f>L13/10</f>
        <v>123.84</v>
      </c>
      <c r="I15" s="356" t="s">
        <v>220</v>
      </c>
    </row>
    <row r="16" spans="2:13">
      <c r="B16" s="304" t="s">
        <v>251</v>
      </c>
      <c r="C16" s="305" t="s">
        <v>35</v>
      </c>
      <c r="D16" s="306">
        <v>3.1</v>
      </c>
      <c r="G16" s="37" t="s">
        <v>257</v>
      </c>
      <c r="H16" s="31">
        <f>H15*2</f>
        <v>247.68</v>
      </c>
      <c r="I16" s="32" t="s">
        <v>220</v>
      </c>
    </row>
    <row r="17" spans="2:9" ht="15.75" thickBot="1">
      <c r="B17" s="304" t="s">
        <v>242</v>
      </c>
      <c r="C17" s="305" t="s">
        <v>35</v>
      </c>
      <c r="D17" s="306">
        <f>D5-D16</f>
        <v>13.4</v>
      </c>
      <c r="G17" s="136" t="s">
        <v>258</v>
      </c>
      <c r="H17" s="390">
        <f>H15*3</f>
        <v>371.52</v>
      </c>
      <c r="I17" s="389" t="s">
        <v>220</v>
      </c>
    </row>
    <row r="18" spans="2:9">
      <c r="B18" s="304" t="s">
        <v>252</v>
      </c>
      <c r="C18" s="305" t="s">
        <v>240</v>
      </c>
      <c r="D18" s="312">
        <f>(3.14/4)*D4*D4*D17</f>
        <v>2366.7750000000001</v>
      </c>
    </row>
    <row r="19" spans="2:9" ht="15.75" thickBot="1">
      <c r="B19" s="316" t="s">
        <v>254</v>
      </c>
      <c r="C19" s="317" t="s">
        <v>241</v>
      </c>
      <c r="D19" s="318">
        <f>D15/D18</f>
        <v>1.887378394650949</v>
      </c>
    </row>
  </sheetData>
  <mergeCells count="5">
    <mergeCell ref="B7:D7"/>
    <mergeCell ref="B2:D2"/>
    <mergeCell ref="B3:D3"/>
    <mergeCell ref="B13:D13"/>
    <mergeCell ref="F1:H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O125"/>
  <sheetViews>
    <sheetView zoomScale="84" zoomScaleNormal="84" workbookViewId="0">
      <selection activeCell="P23" sqref="P23"/>
    </sheetView>
  </sheetViews>
  <sheetFormatPr defaultRowHeight="15"/>
  <cols>
    <col min="3" max="3" width="11" customWidth="1"/>
    <col min="4" max="4" width="16.85546875" customWidth="1"/>
    <col min="7" max="7" width="12.140625" customWidth="1"/>
    <col min="9" max="9" width="10.5703125" customWidth="1"/>
    <col min="10" max="10" width="12" customWidth="1"/>
    <col min="12" max="12" width="10.5703125" customWidth="1"/>
    <col min="13" max="13" width="12.85546875" customWidth="1"/>
    <col min="15" max="15" width="11.7109375" customWidth="1"/>
  </cols>
  <sheetData>
    <row r="2" spans="3:14" ht="21">
      <c r="K2" s="569" t="s">
        <v>166</v>
      </c>
      <c r="L2" s="569"/>
      <c r="M2" s="569"/>
      <c r="N2" s="569"/>
    </row>
    <row r="7" spans="3:14" ht="21">
      <c r="C7" s="645" t="s">
        <v>266</v>
      </c>
      <c r="D7" s="645"/>
    </row>
    <row r="10" spans="3:14" ht="15.75" thickBot="1"/>
    <row r="11" spans="3:14" ht="19.5" thickBot="1">
      <c r="C11" s="578" t="s">
        <v>0</v>
      </c>
      <c r="D11" s="579"/>
      <c r="E11" s="579"/>
      <c r="F11" s="580"/>
    </row>
    <row r="12" spans="3:14" ht="16.5" thickBot="1">
      <c r="C12" s="581" t="s">
        <v>167</v>
      </c>
      <c r="D12" s="582"/>
      <c r="E12" s="582"/>
      <c r="F12" s="583"/>
    </row>
    <row r="13" spans="3:14" ht="15.75">
      <c r="C13" s="641" t="s">
        <v>193</v>
      </c>
      <c r="D13" s="642"/>
      <c r="E13" s="106">
        <v>6</v>
      </c>
      <c r="F13" s="107" t="s">
        <v>35</v>
      </c>
    </row>
    <row r="14" spans="3:14" ht="15.75">
      <c r="C14" s="639" t="s">
        <v>194</v>
      </c>
      <c r="D14" s="640"/>
      <c r="E14" s="108">
        <v>6</v>
      </c>
      <c r="F14" s="109" t="s">
        <v>35</v>
      </c>
    </row>
    <row r="15" spans="3:14" ht="15.75" customHeight="1">
      <c r="C15" s="639" t="s">
        <v>134</v>
      </c>
      <c r="D15" s="640"/>
      <c r="E15" s="108">
        <v>2</v>
      </c>
      <c r="F15" s="109" t="s">
        <v>35</v>
      </c>
    </row>
    <row r="16" spans="3:14" ht="15.75" customHeight="1">
      <c r="C16" s="643" t="s">
        <v>168</v>
      </c>
      <c r="D16" s="644"/>
      <c r="E16" s="110">
        <v>1.639</v>
      </c>
      <c r="F16" s="109" t="s">
        <v>169</v>
      </c>
    </row>
    <row r="17" spans="3:15" ht="15.75">
      <c r="C17" s="639" t="s">
        <v>170</v>
      </c>
      <c r="D17" s="640"/>
      <c r="E17" s="108">
        <v>0.254</v>
      </c>
      <c r="F17" s="109" t="s">
        <v>129</v>
      </c>
    </row>
    <row r="18" spans="3:15" ht="15.75">
      <c r="C18" s="639" t="s">
        <v>171</v>
      </c>
      <c r="D18" s="640"/>
      <c r="E18" s="108">
        <v>0.125</v>
      </c>
      <c r="F18" s="109" t="s">
        <v>172</v>
      </c>
    </row>
    <row r="19" spans="3:15" ht="15.75">
      <c r="C19" s="639" t="s">
        <v>173</v>
      </c>
      <c r="D19" s="640"/>
      <c r="E19" s="108">
        <v>1E-3</v>
      </c>
      <c r="F19" s="109" t="s">
        <v>35</v>
      </c>
    </row>
    <row r="20" spans="3:15" ht="18.75">
      <c r="C20" s="639" t="s">
        <v>174</v>
      </c>
      <c r="D20" s="640"/>
      <c r="E20" s="111">
        <f>(E13*E14*E15)</f>
        <v>72</v>
      </c>
      <c r="F20" s="109" t="s">
        <v>175</v>
      </c>
    </row>
    <row r="21" spans="3:15" ht="15.75" thickBot="1">
      <c r="C21" s="651" t="s">
        <v>176</v>
      </c>
      <c r="D21" s="652"/>
      <c r="E21" s="112">
        <f>(E16*E20)</f>
        <v>118.008</v>
      </c>
      <c r="F21" s="113" t="s">
        <v>177</v>
      </c>
    </row>
    <row r="22" spans="3:15" ht="15.75" thickBot="1"/>
    <row r="23" spans="3:15" ht="16.5" customHeight="1" thickBot="1">
      <c r="C23" s="609" t="s">
        <v>178</v>
      </c>
      <c r="D23" s="611" t="s">
        <v>198</v>
      </c>
      <c r="E23" s="613" t="s">
        <v>199</v>
      </c>
      <c r="F23" s="649" t="s">
        <v>200</v>
      </c>
      <c r="G23" s="646" t="s">
        <v>182</v>
      </c>
      <c r="H23" s="647"/>
      <c r="I23" s="648"/>
      <c r="J23" s="606" t="s">
        <v>183</v>
      </c>
      <c r="K23" s="607"/>
      <c r="L23" s="608"/>
      <c r="M23" s="606" t="s">
        <v>184</v>
      </c>
      <c r="N23" s="607"/>
      <c r="O23" s="608"/>
    </row>
    <row r="24" spans="3:15" ht="48" thickBot="1">
      <c r="C24" s="610"/>
      <c r="D24" s="612"/>
      <c r="E24" s="614"/>
      <c r="F24" s="650"/>
      <c r="G24" s="179" t="s">
        <v>185</v>
      </c>
      <c r="H24" s="181" t="s">
        <v>186</v>
      </c>
      <c r="I24" s="180" t="s">
        <v>187</v>
      </c>
      <c r="J24" s="148" t="s">
        <v>185</v>
      </c>
      <c r="K24" s="146" t="s">
        <v>186</v>
      </c>
      <c r="L24" s="147" t="s">
        <v>187</v>
      </c>
      <c r="M24" s="148" t="s">
        <v>185</v>
      </c>
      <c r="N24" s="146" t="s">
        <v>186</v>
      </c>
      <c r="O24" s="147" t="s">
        <v>187</v>
      </c>
    </row>
    <row r="25" spans="3:15">
      <c r="C25" s="149">
        <v>0</v>
      </c>
      <c r="D25" s="197">
        <v>0</v>
      </c>
      <c r="E25" s="178">
        <f>($E$13-D25)</f>
        <v>6</v>
      </c>
      <c r="F25" s="182">
        <f>E25*$E$13</f>
        <v>36</v>
      </c>
      <c r="G25" s="152">
        <v>0</v>
      </c>
      <c r="H25" s="156">
        <f>G25*$E$17</f>
        <v>0</v>
      </c>
      <c r="I25" s="154">
        <f t="shared" ref="I25:I31" si="0">H25/F25</f>
        <v>0</v>
      </c>
      <c r="J25" s="155">
        <v>0</v>
      </c>
      <c r="K25" s="156">
        <f>J25*$E$17</f>
        <v>0</v>
      </c>
      <c r="L25" s="157">
        <f t="shared" ref="L25:L31" si="1">K25/F25</f>
        <v>0</v>
      </c>
      <c r="M25" s="443">
        <v>0</v>
      </c>
      <c r="N25" s="153">
        <f>M25*$E$17</f>
        <v>0</v>
      </c>
      <c r="O25" s="154">
        <f t="shared" ref="O25:O31" si="2">N25/F25</f>
        <v>0</v>
      </c>
    </row>
    <row r="26" spans="3:15">
      <c r="C26" s="159">
        <v>50</v>
      </c>
      <c r="D26" s="198">
        <v>0.05</v>
      </c>
      <c r="E26" s="105">
        <f t="shared" ref="E26:E31" si="3">($E$13-D26)</f>
        <v>5.95</v>
      </c>
      <c r="F26" s="183">
        <f t="shared" ref="F26:F31" si="4">E26*$E$13</f>
        <v>35.700000000000003</v>
      </c>
      <c r="G26" s="161">
        <v>38</v>
      </c>
      <c r="H26" s="162">
        <f t="shared" ref="H26:H31" si="5">G26*$E$17</f>
        <v>9.652000000000001</v>
      </c>
      <c r="I26" s="163">
        <f t="shared" si="0"/>
        <v>0.27036414565826333</v>
      </c>
      <c r="J26" s="164">
        <v>44</v>
      </c>
      <c r="K26" s="156">
        <f t="shared" ref="K26:K31" si="6">J26*$E$17</f>
        <v>11.176</v>
      </c>
      <c r="L26" s="163">
        <f t="shared" si="1"/>
        <v>0.31305322128851537</v>
      </c>
      <c r="M26" s="164">
        <v>53</v>
      </c>
      <c r="N26" s="156">
        <f t="shared" ref="N26:N31" si="7">M26*$E$17</f>
        <v>13.462</v>
      </c>
      <c r="O26" s="163">
        <f t="shared" si="2"/>
        <v>0.37708683473389354</v>
      </c>
    </row>
    <row r="27" spans="3:15">
      <c r="C27" s="159">
        <v>100</v>
      </c>
      <c r="D27" s="198">
        <v>0.1</v>
      </c>
      <c r="E27" s="105">
        <f t="shared" si="3"/>
        <v>5.9</v>
      </c>
      <c r="F27" s="183">
        <f t="shared" si="4"/>
        <v>35.400000000000006</v>
      </c>
      <c r="G27" s="161">
        <v>53</v>
      </c>
      <c r="H27" s="162">
        <f t="shared" si="5"/>
        <v>13.462</v>
      </c>
      <c r="I27" s="163">
        <f t="shared" si="0"/>
        <v>0.38028248587570612</v>
      </c>
      <c r="J27" s="164">
        <v>65</v>
      </c>
      <c r="K27" s="156">
        <f t="shared" si="6"/>
        <v>16.510000000000002</v>
      </c>
      <c r="L27" s="163">
        <f t="shared" si="1"/>
        <v>0.46638418079096045</v>
      </c>
      <c r="M27" s="164">
        <v>79</v>
      </c>
      <c r="N27" s="156">
        <f t="shared" si="7"/>
        <v>20.065999999999999</v>
      </c>
      <c r="O27" s="163">
        <f t="shared" si="2"/>
        <v>0.56683615819209032</v>
      </c>
    </row>
    <row r="28" spans="3:15">
      <c r="C28" s="159">
        <v>150</v>
      </c>
      <c r="D28" s="198">
        <v>0.15</v>
      </c>
      <c r="E28" s="105">
        <f t="shared" si="3"/>
        <v>5.85</v>
      </c>
      <c r="F28" s="183">
        <f t="shared" si="4"/>
        <v>35.099999999999994</v>
      </c>
      <c r="G28" s="161">
        <v>65</v>
      </c>
      <c r="H28" s="162">
        <f t="shared" si="5"/>
        <v>16.510000000000002</v>
      </c>
      <c r="I28" s="163">
        <f t="shared" si="0"/>
        <v>0.47037037037037049</v>
      </c>
      <c r="J28" s="164">
        <v>81</v>
      </c>
      <c r="K28" s="156">
        <f t="shared" si="6"/>
        <v>20.574000000000002</v>
      </c>
      <c r="L28" s="163">
        <f t="shared" si="1"/>
        <v>0.58615384615384625</v>
      </c>
      <c r="M28" s="164">
        <v>104</v>
      </c>
      <c r="N28" s="156">
        <f t="shared" si="7"/>
        <v>26.416</v>
      </c>
      <c r="O28" s="163">
        <f t="shared" si="2"/>
        <v>0.7525925925925927</v>
      </c>
    </row>
    <row r="29" spans="3:15">
      <c r="C29" s="159">
        <v>200</v>
      </c>
      <c r="D29" s="198">
        <v>0.2</v>
      </c>
      <c r="E29" s="105">
        <f t="shared" si="3"/>
        <v>5.8</v>
      </c>
      <c r="F29" s="183">
        <f t="shared" si="4"/>
        <v>34.799999999999997</v>
      </c>
      <c r="G29" s="161">
        <v>78</v>
      </c>
      <c r="H29" s="162">
        <f t="shared" si="5"/>
        <v>19.812000000000001</v>
      </c>
      <c r="I29" s="163">
        <f t="shared" si="0"/>
        <v>0.56931034482758625</v>
      </c>
      <c r="J29" s="164">
        <v>95</v>
      </c>
      <c r="K29" s="156">
        <f t="shared" si="6"/>
        <v>24.13</v>
      </c>
      <c r="L29" s="163">
        <f t="shared" si="1"/>
        <v>0.69339080459770119</v>
      </c>
      <c r="M29" s="164">
        <v>121</v>
      </c>
      <c r="N29" s="156">
        <f t="shared" si="7"/>
        <v>30.734000000000002</v>
      </c>
      <c r="O29" s="163">
        <f t="shared" si="2"/>
        <v>0.88316091954023002</v>
      </c>
    </row>
    <row r="30" spans="3:15">
      <c r="C30" s="159">
        <v>250</v>
      </c>
      <c r="D30" s="198">
        <v>0.25</v>
      </c>
      <c r="E30" s="105">
        <f t="shared" si="3"/>
        <v>5.75</v>
      </c>
      <c r="F30" s="183">
        <f t="shared" si="4"/>
        <v>34.5</v>
      </c>
      <c r="G30" s="161">
        <v>80</v>
      </c>
      <c r="H30" s="162">
        <f t="shared" si="5"/>
        <v>20.32</v>
      </c>
      <c r="I30" s="163">
        <f t="shared" si="0"/>
        <v>0.58898550724637677</v>
      </c>
      <c r="J30" s="164">
        <v>107</v>
      </c>
      <c r="K30" s="156">
        <f t="shared" si="6"/>
        <v>27.178000000000001</v>
      </c>
      <c r="L30" s="163">
        <f t="shared" si="1"/>
        <v>0.787768115942029</v>
      </c>
      <c r="M30" s="164">
        <v>135</v>
      </c>
      <c r="N30" s="156">
        <f t="shared" si="7"/>
        <v>34.29</v>
      </c>
      <c r="O30" s="163">
        <f t="shared" si="2"/>
        <v>0.99391304347826082</v>
      </c>
    </row>
    <row r="31" spans="3:15">
      <c r="C31" s="159">
        <v>300</v>
      </c>
      <c r="D31" s="198">
        <v>0.3</v>
      </c>
      <c r="E31" s="105">
        <f t="shared" si="3"/>
        <v>5.7</v>
      </c>
      <c r="F31" s="183">
        <f t="shared" si="4"/>
        <v>34.200000000000003</v>
      </c>
      <c r="G31" s="161">
        <v>73</v>
      </c>
      <c r="H31" s="162">
        <f t="shared" si="5"/>
        <v>18.542000000000002</v>
      </c>
      <c r="I31" s="163">
        <f t="shared" si="0"/>
        <v>0.54216374269005851</v>
      </c>
      <c r="J31" s="164">
        <v>111</v>
      </c>
      <c r="K31" s="156">
        <f t="shared" si="6"/>
        <v>28.193999999999999</v>
      </c>
      <c r="L31" s="163">
        <f t="shared" si="1"/>
        <v>0.82438596491228056</v>
      </c>
      <c r="M31" s="164">
        <v>147</v>
      </c>
      <c r="N31" s="156">
        <f t="shared" si="7"/>
        <v>37.338000000000001</v>
      </c>
      <c r="O31" s="163">
        <f t="shared" si="2"/>
        <v>1.0917543859649121</v>
      </c>
    </row>
    <row r="32" spans="3:15">
      <c r="C32" s="159">
        <v>350</v>
      </c>
      <c r="D32" s="198">
        <v>0.35</v>
      </c>
      <c r="E32" s="105">
        <f>($E$13-D32)</f>
        <v>5.65</v>
      </c>
      <c r="F32" s="183">
        <f>E32*$E$13</f>
        <v>33.900000000000006</v>
      </c>
      <c r="G32" s="164"/>
      <c r="H32" s="162"/>
      <c r="I32" s="163"/>
      <c r="J32" s="164">
        <v>109</v>
      </c>
      <c r="K32" s="156">
        <f>J32*$E$17</f>
        <v>27.686</v>
      </c>
      <c r="L32" s="163">
        <f>K32/F32</f>
        <v>0.81669616519174026</v>
      </c>
      <c r="M32" s="164">
        <v>153</v>
      </c>
      <c r="N32" s="156">
        <f>M32*$E$17</f>
        <v>38.862000000000002</v>
      </c>
      <c r="O32" s="163">
        <f>N32/F32</f>
        <v>1.146371681415929</v>
      </c>
    </row>
    <row r="33" spans="3:15">
      <c r="C33" s="159">
        <v>400</v>
      </c>
      <c r="D33" s="198">
        <v>0.4</v>
      </c>
      <c r="E33" s="105">
        <f>($E$13-D33)</f>
        <v>5.6</v>
      </c>
      <c r="F33" s="183">
        <f>E33*$E$13</f>
        <v>33.599999999999994</v>
      </c>
      <c r="G33" s="161"/>
      <c r="H33" s="162"/>
      <c r="I33" s="163"/>
      <c r="J33" s="161">
        <v>97</v>
      </c>
      <c r="K33" s="156">
        <f>J33*$E$17</f>
        <v>24.638000000000002</v>
      </c>
      <c r="L33" s="163">
        <f>K33/F33</f>
        <v>0.73327380952380972</v>
      </c>
      <c r="M33" s="164">
        <v>151</v>
      </c>
      <c r="N33" s="156">
        <f>M33*$E$17</f>
        <v>38.353999999999999</v>
      </c>
      <c r="O33" s="163">
        <f>N33/F33</f>
        <v>1.1414880952380955</v>
      </c>
    </row>
    <row r="34" spans="3:15" ht="15.75" thickBot="1">
      <c r="C34" s="159">
        <v>450</v>
      </c>
      <c r="D34" s="198">
        <v>0.45</v>
      </c>
      <c r="E34" s="105">
        <f>($E$13-D34)</f>
        <v>5.55</v>
      </c>
      <c r="F34" s="183">
        <f>E34*$E$13</f>
        <v>33.299999999999997</v>
      </c>
      <c r="G34" s="166"/>
      <c r="H34" s="167"/>
      <c r="I34" s="168"/>
      <c r="J34" s="169"/>
      <c r="K34" s="167"/>
      <c r="L34" s="168"/>
      <c r="M34" s="169">
        <v>144</v>
      </c>
      <c r="N34" s="453">
        <f>M34*$E$17</f>
        <v>36.576000000000001</v>
      </c>
      <c r="O34" s="168">
        <f>N34/F34</f>
        <v>1.0983783783783785</v>
      </c>
    </row>
    <row r="35" spans="3:15" ht="16.5" thickBot="1">
      <c r="C35" s="136"/>
      <c r="D35" s="137"/>
      <c r="E35" s="137"/>
      <c r="F35" s="137"/>
      <c r="G35" s="137"/>
      <c r="H35" s="138" t="s">
        <v>188</v>
      </c>
      <c r="I35" s="170">
        <f>MAX(I25:I34)</f>
        <v>0.58898550724637677</v>
      </c>
      <c r="J35" s="137"/>
      <c r="K35" s="138" t="s">
        <v>188</v>
      </c>
      <c r="L35" s="170">
        <f>MAX(L25:L34)</f>
        <v>0.82438596491228056</v>
      </c>
      <c r="M35" s="137"/>
      <c r="N35" s="138" t="s">
        <v>188</v>
      </c>
      <c r="O35" s="171">
        <f>MAX(O25:O34)</f>
        <v>1.146371681415929</v>
      </c>
    </row>
    <row r="37" spans="3:15" ht="15.75" thickBot="1"/>
    <row r="38" spans="3:15" ht="18.75">
      <c r="C38" s="172" t="s">
        <v>189</v>
      </c>
      <c r="D38" s="173" t="s">
        <v>190</v>
      </c>
    </row>
    <row r="39" spans="3:15">
      <c r="C39" s="130">
        <v>0</v>
      </c>
      <c r="D39" s="215">
        <v>0</v>
      </c>
      <c r="F39" t="s">
        <v>191</v>
      </c>
      <c r="G39" s="89">
        <v>0.68010000000000004</v>
      </c>
    </row>
    <row r="40" spans="3:15">
      <c r="C40" s="130">
        <v>0.65</v>
      </c>
      <c r="D40" s="129">
        <f>I35</f>
        <v>0.58898550724637677</v>
      </c>
      <c r="F40" t="s">
        <v>192</v>
      </c>
      <c r="G40" s="12">
        <f>DEGREES((ATAN(G39)))</f>
        <v>34.219619878290558</v>
      </c>
    </row>
    <row r="41" spans="3:15">
      <c r="C41" s="130">
        <v>1.1499999999999999</v>
      </c>
      <c r="D41" s="129">
        <f>L35</f>
        <v>0.82438596491228056</v>
      </c>
    </row>
    <row r="42" spans="3:15" ht="15.75" thickBot="1">
      <c r="C42" s="135">
        <v>1.65</v>
      </c>
      <c r="D42" s="134">
        <f>O35</f>
        <v>1.146371681415929</v>
      </c>
    </row>
    <row r="49" spans="3:6" ht="21">
      <c r="C49" s="645" t="s">
        <v>265</v>
      </c>
      <c r="D49" s="645"/>
    </row>
    <row r="52" spans="3:6" ht="15.75" thickBot="1"/>
    <row r="53" spans="3:6" ht="19.5" thickBot="1">
      <c r="C53" s="578" t="s">
        <v>0</v>
      </c>
      <c r="D53" s="579"/>
      <c r="E53" s="579"/>
      <c r="F53" s="580"/>
    </row>
    <row r="54" spans="3:6" ht="16.5" thickBot="1">
      <c r="C54" s="581" t="s">
        <v>167</v>
      </c>
      <c r="D54" s="582"/>
      <c r="E54" s="582"/>
      <c r="F54" s="583"/>
    </row>
    <row r="55" spans="3:6" ht="15.75">
      <c r="C55" s="641" t="s">
        <v>193</v>
      </c>
      <c r="D55" s="642"/>
      <c r="E55" s="106">
        <v>6</v>
      </c>
      <c r="F55" s="107" t="s">
        <v>35</v>
      </c>
    </row>
    <row r="56" spans="3:6" ht="15.75">
      <c r="C56" s="639" t="s">
        <v>194</v>
      </c>
      <c r="D56" s="640"/>
      <c r="E56" s="108">
        <v>6</v>
      </c>
      <c r="F56" s="109" t="s">
        <v>35</v>
      </c>
    </row>
    <row r="57" spans="3:6" ht="15.75">
      <c r="C57" s="639" t="s">
        <v>134</v>
      </c>
      <c r="D57" s="640"/>
      <c r="E57" s="108">
        <v>2</v>
      </c>
      <c r="F57" s="109" t="s">
        <v>35</v>
      </c>
    </row>
    <row r="58" spans="3:6" ht="15.75">
      <c r="C58" s="643" t="s">
        <v>168</v>
      </c>
      <c r="D58" s="644"/>
      <c r="E58" s="110">
        <v>1.72</v>
      </c>
      <c r="F58" s="109" t="s">
        <v>169</v>
      </c>
    </row>
    <row r="59" spans="3:6" ht="15.75">
      <c r="C59" s="639" t="s">
        <v>170</v>
      </c>
      <c r="D59" s="640"/>
      <c r="E59" s="108">
        <v>0.254</v>
      </c>
      <c r="F59" s="109" t="s">
        <v>129</v>
      </c>
    </row>
    <row r="60" spans="3:6" ht="15.75">
      <c r="C60" s="639" t="s">
        <v>171</v>
      </c>
      <c r="D60" s="640"/>
      <c r="E60" s="108">
        <v>0.125</v>
      </c>
      <c r="F60" s="109" t="s">
        <v>172</v>
      </c>
    </row>
    <row r="61" spans="3:6" ht="15.75">
      <c r="C61" s="639" t="s">
        <v>173</v>
      </c>
      <c r="D61" s="640"/>
      <c r="E61" s="108">
        <v>1E-3</v>
      </c>
      <c r="F61" s="109" t="s">
        <v>35</v>
      </c>
    </row>
    <row r="62" spans="3:6" ht="18.75">
      <c r="C62" s="639" t="s">
        <v>174</v>
      </c>
      <c r="D62" s="640"/>
      <c r="E62" s="111">
        <f>(E55*E56*E57)</f>
        <v>72</v>
      </c>
      <c r="F62" s="109" t="s">
        <v>175</v>
      </c>
    </row>
    <row r="63" spans="3:6" ht="15.75" thickBot="1">
      <c r="C63" s="651" t="s">
        <v>176</v>
      </c>
      <c r="D63" s="652"/>
      <c r="E63" s="112">
        <f>(E58*E62)</f>
        <v>123.84</v>
      </c>
      <c r="F63" s="113" t="s">
        <v>177</v>
      </c>
    </row>
    <row r="64" spans="3:6" ht="15.75" thickBot="1"/>
    <row r="65" spans="3:15" ht="16.5" thickBot="1">
      <c r="C65" s="609" t="s">
        <v>178</v>
      </c>
      <c r="D65" s="611" t="s">
        <v>198</v>
      </c>
      <c r="E65" s="613" t="s">
        <v>199</v>
      </c>
      <c r="F65" s="649" t="s">
        <v>200</v>
      </c>
      <c r="G65" s="646" t="s">
        <v>195</v>
      </c>
      <c r="H65" s="647"/>
      <c r="I65" s="648"/>
      <c r="J65" s="606" t="s">
        <v>196</v>
      </c>
      <c r="K65" s="607"/>
      <c r="L65" s="608"/>
      <c r="M65" s="606" t="s">
        <v>197</v>
      </c>
      <c r="N65" s="607"/>
      <c r="O65" s="608"/>
    </row>
    <row r="66" spans="3:15" ht="48" thickBot="1">
      <c r="C66" s="653"/>
      <c r="D66" s="654"/>
      <c r="E66" s="655"/>
      <c r="F66" s="656"/>
      <c r="G66" s="179" t="s">
        <v>185</v>
      </c>
      <c r="H66" s="181" t="s">
        <v>186</v>
      </c>
      <c r="I66" s="180" t="s">
        <v>187</v>
      </c>
      <c r="J66" s="148" t="s">
        <v>185</v>
      </c>
      <c r="K66" s="146" t="s">
        <v>186</v>
      </c>
      <c r="L66" s="147" t="s">
        <v>187</v>
      </c>
      <c r="M66" s="148" t="s">
        <v>185</v>
      </c>
      <c r="N66" s="146" t="s">
        <v>186</v>
      </c>
      <c r="O66" s="147" t="s">
        <v>187</v>
      </c>
    </row>
    <row r="67" spans="3:15">
      <c r="C67" s="149">
        <v>0</v>
      </c>
      <c r="D67" s="153">
        <v>0</v>
      </c>
      <c r="E67" s="151">
        <f>($E$13-D67)</f>
        <v>6</v>
      </c>
      <c r="F67" s="445">
        <f>E67*$E$13</f>
        <v>36</v>
      </c>
      <c r="G67" s="152">
        <v>0</v>
      </c>
      <c r="H67" s="153">
        <f>G67*$E$17</f>
        <v>0</v>
      </c>
      <c r="I67" s="154">
        <f t="shared" ref="I67:I74" si="8">H67/F67</f>
        <v>0</v>
      </c>
      <c r="J67" s="155">
        <v>0</v>
      </c>
      <c r="K67" s="153">
        <f>J67*$E$17</f>
        <v>0</v>
      </c>
      <c r="L67" s="154">
        <f t="shared" ref="L67:L75" si="9">K67/F67</f>
        <v>0</v>
      </c>
      <c r="M67" s="158">
        <v>0</v>
      </c>
      <c r="N67" s="153">
        <f>M67*$E$17</f>
        <v>0</v>
      </c>
      <c r="O67" s="154">
        <f t="shared" ref="O67:O76" si="10">N67/F67</f>
        <v>0</v>
      </c>
    </row>
    <row r="68" spans="3:15">
      <c r="C68" s="159">
        <v>50</v>
      </c>
      <c r="D68" s="162">
        <v>0.05</v>
      </c>
      <c r="E68" s="105">
        <f t="shared" ref="E68:E75" si="11">($E$13-D68)</f>
        <v>5.95</v>
      </c>
      <c r="F68" s="446">
        <f t="shared" ref="F68:F75" si="12">E68*$E$13</f>
        <v>35.700000000000003</v>
      </c>
      <c r="G68" s="161">
        <v>64</v>
      </c>
      <c r="H68" s="162">
        <f t="shared" ref="H68:H74" si="13">G68*$E$17</f>
        <v>16.256</v>
      </c>
      <c r="I68" s="163">
        <f t="shared" si="8"/>
        <v>0.45535014005602237</v>
      </c>
      <c r="J68" s="164">
        <v>97</v>
      </c>
      <c r="K68" s="156">
        <f t="shared" ref="K68:K75" si="14">J68*$E$17</f>
        <v>24.638000000000002</v>
      </c>
      <c r="L68" s="163">
        <f t="shared" si="9"/>
        <v>0.69014005602240891</v>
      </c>
      <c r="M68" s="161">
        <v>119</v>
      </c>
      <c r="N68" s="156">
        <f t="shared" ref="N68:N76" si="15">M68*$E$17</f>
        <v>30.225999999999999</v>
      </c>
      <c r="O68" s="163">
        <f t="shared" si="10"/>
        <v>0.84666666666666657</v>
      </c>
    </row>
    <row r="69" spans="3:15">
      <c r="C69" s="159">
        <v>100</v>
      </c>
      <c r="D69" s="162">
        <v>0.1</v>
      </c>
      <c r="E69" s="105">
        <f t="shared" si="11"/>
        <v>5.9</v>
      </c>
      <c r="F69" s="446">
        <f t="shared" si="12"/>
        <v>35.400000000000006</v>
      </c>
      <c r="G69" s="161">
        <v>87</v>
      </c>
      <c r="H69" s="162">
        <f t="shared" si="13"/>
        <v>22.097999999999999</v>
      </c>
      <c r="I69" s="163">
        <f t="shared" si="8"/>
        <v>0.62423728813559309</v>
      </c>
      <c r="J69" s="164">
        <v>124</v>
      </c>
      <c r="K69" s="156">
        <f t="shared" si="14"/>
        <v>31.496000000000002</v>
      </c>
      <c r="L69" s="163">
        <f t="shared" si="9"/>
        <v>0.88971751412429367</v>
      </c>
      <c r="M69" s="161">
        <v>143</v>
      </c>
      <c r="N69" s="156">
        <f t="shared" si="15"/>
        <v>36.322000000000003</v>
      </c>
      <c r="O69" s="163">
        <f t="shared" si="10"/>
        <v>1.0260451977401128</v>
      </c>
    </row>
    <row r="70" spans="3:15">
      <c r="C70" s="159">
        <v>150</v>
      </c>
      <c r="D70" s="162">
        <v>0.15</v>
      </c>
      <c r="E70" s="105">
        <f t="shared" si="11"/>
        <v>5.85</v>
      </c>
      <c r="F70" s="446">
        <f t="shared" si="12"/>
        <v>35.099999999999994</v>
      </c>
      <c r="G70" s="161">
        <v>99</v>
      </c>
      <c r="H70" s="162">
        <f t="shared" si="13"/>
        <v>25.146000000000001</v>
      </c>
      <c r="I70" s="163">
        <f t="shared" si="8"/>
        <v>0.71641025641025657</v>
      </c>
      <c r="J70" s="164">
        <v>144</v>
      </c>
      <c r="K70" s="156">
        <f t="shared" si="14"/>
        <v>36.576000000000001</v>
      </c>
      <c r="L70" s="163">
        <f t="shared" si="9"/>
        <v>1.0420512820512822</v>
      </c>
      <c r="M70" s="161">
        <v>161</v>
      </c>
      <c r="N70" s="156">
        <f t="shared" si="15"/>
        <v>40.893999999999998</v>
      </c>
      <c r="O70" s="163">
        <f t="shared" si="10"/>
        <v>1.1650712250712252</v>
      </c>
    </row>
    <row r="71" spans="3:15">
      <c r="C71" s="159">
        <v>200</v>
      </c>
      <c r="D71" s="162">
        <v>0.2</v>
      </c>
      <c r="E71" s="105">
        <f t="shared" si="11"/>
        <v>5.8</v>
      </c>
      <c r="F71" s="446">
        <f t="shared" si="12"/>
        <v>34.799999999999997</v>
      </c>
      <c r="G71" s="161">
        <v>106</v>
      </c>
      <c r="H71" s="162">
        <f t="shared" si="13"/>
        <v>26.923999999999999</v>
      </c>
      <c r="I71" s="163">
        <f t="shared" si="8"/>
        <v>0.77367816091954023</v>
      </c>
      <c r="J71" s="164">
        <v>157</v>
      </c>
      <c r="K71" s="156">
        <f t="shared" si="14"/>
        <v>39.878</v>
      </c>
      <c r="L71" s="163">
        <f t="shared" si="9"/>
        <v>1.1459195402298852</v>
      </c>
      <c r="M71" s="161">
        <v>173</v>
      </c>
      <c r="N71" s="156">
        <f t="shared" si="15"/>
        <v>43.942</v>
      </c>
      <c r="O71" s="163">
        <f t="shared" si="10"/>
        <v>1.2627011494252876</v>
      </c>
    </row>
    <row r="72" spans="3:15">
      <c r="C72" s="159">
        <v>250</v>
      </c>
      <c r="D72" s="162">
        <v>0.25</v>
      </c>
      <c r="E72" s="105">
        <f t="shared" si="11"/>
        <v>5.75</v>
      </c>
      <c r="F72" s="446">
        <f t="shared" si="12"/>
        <v>34.5</v>
      </c>
      <c r="G72" s="161">
        <v>108</v>
      </c>
      <c r="H72" s="162">
        <f t="shared" si="13"/>
        <v>27.432000000000002</v>
      </c>
      <c r="I72" s="163">
        <f t="shared" si="8"/>
        <v>0.79513043478260881</v>
      </c>
      <c r="J72" s="164">
        <v>162</v>
      </c>
      <c r="K72" s="156">
        <f t="shared" si="14"/>
        <v>41.148000000000003</v>
      </c>
      <c r="L72" s="163">
        <f t="shared" si="9"/>
        <v>1.1926956521739132</v>
      </c>
      <c r="M72" s="161">
        <v>187</v>
      </c>
      <c r="N72" s="156">
        <f t="shared" si="15"/>
        <v>47.497999999999998</v>
      </c>
      <c r="O72" s="163">
        <f t="shared" si="10"/>
        <v>1.3767536231884057</v>
      </c>
    </row>
    <row r="73" spans="3:15">
      <c r="C73" s="159">
        <v>300</v>
      </c>
      <c r="D73" s="162">
        <v>0.3</v>
      </c>
      <c r="E73" s="105">
        <f t="shared" si="11"/>
        <v>5.7</v>
      </c>
      <c r="F73" s="446">
        <f t="shared" si="12"/>
        <v>34.200000000000003</v>
      </c>
      <c r="G73" s="161">
        <v>104</v>
      </c>
      <c r="H73" s="162">
        <f t="shared" si="13"/>
        <v>26.416</v>
      </c>
      <c r="I73" s="163">
        <f t="shared" si="8"/>
        <v>0.77239766081871342</v>
      </c>
      <c r="J73" s="164">
        <v>163</v>
      </c>
      <c r="K73" s="156">
        <f t="shared" si="14"/>
        <v>41.402000000000001</v>
      </c>
      <c r="L73" s="163">
        <f t="shared" si="9"/>
        <v>1.2105847953216373</v>
      </c>
      <c r="M73" s="161">
        <v>195</v>
      </c>
      <c r="N73" s="156">
        <f t="shared" si="15"/>
        <v>49.53</v>
      </c>
      <c r="O73" s="163">
        <f t="shared" si="10"/>
        <v>1.4482456140350877</v>
      </c>
    </row>
    <row r="74" spans="3:15">
      <c r="C74" s="159">
        <v>350</v>
      </c>
      <c r="D74" s="162">
        <v>0.35</v>
      </c>
      <c r="E74" s="105">
        <f t="shared" si="11"/>
        <v>5.65</v>
      </c>
      <c r="F74" s="446">
        <f t="shared" si="12"/>
        <v>33.900000000000006</v>
      </c>
      <c r="G74" s="161">
        <v>94</v>
      </c>
      <c r="H74" s="162">
        <f t="shared" si="13"/>
        <v>23.876000000000001</v>
      </c>
      <c r="I74" s="163">
        <f t="shared" si="8"/>
        <v>0.7043067846607669</v>
      </c>
      <c r="J74" s="444">
        <v>160</v>
      </c>
      <c r="K74" s="162">
        <f t="shared" si="14"/>
        <v>40.64</v>
      </c>
      <c r="L74" s="163">
        <f t="shared" si="9"/>
        <v>1.1988200589970499</v>
      </c>
      <c r="M74" s="164">
        <v>198</v>
      </c>
      <c r="N74" s="162">
        <f t="shared" si="15"/>
        <v>50.292000000000002</v>
      </c>
      <c r="O74" s="163">
        <f t="shared" si="10"/>
        <v>1.4835398230088495</v>
      </c>
    </row>
    <row r="75" spans="3:15">
      <c r="C75" s="159">
        <v>400</v>
      </c>
      <c r="D75" s="162">
        <v>0.4</v>
      </c>
      <c r="E75" s="105">
        <f t="shared" si="11"/>
        <v>5.6</v>
      </c>
      <c r="F75" s="446">
        <f t="shared" si="12"/>
        <v>33.599999999999994</v>
      </c>
      <c r="G75" s="161"/>
      <c r="H75" s="162"/>
      <c r="I75" s="163"/>
      <c r="J75" s="444">
        <v>154</v>
      </c>
      <c r="K75" s="162">
        <f t="shared" si="14"/>
        <v>39.116</v>
      </c>
      <c r="L75" s="163">
        <f t="shared" si="9"/>
        <v>1.1641666666666668</v>
      </c>
      <c r="M75" s="164">
        <v>189</v>
      </c>
      <c r="N75" s="162">
        <f t="shared" si="15"/>
        <v>48.006</v>
      </c>
      <c r="O75" s="163">
        <f t="shared" si="10"/>
        <v>1.4287500000000002</v>
      </c>
    </row>
    <row r="76" spans="3:15" ht="15.75" thickBot="1">
      <c r="C76" s="165">
        <v>450</v>
      </c>
      <c r="D76" s="167">
        <v>0.45</v>
      </c>
      <c r="E76" s="334">
        <f>($E$13-D76)</f>
        <v>5.55</v>
      </c>
      <c r="F76" s="448">
        <f>E76*$E$13</f>
        <v>33.299999999999997</v>
      </c>
      <c r="G76" s="166"/>
      <c r="H76" s="167"/>
      <c r="I76" s="168"/>
      <c r="J76" s="442"/>
      <c r="K76" s="167"/>
      <c r="L76" s="168"/>
      <c r="M76" s="164">
        <v>177</v>
      </c>
      <c r="N76" s="167">
        <f t="shared" si="15"/>
        <v>44.957999999999998</v>
      </c>
      <c r="O76" s="168">
        <f t="shared" si="10"/>
        <v>1.3500900900900901</v>
      </c>
    </row>
    <row r="77" spans="3:15" ht="16.5" thickBot="1">
      <c r="C77" s="136"/>
      <c r="D77" s="137"/>
      <c r="E77" s="137"/>
      <c r="F77" s="447"/>
      <c r="G77" s="137"/>
      <c r="H77" s="138" t="s">
        <v>188</v>
      </c>
      <c r="I77" s="170">
        <f>MAX(I67:I76)</f>
        <v>0.79513043478260881</v>
      </c>
      <c r="J77" s="137"/>
      <c r="K77" s="138" t="s">
        <v>188</v>
      </c>
      <c r="L77" s="170">
        <f>MAX(L67:L76)</f>
        <v>1.2105847953216373</v>
      </c>
      <c r="M77" s="137"/>
      <c r="N77" s="138" t="s">
        <v>188</v>
      </c>
      <c r="O77" s="171">
        <f>MAX(O67:O76)</f>
        <v>1.4835398230088495</v>
      </c>
    </row>
    <row r="79" spans="3:15" ht="15.75" thickBot="1"/>
    <row r="80" spans="3:15" ht="18.75">
      <c r="C80" s="172" t="s">
        <v>189</v>
      </c>
      <c r="D80" s="173" t="s">
        <v>190</v>
      </c>
    </row>
    <row r="81" spans="3:7">
      <c r="C81" s="130">
        <v>0</v>
      </c>
      <c r="D81" s="215">
        <v>0</v>
      </c>
      <c r="F81" t="s">
        <v>191</v>
      </c>
      <c r="G81" s="89">
        <v>0.90310000000000001</v>
      </c>
    </row>
    <row r="82" spans="3:7">
      <c r="C82" s="130">
        <v>0.65</v>
      </c>
      <c r="D82" s="129">
        <f>I77</f>
        <v>0.79513043478260881</v>
      </c>
      <c r="F82" t="s">
        <v>192</v>
      </c>
      <c r="G82" s="12">
        <f>DEGREES((ATAN(G81)))</f>
        <v>42.085192263662485</v>
      </c>
    </row>
    <row r="83" spans="3:7">
      <c r="C83" s="130">
        <v>1.1499999999999999</v>
      </c>
      <c r="D83" s="129">
        <f>L77</f>
        <v>1.2105847953216373</v>
      </c>
    </row>
    <row r="84" spans="3:7" ht="15.75" thickBot="1">
      <c r="C84" s="135">
        <v>1.65</v>
      </c>
      <c r="D84" s="134">
        <f>O77</f>
        <v>1.4835398230088495</v>
      </c>
    </row>
    <row r="90" spans="3:7" ht="21">
      <c r="C90" s="645" t="s">
        <v>267</v>
      </c>
      <c r="D90" s="645"/>
    </row>
    <row r="93" spans="3:7" ht="15.75" thickBot="1"/>
    <row r="94" spans="3:7" ht="19.5" thickBot="1">
      <c r="C94" s="578" t="s">
        <v>0</v>
      </c>
      <c r="D94" s="579"/>
      <c r="E94" s="579"/>
      <c r="F94" s="580"/>
    </row>
    <row r="95" spans="3:7" ht="16.5" thickBot="1">
      <c r="C95" s="581" t="s">
        <v>167</v>
      </c>
      <c r="D95" s="582"/>
      <c r="E95" s="582"/>
      <c r="F95" s="583"/>
    </row>
    <row r="96" spans="3:7" ht="15.75">
      <c r="C96" s="641" t="s">
        <v>193</v>
      </c>
      <c r="D96" s="642"/>
      <c r="E96" s="106">
        <v>6</v>
      </c>
      <c r="F96" s="107" t="s">
        <v>35</v>
      </c>
    </row>
    <row r="97" spans="3:15" ht="15.75">
      <c r="C97" s="639" t="s">
        <v>194</v>
      </c>
      <c r="D97" s="640"/>
      <c r="E97" s="108">
        <v>6</v>
      </c>
      <c r="F97" s="109" t="s">
        <v>35</v>
      </c>
    </row>
    <row r="98" spans="3:15" ht="15.75">
      <c r="C98" s="639" t="s">
        <v>134</v>
      </c>
      <c r="D98" s="640"/>
      <c r="E98" s="108">
        <v>2</v>
      </c>
      <c r="F98" s="109" t="s">
        <v>35</v>
      </c>
    </row>
    <row r="99" spans="3:15" ht="15.75">
      <c r="C99" s="643" t="s">
        <v>168</v>
      </c>
      <c r="D99" s="644"/>
      <c r="E99" s="110">
        <v>1.8049999999999999</v>
      </c>
      <c r="F99" s="109" t="s">
        <v>169</v>
      </c>
    </row>
    <row r="100" spans="3:15" ht="15.75">
      <c r="C100" s="639" t="s">
        <v>170</v>
      </c>
      <c r="D100" s="640"/>
      <c r="E100" s="108">
        <v>0.254</v>
      </c>
      <c r="F100" s="109" t="s">
        <v>129</v>
      </c>
    </row>
    <row r="101" spans="3:15" ht="15.75">
      <c r="C101" s="639" t="s">
        <v>171</v>
      </c>
      <c r="D101" s="640"/>
      <c r="E101" s="108">
        <v>0.125</v>
      </c>
      <c r="F101" s="109" t="s">
        <v>172</v>
      </c>
    </row>
    <row r="102" spans="3:15" ht="15.75">
      <c r="C102" s="639" t="s">
        <v>173</v>
      </c>
      <c r="D102" s="640"/>
      <c r="E102" s="108">
        <v>1E-3</v>
      </c>
      <c r="F102" s="109" t="s">
        <v>35</v>
      </c>
    </row>
    <row r="103" spans="3:15" ht="18.75">
      <c r="C103" s="639" t="s">
        <v>174</v>
      </c>
      <c r="D103" s="640"/>
      <c r="E103" s="111">
        <f>(E96*E97*E98)</f>
        <v>72</v>
      </c>
      <c r="F103" s="109" t="s">
        <v>175</v>
      </c>
    </row>
    <row r="104" spans="3:15" ht="15.75" thickBot="1">
      <c r="C104" s="651" t="s">
        <v>176</v>
      </c>
      <c r="D104" s="652"/>
      <c r="E104" s="112">
        <f>(E99*E103)</f>
        <v>129.96</v>
      </c>
      <c r="F104" s="113" t="s">
        <v>177</v>
      </c>
    </row>
    <row r="105" spans="3:15" ht="15.75" thickBot="1"/>
    <row r="106" spans="3:15" ht="16.5" thickBot="1">
      <c r="C106" s="609" t="s">
        <v>178</v>
      </c>
      <c r="D106" s="611" t="s">
        <v>198</v>
      </c>
      <c r="E106" s="613" t="s">
        <v>199</v>
      </c>
      <c r="F106" s="649" t="s">
        <v>200</v>
      </c>
      <c r="G106" s="646" t="s">
        <v>182</v>
      </c>
      <c r="H106" s="647"/>
      <c r="I106" s="648"/>
      <c r="J106" s="606" t="s">
        <v>305</v>
      </c>
      <c r="K106" s="607"/>
      <c r="L106" s="608"/>
      <c r="M106" s="606" t="s">
        <v>184</v>
      </c>
      <c r="N106" s="607"/>
      <c r="O106" s="608"/>
    </row>
    <row r="107" spans="3:15" ht="48" thickBot="1">
      <c r="C107" s="610"/>
      <c r="D107" s="612"/>
      <c r="E107" s="614"/>
      <c r="F107" s="650"/>
      <c r="G107" s="179" t="s">
        <v>185</v>
      </c>
      <c r="H107" s="181" t="s">
        <v>186</v>
      </c>
      <c r="I107" s="180" t="s">
        <v>187</v>
      </c>
      <c r="J107" s="148" t="s">
        <v>185</v>
      </c>
      <c r="K107" s="146" t="s">
        <v>186</v>
      </c>
      <c r="L107" s="147" t="s">
        <v>187</v>
      </c>
      <c r="M107" s="148" t="s">
        <v>185</v>
      </c>
      <c r="N107" s="146" t="s">
        <v>186</v>
      </c>
      <c r="O107" s="147" t="s">
        <v>187</v>
      </c>
    </row>
    <row r="108" spans="3:15">
      <c r="C108" s="149">
        <v>0</v>
      </c>
      <c r="D108" s="197">
        <v>0</v>
      </c>
      <c r="E108" s="151">
        <f>($E$13-D108)</f>
        <v>6</v>
      </c>
      <c r="F108" s="182">
        <f>E108*$E$13</f>
        <v>36</v>
      </c>
      <c r="G108" s="152">
        <v>0</v>
      </c>
      <c r="H108" s="156">
        <f>G108*$E$17</f>
        <v>0</v>
      </c>
      <c r="I108" s="154">
        <f t="shared" ref="I108:I114" si="16">H108/F108</f>
        <v>0</v>
      </c>
      <c r="J108" s="155">
        <v>0</v>
      </c>
      <c r="K108" s="156">
        <f>J108*$E$17</f>
        <v>0</v>
      </c>
      <c r="L108" s="157">
        <f t="shared" ref="L108:L114" si="17">K108/F108</f>
        <v>0</v>
      </c>
      <c r="M108" s="158">
        <v>0</v>
      </c>
      <c r="N108" s="156">
        <f>M108*$E$17</f>
        <v>0</v>
      </c>
      <c r="O108" s="157">
        <f t="shared" ref="O108:O116" si="18">N108/F108</f>
        <v>0</v>
      </c>
    </row>
    <row r="109" spans="3:15">
      <c r="C109" s="159">
        <v>50</v>
      </c>
      <c r="D109" s="198">
        <v>0.05</v>
      </c>
      <c r="E109" s="105">
        <f t="shared" ref="E109:E114" si="19">($E$13-D109)</f>
        <v>5.95</v>
      </c>
      <c r="F109" s="183">
        <f t="shared" ref="F109:F114" si="20">E109*$E$13</f>
        <v>35.700000000000003</v>
      </c>
      <c r="G109" s="161">
        <v>89</v>
      </c>
      <c r="H109" s="156">
        <f t="shared" ref="H109:H114" si="21">G109*$E$17</f>
        <v>22.606000000000002</v>
      </c>
      <c r="I109" s="163">
        <f t="shared" si="16"/>
        <v>0.63322128851540616</v>
      </c>
      <c r="J109" s="164">
        <v>101</v>
      </c>
      <c r="K109" s="156">
        <f t="shared" ref="K109:K115" si="22">J109*$E$17</f>
        <v>25.654</v>
      </c>
      <c r="L109" s="163">
        <f t="shared" si="17"/>
        <v>0.71859943977591034</v>
      </c>
      <c r="M109" s="161">
        <v>114</v>
      </c>
      <c r="N109" s="156">
        <f t="shared" ref="N109:N116" si="23">M109*$E$17</f>
        <v>28.956</v>
      </c>
      <c r="O109" s="157">
        <f t="shared" si="18"/>
        <v>0.81109243697478983</v>
      </c>
    </row>
    <row r="110" spans="3:15">
      <c r="C110" s="159">
        <v>100</v>
      </c>
      <c r="D110" s="198">
        <v>0.1</v>
      </c>
      <c r="E110" s="105">
        <f t="shared" si="19"/>
        <v>5.9</v>
      </c>
      <c r="F110" s="183">
        <f t="shared" si="20"/>
        <v>35.400000000000006</v>
      </c>
      <c r="G110" s="161">
        <v>101</v>
      </c>
      <c r="H110" s="156">
        <f t="shared" si="21"/>
        <v>25.654</v>
      </c>
      <c r="I110" s="163">
        <f t="shared" si="16"/>
        <v>0.72468926553672308</v>
      </c>
      <c r="J110" s="164">
        <v>131</v>
      </c>
      <c r="K110" s="156">
        <f t="shared" si="22"/>
        <v>33.274000000000001</v>
      </c>
      <c r="L110" s="163">
        <f t="shared" si="17"/>
        <v>0.93994350282485861</v>
      </c>
      <c r="M110" s="164">
        <v>143</v>
      </c>
      <c r="N110" s="156">
        <f t="shared" si="23"/>
        <v>36.322000000000003</v>
      </c>
      <c r="O110" s="157">
        <f t="shared" si="18"/>
        <v>1.0260451977401128</v>
      </c>
    </row>
    <row r="111" spans="3:15">
      <c r="C111" s="159">
        <v>150</v>
      </c>
      <c r="D111" s="198">
        <v>0.15</v>
      </c>
      <c r="E111" s="105">
        <f t="shared" si="19"/>
        <v>5.85</v>
      </c>
      <c r="F111" s="183">
        <f t="shared" si="20"/>
        <v>35.099999999999994</v>
      </c>
      <c r="G111" s="161">
        <v>114</v>
      </c>
      <c r="H111" s="156">
        <f t="shared" si="21"/>
        <v>28.956</v>
      </c>
      <c r="I111" s="163">
        <f t="shared" si="16"/>
        <v>0.82495726495726507</v>
      </c>
      <c r="J111" s="164">
        <v>159</v>
      </c>
      <c r="K111" s="156">
        <f t="shared" si="22"/>
        <v>40.386000000000003</v>
      </c>
      <c r="L111" s="163">
        <f t="shared" si="17"/>
        <v>1.1505982905982908</v>
      </c>
      <c r="M111" s="164">
        <v>168</v>
      </c>
      <c r="N111" s="156">
        <f t="shared" si="23"/>
        <v>42.671999999999997</v>
      </c>
      <c r="O111" s="157">
        <f t="shared" si="18"/>
        <v>1.2157264957264959</v>
      </c>
    </row>
    <row r="112" spans="3:15">
      <c r="C112" s="159">
        <v>200</v>
      </c>
      <c r="D112" s="198">
        <v>0.2</v>
      </c>
      <c r="E112" s="105">
        <f t="shared" si="19"/>
        <v>5.8</v>
      </c>
      <c r="F112" s="183">
        <f t="shared" si="20"/>
        <v>34.799999999999997</v>
      </c>
      <c r="G112" s="161">
        <v>117</v>
      </c>
      <c r="H112" s="156">
        <f t="shared" si="21"/>
        <v>29.718</v>
      </c>
      <c r="I112" s="163">
        <f t="shared" si="16"/>
        <v>0.85396551724137937</v>
      </c>
      <c r="J112" s="164">
        <v>175</v>
      </c>
      <c r="K112" s="156">
        <f t="shared" si="22"/>
        <v>44.45</v>
      </c>
      <c r="L112" s="163">
        <f t="shared" si="17"/>
        <v>1.2772988505747129</v>
      </c>
      <c r="M112" s="161">
        <v>180</v>
      </c>
      <c r="N112" s="156">
        <f t="shared" si="23"/>
        <v>45.72</v>
      </c>
      <c r="O112" s="157">
        <f t="shared" si="18"/>
        <v>1.3137931034482759</v>
      </c>
    </row>
    <row r="113" spans="3:15">
      <c r="C113" s="159">
        <v>250</v>
      </c>
      <c r="D113" s="198">
        <v>0.25</v>
      </c>
      <c r="E113" s="105">
        <f t="shared" si="19"/>
        <v>5.75</v>
      </c>
      <c r="F113" s="183">
        <f t="shared" si="20"/>
        <v>34.5</v>
      </c>
      <c r="G113" s="161">
        <v>117</v>
      </c>
      <c r="H113" s="156">
        <f t="shared" si="21"/>
        <v>29.718</v>
      </c>
      <c r="I113" s="163">
        <f t="shared" si="16"/>
        <v>0.86139130434782607</v>
      </c>
      <c r="J113" s="164">
        <v>184</v>
      </c>
      <c r="K113" s="156">
        <f t="shared" si="22"/>
        <v>46.736000000000004</v>
      </c>
      <c r="L113" s="163">
        <f t="shared" si="17"/>
        <v>1.3546666666666667</v>
      </c>
      <c r="M113" s="161">
        <v>209</v>
      </c>
      <c r="N113" s="156">
        <f t="shared" si="23"/>
        <v>53.085999999999999</v>
      </c>
      <c r="O113" s="157">
        <f t="shared" si="18"/>
        <v>1.5387246376811594</v>
      </c>
    </row>
    <row r="114" spans="3:15">
      <c r="C114" s="159">
        <v>300</v>
      </c>
      <c r="D114" s="198">
        <v>0.3</v>
      </c>
      <c r="E114" s="105">
        <f t="shared" si="19"/>
        <v>5.7</v>
      </c>
      <c r="F114" s="183">
        <f t="shared" si="20"/>
        <v>34.200000000000003</v>
      </c>
      <c r="G114" s="161">
        <v>117</v>
      </c>
      <c r="H114" s="156">
        <f t="shared" si="21"/>
        <v>29.718</v>
      </c>
      <c r="I114" s="163">
        <f t="shared" si="16"/>
        <v>0.86894736842105258</v>
      </c>
      <c r="J114" s="164">
        <v>187</v>
      </c>
      <c r="K114" s="156">
        <f t="shared" si="22"/>
        <v>47.497999999999998</v>
      </c>
      <c r="L114" s="163">
        <f t="shared" si="17"/>
        <v>1.388830409356725</v>
      </c>
      <c r="M114" s="161">
        <v>218</v>
      </c>
      <c r="N114" s="156">
        <f t="shared" si="23"/>
        <v>55.372</v>
      </c>
      <c r="O114" s="157">
        <f t="shared" si="18"/>
        <v>1.61906432748538</v>
      </c>
    </row>
    <row r="115" spans="3:15">
      <c r="C115" s="159">
        <v>350</v>
      </c>
      <c r="D115" s="198">
        <v>0.35</v>
      </c>
      <c r="E115" s="105">
        <f>($E$13-D115)</f>
        <v>5.65</v>
      </c>
      <c r="F115" s="183">
        <f>E115*$E$13</f>
        <v>33.900000000000006</v>
      </c>
      <c r="G115" s="161"/>
      <c r="H115" s="162"/>
      <c r="I115" s="163"/>
      <c r="J115" s="164">
        <v>183</v>
      </c>
      <c r="K115" s="156">
        <f t="shared" si="22"/>
        <v>46.481999999999999</v>
      </c>
      <c r="L115" s="163">
        <f>K115/F115</f>
        <v>1.3711504424778758</v>
      </c>
      <c r="M115" s="161">
        <v>221</v>
      </c>
      <c r="N115" s="156">
        <f t="shared" si="23"/>
        <v>56.134</v>
      </c>
      <c r="O115" s="157">
        <f t="shared" si="18"/>
        <v>1.6558702064896753</v>
      </c>
    </row>
    <row r="116" spans="3:15">
      <c r="C116" s="159">
        <v>400</v>
      </c>
      <c r="D116" s="198">
        <v>0.4</v>
      </c>
      <c r="E116" s="105">
        <f>($E$13-D116)</f>
        <v>5.6</v>
      </c>
      <c r="F116" s="183">
        <f>E116*$E$13</f>
        <v>33.599999999999994</v>
      </c>
      <c r="G116" s="161"/>
      <c r="H116" s="162"/>
      <c r="I116" s="163"/>
      <c r="J116" s="164"/>
      <c r="K116" s="162"/>
      <c r="L116" s="163"/>
      <c r="M116" s="161">
        <v>220</v>
      </c>
      <c r="N116" s="156">
        <f t="shared" si="23"/>
        <v>55.88</v>
      </c>
      <c r="O116" s="157">
        <f t="shared" si="18"/>
        <v>1.6630952380952384</v>
      </c>
    </row>
    <row r="117" spans="3:15" ht="15.75" thickBot="1">
      <c r="C117" s="159">
        <v>450</v>
      </c>
      <c r="D117" s="198">
        <v>0.45</v>
      </c>
      <c r="E117" s="105">
        <f>($E$13-D117)</f>
        <v>5.55</v>
      </c>
      <c r="F117" s="183">
        <f>E117*$E$13</f>
        <v>33.299999999999997</v>
      </c>
      <c r="G117" s="166"/>
      <c r="H117" s="167"/>
      <c r="I117" s="168"/>
      <c r="J117" s="169"/>
      <c r="K117" s="167"/>
      <c r="L117" s="168"/>
      <c r="M117" s="166"/>
      <c r="N117" s="167"/>
      <c r="O117" s="168"/>
    </row>
    <row r="118" spans="3:15" ht="16.5" thickBot="1">
      <c r="C118" s="136"/>
      <c r="D118" s="137"/>
      <c r="E118" s="137"/>
      <c r="F118" s="137"/>
      <c r="G118" s="137"/>
      <c r="H118" s="138" t="s">
        <v>188</v>
      </c>
      <c r="I118" s="170">
        <f>MAX(I108:I117)</f>
        <v>0.86894736842105258</v>
      </c>
      <c r="J118" s="137"/>
      <c r="K118" s="138" t="s">
        <v>188</v>
      </c>
      <c r="L118" s="170">
        <f>MAX(L108:L117)</f>
        <v>1.388830409356725</v>
      </c>
      <c r="M118" s="137"/>
      <c r="N118" s="138" t="s">
        <v>188</v>
      </c>
      <c r="O118" s="171">
        <f>MAX(O108:O117)</f>
        <v>1.6630952380952384</v>
      </c>
    </row>
    <row r="120" spans="3:15" ht="15.75" thickBot="1"/>
    <row r="121" spans="3:15" ht="18.75">
      <c r="C121" s="172" t="s">
        <v>189</v>
      </c>
      <c r="D121" s="173" t="s">
        <v>190</v>
      </c>
    </row>
    <row r="122" spans="3:15">
      <c r="C122" s="130">
        <v>0</v>
      </c>
      <c r="D122" s="215">
        <v>0</v>
      </c>
      <c r="F122" t="s">
        <v>191</v>
      </c>
      <c r="G122" s="89">
        <v>1.0218</v>
      </c>
    </row>
    <row r="123" spans="3:15">
      <c r="C123" s="130">
        <v>0.65</v>
      </c>
      <c r="D123" s="129">
        <f>I118</f>
        <v>0.86894736842105258</v>
      </c>
      <c r="F123" t="s">
        <v>192</v>
      </c>
      <c r="G123" s="12">
        <f>DEGREES((ATAN(G122)))</f>
        <v>45.617766144667073</v>
      </c>
    </row>
    <row r="124" spans="3:15">
      <c r="C124" s="130">
        <v>1.1499999999999999</v>
      </c>
      <c r="D124" s="129">
        <f>L118</f>
        <v>1.388830409356725</v>
      </c>
    </row>
    <row r="125" spans="3:15" ht="15.75" thickBot="1">
      <c r="C125" s="135">
        <v>1.65</v>
      </c>
      <c r="D125" s="134">
        <f>O118</f>
        <v>1.6630952380952384</v>
      </c>
    </row>
  </sheetData>
  <mergeCells count="58">
    <mergeCell ref="G106:I106"/>
    <mergeCell ref="J106:L106"/>
    <mergeCell ref="M106:O106"/>
    <mergeCell ref="C104:D104"/>
    <mergeCell ref="C106:C107"/>
    <mergeCell ref="D106:D107"/>
    <mergeCell ref="E106:E107"/>
    <mergeCell ref="F106:F107"/>
    <mergeCell ref="C99:D99"/>
    <mergeCell ref="C100:D100"/>
    <mergeCell ref="C101:D101"/>
    <mergeCell ref="C102:D102"/>
    <mergeCell ref="C103:D103"/>
    <mergeCell ref="C94:F94"/>
    <mergeCell ref="C95:F95"/>
    <mergeCell ref="C96:D96"/>
    <mergeCell ref="C97:D97"/>
    <mergeCell ref="C98:D98"/>
    <mergeCell ref="F65:F66"/>
    <mergeCell ref="G65:I65"/>
    <mergeCell ref="J65:L65"/>
    <mergeCell ref="M65:O65"/>
    <mergeCell ref="C90:D90"/>
    <mergeCell ref="C62:D62"/>
    <mergeCell ref="C63:D63"/>
    <mergeCell ref="C65:C66"/>
    <mergeCell ref="D65:D66"/>
    <mergeCell ref="E65:E66"/>
    <mergeCell ref="C57:D57"/>
    <mergeCell ref="C58:D58"/>
    <mergeCell ref="C59:D59"/>
    <mergeCell ref="C60:D60"/>
    <mergeCell ref="C61:D61"/>
    <mergeCell ref="C49:D49"/>
    <mergeCell ref="C53:F53"/>
    <mergeCell ref="C54:F54"/>
    <mergeCell ref="C55:D55"/>
    <mergeCell ref="C56:D56"/>
    <mergeCell ref="G23:I23"/>
    <mergeCell ref="J23:L23"/>
    <mergeCell ref="M23:O23"/>
    <mergeCell ref="F23:F24"/>
    <mergeCell ref="C21:D21"/>
    <mergeCell ref="C19:D19"/>
    <mergeCell ref="C20:D20"/>
    <mergeCell ref="C23:C24"/>
    <mergeCell ref="D23:D24"/>
    <mergeCell ref="E23:E24"/>
    <mergeCell ref="K2:N2"/>
    <mergeCell ref="C18:D18"/>
    <mergeCell ref="C11:F11"/>
    <mergeCell ref="C12:F12"/>
    <mergeCell ref="C13:D13"/>
    <mergeCell ref="C14:D14"/>
    <mergeCell ref="C15:D15"/>
    <mergeCell ref="C16:D16"/>
    <mergeCell ref="C17:D17"/>
    <mergeCell ref="C7:D7"/>
  </mergeCells>
  <pageMargins left="0.7" right="0.7" top="0.75" bottom="0.75" header="0.3" footer="0.3"/>
  <pageSetup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G49"/>
  <sheetViews>
    <sheetView topLeftCell="A34" zoomScale="71" zoomScaleNormal="71" workbookViewId="0">
      <selection activeCell="G34" sqref="G34"/>
    </sheetView>
  </sheetViews>
  <sheetFormatPr defaultRowHeight="15"/>
  <cols>
    <col min="2" max="7" width="10" customWidth="1"/>
    <col min="8" max="9" width="11.7109375" customWidth="1"/>
    <col min="10" max="12" width="10" customWidth="1"/>
    <col min="13" max="13" width="12.5703125" customWidth="1"/>
  </cols>
  <sheetData>
    <row r="1" spans="2:33" ht="21.75" thickBot="1">
      <c r="K1" s="569" t="s">
        <v>294</v>
      </c>
      <c r="L1" s="569"/>
      <c r="M1" s="569"/>
    </row>
    <row r="2" spans="2:33" ht="21.75" thickBot="1">
      <c r="B2" s="10"/>
      <c r="C2" s="335">
        <v>60</v>
      </c>
      <c r="D2" s="336" t="s">
        <v>273</v>
      </c>
      <c r="E2" s="31"/>
      <c r="N2" s="288"/>
    </row>
    <row r="3" spans="2:33" ht="15.75" thickBot="1">
      <c r="B3" s="10"/>
      <c r="C3" s="337" t="s">
        <v>274</v>
      </c>
      <c r="D3" s="338">
        <v>42.09</v>
      </c>
      <c r="E3" s="10"/>
      <c r="F3" s="299" t="s">
        <v>222</v>
      </c>
      <c r="G3" s="297">
        <v>0.41270000000000001</v>
      </c>
      <c r="N3" s="288"/>
    </row>
    <row r="4" spans="2:33" ht="15.75" thickBot="1">
      <c r="B4" s="10"/>
      <c r="C4" s="337" t="s">
        <v>276</v>
      </c>
      <c r="D4" s="343">
        <v>17.2</v>
      </c>
      <c r="E4" s="10"/>
      <c r="F4" s="300" t="s">
        <v>223</v>
      </c>
      <c r="G4" s="298">
        <v>0.95399999999999996</v>
      </c>
      <c r="N4" s="288"/>
    </row>
    <row r="5" spans="2:33">
      <c r="B5" s="10"/>
      <c r="C5" s="289"/>
      <c r="D5" s="10"/>
      <c r="E5" s="10"/>
      <c r="F5" s="10"/>
      <c r="G5" s="10"/>
      <c r="N5" s="288"/>
      <c r="P5" s="12"/>
    </row>
    <row r="6" spans="2:33">
      <c r="B6" s="10"/>
      <c r="C6" s="290"/>
      <c r="D6" s="10"/>
      <c r="E6" s="10"/>
      <c r="F6" s="10"/>
      <c r="G6" s="10"/>
      <c r="N6" s="288"/>
      <c r="P6" s="12"/>
    </row>
    <row r="7" spans="2:33">
      <c r="B7" s="10"/>
      <c r="C7" s="10"/>
      <c r="D7" s="10"/>
      <c r="E7" s="10"/>
      <c r="N7" s="288"/>
      <c r="P7" s="12"/>
    </row>
    <row r="8" spans="2:33" ht="15.75" thickBot="1"/>
    <row r="9" spans="2:33" ht="45.75" thickBot="1">
      <c r="B9" s="346" t="s">
        <v>221</v>
      </c>
      <c r="C9" s="347" t="s">
        <v>234</v>
      </c>
      <c r="D9" s="347" t="s">
        <v>232</v>
      </c>
      <c r="E9" s="347" t="s">
        <v>233</v>
      </c>
      <c r="F9" s="348" t="s">
        <v>226</v>
      </c>
      <c r="G9" s="349" t="s">
        <v>225</v>
      </c>
      <c r="H9" s="347" t="s">
        <v>231</v>
      </c>
      <c r="I9" s="347" t="s">
        <v>253</v>
      </c>
      <c r="J9" s="347" t="s">
        <v>229</v>
      </c>
      <c r="K9" s="350" t="s">
        <v>227</v>
      </c>
      <c r="L9" s="319" t="s">
        <v>228</v>
      </c>
    </row>
    <row r="10" spans="2:33" ht="15.75" thickBot="1">
      <c r="B10" s="339">
        <v>1</v>
      </c>
      <c r="C10" s="340">
        <f t="shared" ref="C10:C15" si="0">$C$2</f>
        <v>60</v>
      </c>
      <c r="D10" s="340">
        <v>0.15</v>
      </c>
      <c r="E10" s="340">
        <v>0.15</v>
      </c>
      <c r="F10" s="341">
        <f t="shared" ref="F10:F15" si="1">$D$4</f>
        <v>17.2</v>
      </c>
      <c r="G10" s="340">
        <f t="shared" ref="G10:G15" si="2">$D$3</f>
        <v>42.09</v>
      </c>
      <c r="H10" s="340">
        <v>0.3</v>
      </c>
      <c r="I10" s="341">
        <f t="shared" ref="I10:I15" si="3">H10/D10</f>
        <v>2</v>
      </c>
      <c r="J10" s="340" t="s">
        <v>230</v>
      </c>
      <c r="K10" s="342">
        <f t="shared" ref="K10:K15" si="4">1+((1+2*$G$3*(H10/D10))*(D10/E10)+1)*(H10/D10)*$G$4*TAN(RADIANS(G10))</f>
        <v>7.2918088041661377</v>
      </c>
      <c r="L10" s="344">
        <f t="shared" ref="L10:L15" si="5">K10*F10*D10*E10*H10</f>
        <v>0.84657900216368842</v>
      </c>
      <c r="O10" s="12"/>
    </row>
    <row r="11" spans="2:33">
      <c r="B11" s="291">
        <v>2</v>
      </c>
      <c r="C11" s="292">
        <f t="shared" si="0"/>
        <v>60</v>
      </c>
      <c r="D11" s="292">
        <v>0.15</v>
      </c>
      <c r="E11" s="292">
        <v>0.15</v>
      </c>
      <c r="F11" s="293">
        <f t="shared" si="1"/>
        <v>17.2</v>
      </c>
      <c r="G11" s="292">
        <f t="shared" si="2"/>
        <v>42.09</v>
      </c>
      <c r="H11" s="292">
        <v>0.5</v>
      </c>
      <c r="I11" s="293">
        <f t="shared" si="3"/>
        <v>3.3333333333333335</v>
      </c>
      <c r="J11" s="292" t="s">
        <v>230</v>
      </c>
      <c r="K11" s="351">
        <f t="shared" si="4"/>
        <v>14.647456675338146</v>
      </c>
      <c r="L11" s="344">
        <f t="shared" si="5"/>
        <v>2.8342828666779312</v>
      </c>
      <c r="AF11" s="449" t="s">
        <v>274</v>
      </c>
      <c r="AG11" s="450" t="s">
        <v>222</v>
      </c>
    </row>
    <row r="12" spans="2:33">
      <c r="B12" s="291">
        <v>3</v>
      </c>
      <c r="C12" s="292">
        <f t="shared" si="0"/>
        <v>60</v>
      </c>
      <c r="D12" s="292">
        <v>0.15</v>
      </c>
      <c r="E12" s="292">
        <v>0.15</v>
      </c>
      <c r="F12" s="293">
        <f t="shared" si="1"/>
        <v>17.2</v>
      </c>
      <c r="G12" s="292">
        <f t="shared" si="2"/>
        <v>42.09</v>
      </c>
      <c r="H12" s="292">
        <v>0.8</v>
      </c>
      <c r="I12" s="293">
        <f t="shared" si="3"/>
        <v>5.3333333333333339</v>
      </c>
      <c r="J12" s="292" t="s">
        <v>230</v>
      </c>
      <c r="K12" s="351">
        <f t="shared" si="4"/>
        <v>30.422591484688052</v>
      </c>
      <c r="L12" s="344">
        <f t="shared" si="5"/>
        <v>9.4188343236594214</v>
      </c>
      <c r="AF12" s="261">
        <v>20</v>
      </c>
      <c r="AG12" s="451">
        <v>0.05</v>
      </c>
    </row>
    <row r="13" spans="2:33">
      <c r="B13" s="291">
        <v>4</v>
      </c>
      <c r="C13" s="292">
        <f t="shared" si="0"/>
        <v>60</v>
      </c>
      <c r="D13" s="293">
        <v>0.3</v>
      </c>
      <c r="E13" s="293">
        <v>0.3</v>
      </c>
      <c r="F13" s="293">
        <f t="shared" si="1"/>
        <v>17.2</v>
      </c>
      <c r="G13" s="292">
        <f t="shared" si="2"/>
        <v>42.09</v>
      </c>
      <c r="H13" s="292">
        <v>0.3</v>
      </c>
      <c r="I13" s="293">
        <f t="shared" si="3"/>
        <v>1</v>
      </c>
      <c r="J13" s="292" t="s">
        <v>230</v>
      </c>
      <c r="K13" s="351">
        <f t="shared" si="4"/>
        <v>3.434654951694287</v>
      </c>
      <c r="L13" s="344">
        <f t="shared" si="5"/>
        <v>1.5950537595668268</v>
      </c>
      <c r="O13" s="12"/>
      <c r="AF13" s="261">
        <v>25</v>
      </c>
      <c r="AG13" s="451">
        <v>0.1</v>
      </c>
    </row>
    <row r="14" spans="2:33">
      <c r="B14" s="291">
        <v>5</v>
      </c>
      <c r="C14" s="292">
        <f t="shared" si="0"/>
        <v>60</v>
      </c>
      <c r="D14" s="293">
        <v>0.3</v>
      </c>
      <c r="E14" s="293">
        <v>0.3</v>
      </c>
      <c r="F14" s="293">
        <f t="shared" si="1"/>
        <v>17.2</v>
      </c>
      <c r="G14" s="292">
        <f t="shared" si="2"/>
        <v>42.09</v>
      </c>
      <c r="H14" s="292">
        <v>0.5</v>
      </c>
      <c r="I14" s="293">
        <f t="shared" si="3"/>
        <v>1.6666666666666667</v>
      </c>
      <c r="J14" s="292" t="s">
        <v>230</v>
      </c>
      <c r="K14" s="351">
        <f t="shared" si="4"/>
        <v>5.848035419922458</v>
      </c>
      <c r="L14" s="344">
        <f t="shared" si="5"/>
        <v>4.5263794150199823</v>
      </c>
      <c r="O14" s="12"/>
      <c r="AF14" s="261">
        <v>30</v>
      </c>
      <c r="AG14" s="451">
        <v>0.15</v>
      </c>
    </row>
    <row r="15" spans="2:33" ht="15.75" thickBot="1">
      <c r="B15" s="294">
        <v>6</v>
      </c>
      <c r="C15" s="295">
        <f t="shared" si="0"/>
        <v>60</v>
      </c>
      <c r="D15" s="296">
        <v>0.3</v>
      </c>
      <c r="E15" s="296">
        <v>0.3</v>
      </c>
      <c r="F15" s="296">
        <f t="shared" si="1"/>
        <v>17.2</v>
      </c>
      <c r="G15" s="295">
        <f t="shared" si="2"/>
        <v>42.09</v>
      </c>
      <c r="H15" s="295">
        <v>0.8</v>
      </c>
      <c r="I15" s="296">
        <f t="shared" si="3"/>
        <v>2.666666666666667</v>
      </c>
      <c r="J15" s="295" t="s">
        <v>230</v>
      </c>
      <c r="K15" s="352">
        <f t="shared" si="4"/>
        <v>10.653521872912687</v>
      </c>
      <c r="L15" s="345">
        <f t="shared" si="5"/>
        <v>13.193321487415071</v>
      </c>
      <c r="O15" s="12"/>
      <c r="AF15" s="261">
        <v>35</v>
      </c>
      <c r="AG15" s="451">
        <v>0.25</v>
      </c>
    </row>
    <row r="16" spans="2:33">
      <c r="AF16" s="261">
        <v>40</v>
      </c>
      <c r="AG16" s="451">
        <v>0.35</v>
      </c>
    </row>
    <row r="17" spans="2:33">
      <c r="AF17" s="261">
        <v>45</v>
      </c>
      <c r="AG17" s="451">
        <v>0.5</v>
      </c>
    </row>
    <row r="18" spans="2:33" ht="15.75" thickBot="1">
      <c r="AF18" s="262">
        <v>48</v>
      </c>
      <c r="AG18" s="452">
        <v>0.6</v>
      </c>
    </row>
    <row r="19" spans="2:33" ht="21.75" thickBot="1">
      <c r="B19" s="10"/>
      <c r="C19" s="335">
        <v>35</v>
      </c>
      <c r="D19" s="336" t="s">
        <v>273</v>
      </c>
      <c r="E19" s="10"/>
    </row>
    <row r="20" spans="2:33" ht="15.75" thickBot="1">
      <c r="B20" s="10"/>
      <c r="C20" s="337" t="s">
        <v>275</v>
      </c>
      <c r="D20" s="338">
        <v>34.22</v>
      </c>
      <c r="E20" s="10"/>
      <c r="F20" s="299" t="s">
        <v>222</v>
      </c>
      <c r="G20" s="297">
        <v>0.2344</v>
      </c>
    </row>
    <row r="21" spans="2:33" ht="15.75" thickBot="1">
      <c r="B21" s="10"/>
      <c r="C21" s="337" t="s">
        <v>276</v>
      </c>
      <c r="D21" s="338">
        <v>16.39</v>
      </c>
      <c r="E21" s="10"/>
      <c r="F21" s="300" t="s">
        <v>223</v>
      </c>
      <c r="G21" s="298">
        <v>0.92700000000000005</v>
      </c>
    </row>
    <row r="22" spans="2:33">
      <c r="B22" s="10"/>
      <c r="C22" s="289"/>
      <c r="D22" s="10"/>
      <c r="E22" s="10"/>
      <c r="F22" s="10"/>
      <c r="G22" s="10"/>
    </row>
    <row r="23" spans="2:33">
      <c r="B23" s="10"/>
      <c r="C23" s="290"/>
      <c r="D23" s="10"/>
      <c r="E23" s="10"/>
      <c r="F23" s="10"/>
      <c r="G23" s="10"/>
    </row>
    <row r="24" spans="2:33">
      <c r="B24" s="10"/>
      <c r="C24" s="10"/>
      <c r="D24" s="10"/>
      <c r="E24" s="10"/>
    </row>
    <row r="25" spans="2:33" ht="15.75" thickBot="1"/>
    <row r="26" spans="2:33" ht="45.75" thickBot="1">
      <c r="B26" s="346" t="s">
        <v>221</v>
      </c>
      <c r="C26" s="347" t="s">
        <v>234</v>
      </c>
      <c r="D26" s="347" t="s">
        <v>232</v>
      </c>
      <c r="E26" s="347" t="s">
        <v>233</v>
      </c>
      <c r="F26" s="348" t="s">
        <v>226</v>
      </c>
      <c r="G26" s="349" t="s">
        <v>225</v>
      </c>
      <c r="H26" s="347" t="s">
        <v>231</v>
      </c>
      <c r="I26" s="347" t="s">
        <v>253</v>
      </c>
      <c r="J26" s="347" t="s">
        <v>229</v>
      </c>
      <c r="K26" s="350" t="s">
        <v>227</v>
      </c>
      <c r="L26" s="439" t="s">
        <v>228</v>
      </c>
    </row>
    <row r="27" spans="2:33">
      <c r="B27" s="339">
        <v>1</v>
      </c>
      <c r="C27" s="340">
        <f t="shared" ref="C27:C32" si="6">$C$19</f>
        <v>35</v>
      </c>
      <c r="D27" s="340">
        <v>0.15</v>
      </c>
      <c r="E27" s="340">
        <v>0.15</v>
      </c>
      <c r="F27" s="341">
        <f t="shared" ref="F27:F32" si="7">$D$21</f>
        <v>16.39</v>
      </c>
      <c r="G27" s="340">
        <f t="shared" ref="G27:G32" si="8">$D$20</f>
        <v>34.22</v>
      </c>
      <c r="H27" s="340">
        <v>0.3</v>
      </c>
      <c r="I27" s="341">
        <f t="shared" ref="I27:I32" si="9">H27/D27</f>
        <v>2</v>
      </c>
      <c r="J27" s="340" t="s">
        <v>230</v>
      </c>
      <c r="K27" s="518">
        <f t="shared" ref="K27:K32" si="10">1+((1+2*$G$20*(H27/D27))*(D27/E27)+1)*(H27/D27)*$G$21*TAN(RADIANS(G27))</f>
        <v>4.7040885488985609</v>
      </c>
      <c r="L27" s="521">
        <f t="shared" ref="L27:L32" si="11">K27*F27*D27*E27*H27</f>
        <v>0.52042507638601998</v>
      </c>
    </row>
    <row r="28" spans="2:33">
      <c r="B28" s="291">
        <v>2</v>
      </c>
      <c r="C28" s="292">
        <f t="shared" si="6"/>
        <v>35</v>
      </c>
      <c r="D28" s="292">
        <v>0.15</v>
      </c>
      <c r="E28" s="292">
        <v>0.15</v>
      </c>
      <c r="F28" s="293">
        <f t="shared" si="7"/>
        <v>16.39</v>
      </c>
      <c r="G28" s="292">
        <f t="shared" si="8"/>
        <v>34.22</v>
      </c>
      <c r="H28" s="292">
        <v>0.5</v>
      </c>
      <c r="I28" s="293">
        <f t="shared" si="9"/>
        <v>3.3333333333333335</v>
      </c>
      <c r="J28" s="292" t="s">
        <v>230</v>
      </c>
      <c r="K28" s="519">
        <f t="shared" si="10"/>
        <v>8.4870828814579973</v>
      </c>
      <c r="L28" s="522">
        <f t="shared" si="11"/>
        <v>1.5649119948048364</v>
      </c>
    </row>
    <row r="29" spans="2:33">
      <c r="B29" s="291">
        <v>3</v>
      </c>
      <c r="C29" s="292">
        <f t="shared" si="6"/>
        <v>35</v>
      </c>
      <c r="D29" s="292">
        <v>0.15</v>
      </c>
      <c r="E29" s="292">
        <v>0.15</v>
      </c>
      <c r="F29" s="293">
        <f t="shared" si="7"/>
        <v>16.39</v>
      </c>
      <c r="G29" s="292">
        <f t="shared" si="8"/>
        <v>34.22</v>
      </c>
      <c r="H29" s="292">
        <v>0.8</v>
      </c>
      <c r="I29" s="293">
        <f t="shared" si="9"/>
        <v>5.3333333333333339</v>
      </c>
      <c r="J29" s="292" t="s">
        <v>230</v>
      </c>
      <c r="K29" s="519">
        <f t="shared" si="10"/>
        <v>16.131977330237742</v>
      </c>
      <c r="L29" s="522">
        <f t="shared" si="11"/>
        <v>4.7592559519667388</v>
      </c>
    </row>
    <row r="30" spans="2:33">
      <c r="B30" s="291">
        <v>4</v>
      </c>
      <c r="C30" s="292">
        <f t="shared" si="6"/>
        <v>35</v>
      </c>
      <c r="D30" s="293">
        <v>0.3</v>
      </c>
      <c r="E30" s="293">
        <v>0.3</v>
      </c>
      <c r="F30" s="293">
        <f t="shared" si="7"/>
        <v>16.39</v>
      </c>
      <c r="G30" s="292">
        <f t="shared" si="8"/>
        <v>34.22</v>
      </c>
      <c r="H30" s="292">
        <v>0.3</v>
      </c>
      <c r="I30" s="293">
        <f t="shared" si="9"/>
        <v>1</v>
      </c>
      <c r="J30" s="292" t="s">
        <v>230</v>
      </c>
      <c r="K30" s="519">
        <f t="shared" si="10"/>
        <v>2.5564838319581913</v>
      </c>
      <c r="L30" s="522">
        <f t="shared" si="11"/>
        <v>1.1313207901564581</v>
      </c>
    </row>
    <row r="31" spans="2:33">
      <c r="B31" s="291">
        <v>5</v>
      </c>
      <c r="C31" s="292">
        <f t="shared" si="6"/>
        <v>35</v>
      </c>
      <c r="D31" s="293">
        <v>0.3</v>
      </c>
      <c r="E31" s="293">
        <v>0.3</v>
      </c>
      <c r="F31" s="293">
        <f t="shared" si="7"/>
        <v>16.39</v>
      </c>
      <c r="G31" s="292">
        <f t="shared" si="8"/>
        <v>34.22</v>
      </c>
      <c r="H31" s="292">
        <v>0.5</v>
      </c>
      <c r="I31" s="293">
        <f t="shared" si="9"/>
        <v>1.6666666666666667</v>
      </c>
      <c r="J31" s="292" t="s">
        <v>230</v>
      </c>
      <c r="K31" s="519">
        <f t="shared" si="10"/>
        <v>3.9225402115870849</v>
      </c>
      <c r="L31" s="522">
        <f t="shared" si="11"/>
        <v>2.8930695330560545</v>
      </c>
    </row>
    <row r="32" spans="2:33" ht="15.75" thickBot="1">
      <c r="B32" s="294">
        <v>6</v>
      </c>
      <c r="C32" s="295">
        <f t="shared" si="6"/>
        <v>35</v>
      </c>
      <c r="D32" s="296">
        <v>0.3</v>
      </c>
      <c r="E32" s="296">
        <v>0.3</v>
      </c>
      <c r="F32" s="296">
        <f t="shared" si="7"/>
        <v>16.39</v>
      </c>
      <c r="G32" s="295">
        <f t="shared" si="8"/>
        <v>34.22</v>
      </c>
      <c r="H32" s="295">
        <v>0.8</v>
      </c>
      <c r="I32" s="296">
        <f t="shared" si="9"/>
        <v>2.666666666666667</v>
      </c>
      <c r="J32" s="295" t="s">
        <v>230</v>
      </c>
      <c r="K32" s="520">
        <f t="shared" si="10"/>
        <v>6.4642255185155726</v>
      </c>
      <c r="L32" s="523">
        <f t="shared" si="11"/>
        <v>7.628303249889858</v>
      </c>
    </row>
    <row r="35" spans="2:12" ht="15.75" thickBot="1"/>
    <row r="36" spans="2:12" ht="15.75" customHeight="1" thickBot="1">
      <c r="B36" s="10"/>
      <c r="C36" s="335">
        <v>80</v>
      </c>
      <c r="D36" s="336" t="s">
        <v>273</v>
      </c>
      <c r="E36" s="31"/>
    </row>
    <row r="37" spans="2:12" ht="15.75" thickBot="1">
      <c r="B37" s="10"/>
      <c r="C37" s="337" t="s">
        <v>274</v>
      </c>
      <c r="D37" s="338">
        <v>45.62</v>
      </c>
      <c r="E37" s="10"/>
      <c r="F37" s="299" t="s">
        <v>222</v>
      </c>
      <c r="G37" s="297">
        <v>0.51200000000000001</v>
      </c>
    </row>
    <row r="38" spans="2:12" ht="15.75" thickBot="1">
      <c r="B38" s="10"/>
      <c r="C38" s="337" t="s">
        <v>276</v>
      </c>
      <c r="D38" s="343">
        <v>18.05</v>
      </c>
      <c r="E38" s="10"/>
      <c r="F38" s="300" t="s">
        <v>223</v>
      </c>
      <c r="G38" s="298">
        <v>0.96</v>
      </c>
    </row>
    <row r="39" spans="2:12">
      <c r="B39" s="10"/>
      <c r="C39" s="289"/>
      <c r="D39" s="10"/>
      <c r="E39" s="10"/>
      <c r="F39" s="10"/>
    </row>
    <row r="40" spans="2:12">
      <c r="B40" s="10"/>
      <c r="C40" s="290"/>
      <c r="D40" s="10"/>
      <c r="E40" s="10"/>
      <c r="F40" s="10"/>
      <c r="G40" s="10"/>
      <c r="J40" s="10"/>
    </row>
    <row r="41" spans="2:12">
      <c r="B41" s="10"/>
      <c r="C41" s="10"/>
      <c r="D41" s="10"/>
      <c r="E41" s="10"/>
    </row>
    <row r="42" spans="2:12" ht="15.75" thickBot="1"/>
    <row r="43" spans="2:12" ht="45.75" thickBot="1">
      <c r="B43" s="529" t="s">
        <v>221</v>
      </c>
      <c r="C43" s="493" t="s">
        <v>234</v>
      </c>
      <c r="D43" s="493" t="s">
        <v>232</v>
      </c>
      <c r="E43" s="493" t="s">
        <v>233</v>
      </c>
      <c r="F43" s="495" t="s">
        <v>226</v>
      </c>
      <c r="G43" s="530" t="s">
        <v>225</v>
      </c>
      <c r="H43" s="493" t="s">
        <v>231</v>
      </c>
      <c r="I43" s="493" t="s">
        <v>253</v>
      </c>
      <c r="J43" s="493" t="s">
        <v>229</v>
      </c>
      <c r="K43" s="531" t="s">
        <v>227</v>
      </c>
      <c r="L43" s="319" t="s">
        <v>228</v>
      </c>
    </row>
    <row r="44" spans="2:12">
      <c r="B44" s="524">
        <v>1</v>
      </c>
      <c r="C44" s="525">
        <v>80</v>
      </c>
      <c r="D44" s="525">
        <v>0.15</v>
      </c>
      <c r="E44" s="525">
        <v>0.15</v>
      </c>
      <c r="F44" s="526">
        <f t="shared" ref="F44:F49" si="12">$D$38</f>
        <v>18.05</v>
      </c>
      <c r="G44" s="525">
        <f t="shared" ref="G44:G49" si="13">$D$37</f>
        <v>45.62</v>
      </c>
      <c r="H44" s="525">
        <v>0.3</v>
      </c>
      <c r="I44" s="526">
        <f t="shared" ref="I44:I49" si="14">H44/D44</f>
        <v>2</v>
      </c>
      <c r="J44" s="525" t="s">
        <v>230</v>
      </c>
      <c r="K44" s="527">
        <f t="shared" ref="K44:K49" si="15">1+((1+2*$G$37*(H44/D44))*(D44/E44)+1)*(H44/D44)*$G$38*TAN(RADIANS(G44))</f>
        <v>8.9422125124217011</v>
      </c>
      <c r="L44" s="528">
        <f t="shared" ref="L44:L49" si="16">K44*F44*D44*E44*H44</f>
        <v>1.089496816982179</v>
      </c>
    </row>
    <row r="45" spans="2:12">
      <c r="B45" s="291">
        <v>2</v>
      </c>
      <c r="C45" s="292">
        <v>80</v>
      </c>
      <c r="D45" s="292">
        <v>0.15</v>
      </c>
      <c r="E45" s="292">
        <v>0.15</v>
      </c>
      <c r="F45" s="293">
        <f t="shared" si="12"/>
        <v>18.05</v>
      </c>
      <c r="G45" s="292">
        <f t="shared" si="13"/>
        <v>45.62</v>
      </c>
      <c r="H45" s="292">
        <v>0.5</v>
      </c>
      <c r="I45" s="293">
        <f t="shared" si="14"/>
        <v>3.3333333333333335</v>
      </c>
      <c r="J45" s="292" t="s">
        <v>230</v>
      </c>
      <c r="K45" s="519">
        <f t="shared" si="15"/>
        <v>18.701681379244683</v>
      </c>
      <c r="L45" s="522">
        <f t="shared" si="16"/>
        <v>3.7976101750728732</v>
      </c>
    </row>
    <row r="46" spans="2:12">
      <c r="B46" s="291">
        <v>3</v>
      </c>
      <c r="C46" s="292">
        <v>80</v>
      </c>
      <c r="D46" s="292">
        <v>0.15</v>
      </c>
      <c r="E46" s="292">
        <v>0.15</v>
      </c>
      <c r="F46" s="293">
        <f t="shared" si="12"/>
        <v>18.05</v>
      </c>
      <c r="G46" s="292">
        <f t="shared" si="13"/>
        <v>45.62</v>
      </c>
      <c r="H46" s="292">
        <v>0.8</v>
      </c>
      <c r="I46" s="293">
        <f t="shared" si="14"/>
        <v>5.3333333333333339</v>
      </c>
      <c r="J46" s="292" t="s">
        <v>230</v>
      </c>
      <c r="K46" s="519">
        <f t="shared" si="15"/>
        <v>40.037875467291911</v>
      </c>
      <c r="L46" s="522">
        <f t="shared" si="16"/>
        <v>13.008305739323143</v>
      </c>
    </row>
    <row r="47" spans="2:12">
      <c r="B47" s="291">
        <v>4</v>
      </c>
      <c r="C47" s="292">
        <v>80</v>
      </c>
      <c r="D47" s="293">
        <v>0.3</v>
      </c>
      <c r="E47" s="293">
        <v>0.3</v>
      </c>
      <c r="F47" s="293">
        <f t="shared" si="12"/>
        <v>18.05</v>
      </c>
      <c r="G47" s="292">
        <f t="shared" si="13"/>
        <v>45.62</v>
      </c>
      <c r="H47" s="292">
        <v>0.3</v>
      </c>
      <c r="I47" s="293">
        <f t="shared" si="14"/>
        <v>1</v>
      </c>
      <c r="J47" s="292" t="s">
        <v>230</v>
      </c>
      <c r="K47" s="519">
        <f t="shared" si="15"/>
        <v>3.9665576380389354</v>
      </c>
      <c r="L47" s="522">
        <f t="shared" si="16"/>
        <v>1.933101864898275</v>
      </c>
    </row>
    <row r="48" spans="2:12">
      <c r="B48" s="291">
        <v>5</v>
      </c>
      <c r="C48" s="292">
        <v>80</v>
      </c>
      <c r="D48" s="293">
        <v>0.3</v>
      </c>
      <c r="E48" s="293">
        <v>0.3</v>
      </c>
      <c r="F48" s="293">
        <f t="shared" si="12"/>
        <v>18.05</v>
      </c>
      <c r="G48" s="292">
        <f t="shared" si="13"/>
        <v>45.62</v>
      </c>
      <c r="H48" s="292">
        <v>0.5</v>
      </c>
      <c r="I48" s="293">
        <f t="shared" si="14"/>
        <v>1.6666666666666667</v>
      </c>
      <c r="J48" s="292" t="s">
        <v>230</v>
      </c>
      <c r="K48" s="519">
        <f t="shared" si="15"/>
        <v>7.0604278613670211</v>
      </c>
      <c r="L48" s="522">
        <f t="shared" si="16"/>
        <v>5.7348325303953631</v>
      </c>
    </row>
    <row r="49" spans="2:12" ht="15.75" thickBot="1">
      <c r="B49" s="294">
        <v>6</v>
      </c>
      <c r="C49" s="295">
        <v>80</v>
      </c>
      <c r="D49" s="296">
        <v>0.3</v>
      </c>
      <c r="E49" s="296">
        <v>0.3</v>
      </c>
      <c r="F49" s="296">
        <f t="shared" si="12"/>
        <v>18.05</v>
      </c>
      <c r="G49" s="295">
        <f t="shared" si="13"/>
        <v>45.62</v>
      </c>
      <c r="H49" s="295">
        <v>0.8</v>
      </c>
      <c r="I49" s="296">
        <f t="shared" si="14"/>
        <v>2.666666666666667</v>
      </c>
      <c r="J49" s="295" t="s">
        <v>230</v>
      </c>
      <c r="K49" s="520">
        <f t="shared" si="15"/>
        <v>13.375480893312341</v>
      </c>
      <c r="L49" s="523">
        <f t="shared" si="16"/>
        <v>17.38277496894872</v>
      </c>
    </row>
  </sheetData>
  <mergeCells count="1">
    <mergeCell ref="K1:M1"/>
  </mergeCells>
  <pageMargins left="0.7" right="0.7" top="0.75" bottom="0.75" header="0.3" footer="0.3"/>
  <pageSetup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U329"/>
  <sheetViews>
    <sheetView topLeftCell="A17" zoomScale="71" zoomScaleNormal="71" workbookViewId="0">
      <selection activeCell="A17" sqref="A17"/>
    </sheetView>
  </sheetViews>
  <sheetFormatPr defaultRowHeight="15"/>
  <cols>
    <col min="2" max="2" width="16.28515625" customWidth="1"/>
    <col min="3" max="3" width="16" customWidth="1"/>
    <col min="4" max="4" width="14" customWidth="1"/>
    <col min="5" max="5" width="10.5703125" customWidth="1"/>
    <col min="8" max="8" width="16.28515625" customWidth="1"/>
    <col min="9" max="9" width="16" customWidth="1"/>
    <col min="10" max="10" width="14" customWidth="1"/>
    <col min="11" max="11" width="10.5703125" customWidth="1"/>
    <col min="14" max="14" width="16.28515625" customWidth="1"/>
    <col min="15" max="15" width="16" customWidth="1"/>
    <col min="16" max="16" width="14" customWidth="1"/>
    <col min="17" max="17" width="10.5703125" customWidth="1"/>
    <col min="20" max="20" width="16.28515625" customWidth="1"/>
    <col min="21" max="21" width="16" customWidth="1"/>
    <col min="22" max="22" width="14" customWidth="1"/>
    <col min="23" max="23" width="10.5703125" customWidth="1"/>
    <col min="26" max="26" width="16.28515625" customWidth="1"/>
    <col min="27" max="27" width="16" customWidth="1"/>
    <col min="28" max="28" width="14" customWidth="1"/>
    <col min="29" max="29" width="10.5703125" customWidth="1"/>
    <col min="32" max="32" width="16.28515625" customWidth="1"/>
    <col min="33" max="33" width="16" customWidth="1"/>
    <col min="34" max="34" width="14" customWidth="1"/>
    <col min="35" max="35" width="10.5703125" customWidth="1"/>
    <col min="38" max="46" width="9.140625" style="467"/>
  </cols>
  <sheetData>
    <row r="1" spans="2:47" ht="21">
      <c r="E1" s="569" t="s">
        <v>295</v>
      </c>
      <c r="F1" s="569"/>
      <c r="G1" s="569"/>
    </row>
    <row r="4" spans="2:47" ht="15.75" thickBot="1"/>
    <row r="5" spans="2:47">
      <c r="B5" s="667" t="s">
        <v>268</v>
      </c>
      <c r="C5" s="668"/>
      <c r="D5" s="332" t="s">
        <v>271</v>
      </c>
      <c r="E5" s="219" t="s">
        <v>272</v>
      </c>
      <c r="H5" s="667" t="s">
        <v>268</v>
      </c>
      <c r="I5" s="668"/>
      <c r="J5" s="332" t="s">
        <v>271</v>
      </c>
      <c r="K5" s="219" t="s">
        <v>272</v>
      </c>
      <c r="N5" s="667" t="s">
        <v>268</v>
      </c>
      <c r="O5" s="668"/>
      <c r="P5" s="332" t="s">
        <v>271</v>
      </c>
      <c r="Q5" s="219" t="s">
        <v>272</v>
      </c>
      <c r="T5" s="667" t="s">
        <v>268</v>
      </c>
      <c r="U5" s="668"/>
      <c r="V5" s="332" t="s">
        <v>304</v>
      </c>
      <c r="W5" s="219" t="s">
        <v>272</v>
      </c>
      <c r="Z5" s="667" t="s">
        <v>268</v>
      </c>
      <c r="AA5" s="668"/>
      <c r="AB5" s="332" t="s">
        <v>304</v>
      </c>
      <c r="AC5" s="219" t="s">
        <v>272</v>
      </c>
      <c r="AF5" s="667" t="s">
        <v>268</v>
      </c>
      <c r="AG5" s="668"/>
      <c r="AH5" s="332" t="s">
        <v>304</v>
      </c>
      <c r="AI5" s="219" t="s">
        <v>272</v>
      </c>
    </row>
    <row r="6" spans="2:47">
      <c r="B6" s="665" t="s">
        <v>269</v>
      </c>
      <c r="C6" s="666"/>
      <c r="D6" s="8">
        <v>35</v>
      </c>
      <c r="E6" s="221" t="s">
        <v>127</v>
      </c>
      <c r="H6" s="665" t="s">
        <v>269</v>
      </c>
      <c r="I6" s="666"/>
      <c r="J6" s="8">
        <v>35</v>
      </c>
      <c r="K6" s="221" t="s">
        <v>127</v>
      </c>
      <c r="N6" s="665" t="s">
        <v>269</v>
      </c>
      <c r="O6" s="666"/>
      <c r="P6" s="8">
        <v>35</v>
      </c>
      <c r="Q6" s="221" t="s">
        <v>127</v>
      </c>
      <c r="T6" s="665" t="s">
        <v>269</v>
      </c>
      <c r="U6" s="666"/>
      <c r="V6" s="8">
        <v>35</v>
      </c>
      <c r="W6" s="221" t="s">
        <v>127</v>
      </c>
      <c r="Z6" s="665" t="s">
        <v>269</v>
      </c>
      <c r="AA6" s="666"/>
      <c r="AB6" s="8">
        <v>35</v>
      </c>
      <c r="AC6" s="221" t="s">
        <v>127</v>
      </c>
      <c r="AF6" s="665" t="s">
        <v>269</v>
      </c>
      <c r="AG6" s="666"/>
      <c r="AH6" s="8">
        <v>35</v>
      </c>
      <c r="AI6" s="221" t="s">
        <v>127</v>
      </c>
    </row>
    <row r="7" spans="2:47" ht="15.75" thickBot="1">
      <c r="B7" s="663" t="s">
        <v>270</v>
      </c>
      <c r="C7" s="664"/>
      <c r="D7" s="131">
        <v>0.3</v>
      </c>
      <c r="E7" s="224" t="s">
        <v>222</v>
      </c>
      <c r="H7" s="663" t="s">
        <v>270</v>
      </c>
      <c r="I7" s="664"/>
      <c r="J7" s="131">
        <v>0.5</v>
      </c>
      <c r="K7" s="224" t="s">
        <v>222</v>
      </c>
      <c r="N7" s="663" t="s">
        <v>270</v>
      </c>
      <c r="O7" s="664"/>
      <c r="P7" s="131">
        <v>0.8</v>
      </c>
      <c r="Q7" s="224" t="s">
        <v>222</v>
      </c>
      <c r="T7" s="663" t="s">
        <v>270</v>
      </c>
      <c r="U7" s="664"/>
      <c r="V7" s="131">
        <v>0.3</v>
      </c>
      <c r="W7" s="224" t="s">
        <v>222</v>
      </c>
      <c r="Z7" s="663" t="s">
        <v>270</v>
      </c>
      <c r="AA7" s="664"/>
      <c r="AB7" s="131">
        <v>0.5</v>
      </c>
      <c r="AC7" s="224" t="s">
        <v>222</v>
      </c>
      <c r="AF7" s="663" t="s">
        <v>270</v>
      </c>
      <c r="AG7" s="664"/>
      <c r="AH7" s="131">
        <v>0.8</v>
      </c>
      <c r="AI7" s="224" t="s">
        <v>222</v>
      </c>
    </row>
    <row r="8" spans="2:47" ht="15.75" thickBot="1"/>
    <row r="9" spans="2:47">
      <c r="B9" s="217" t="s">
        <v>259</v>
      </c>
      <c r="C9" s="332">
        <v>5.55</v>
      </c>
      <c r="D9" s="219" t="s">
        <v>260</v>
      </c>
      <c r="H9" s="217" t="s">
        <v>259</v>
      </c>
      <c r="I9" s="332">
        <v>5.55</v>
      </c>
      <c r="J9" s="219" t="s">
        <v>260</v>
      </c>
      <c r="N9" s="217" t="s">
        <v>259</v>
      </c>
      <c r="O9" s="332">
        <v>5.55</v>
      </c>
      <c r="P9" s="219" t="s">
        <v>260</v>
      </c>
      <c r="T9" s="217" t="s">
        <v>259</v>
      </c>
      <c r="U9" s="332">
        <v>5.55</v>
      </c>
      <c r="V9" s="219" t="s">
        <v>260</v>
      </c>
      <c r="Z9" s="217" t="s">
        <v>259</v>
      </c>
      <c r="AA9" s="332">
        <v>5.55</v>
      </c>
      <c r="AB9" s="219" t="s">
        <v>260</v>
      </c>
      <c r="AF9" s="217" t="s">
        <v>259</v>
      </c>
      <c r="AG9" s="332">
        <v>5.55</v>
      </c>
      <c r="AH9" s="219" t="s">
        <v>260</v>
      </c>
    </row>
    <row r="10" spans="2:47" ht="15.75" thickBot="1">
      <c r="B10" s="222" t="s">
        <v>261</v>
      </c>
      <c r="C10" s="333">
        <v>1E-3</v>
      </c>
      <c r="D10" s="224" t="s">
        <v>35</v>
      </c>
      <c r="H10" s="222" t="s">
        <v>261</v>
      </c>
      <c r="I10" s="333">
        <v>1E-3</v>
      </c>
      <c r="J10" s="224" t="s">
        <v>35</v>
      </c>
      <c r="N10" s="222" t="s">
        <v>261</v>
      </c>
      <c r="O10" s="333">
        <v>1E-3</v>
      </c>
      <c r="P10" s="224" t="s">
        <v>35</v>
      </c>
      <c r="T10" s="222" t="s">
        <v>261</v>
      </c>
      <c r="U10" s="333">
        <v>1E-3</v>
      </c>
      <c r="V10" s="224" t="s">
        <v>35</v>
      </c>
      <c r="Z10" s="222" t="s">
        <v>261</v>
      </c>
      <c r="AA10" s="333">
        <v>1E-3</v>
      </c>
      <c r="AB10" s="224" t="s">
        <v>35</v>
      </c>
      <c r="AF10" s="222" t="s">
        <v>261</v>
      </c>
      <c r="AG10" s="333">
        <v>1E-3</v>
      </c>
      <c r="AH10" s="224" t="s">
        <v>35</v>
      </c>
    </row>
    <row r="12" spans="2:47" ht="15.75" thickBot="1"/>
    <row r="13" spans="2:47" ht="63.75" customHeight="1" thickBot="1">
      <c r="B13" s="397" t="s">
        <v>178</v>
      </c>
      <c r="C13" s="397" t="s">
        <v>198</v>
      </c>
      <c r="D13" s="397" t="s">
        <v>185</v>
      </c>
      <c r="E13" s="399" t="s">
        <v>263</v>
      </c>
      <c r="H13" s="397" t="s">
        <v>178</v>
      </c>
      <c r="I13" s="397" t="s">
        <v>198</v>
      </c>
      <c r="J13" s="397" t="s">
        <v>185</v>
      </c>
      <c r="K13" s="399" t="s">
        <v>263</v>
      </c>
      <c r="N13" s="397" t="s">
        <v>178</v>
      </c>
      <c r="O13" s="397" t="s">
        <v>198</v>
      </c>
      <c r="P13" s="397" t="s">
        <v>185</v>
      </c>
      <c r="Q13" s="399" t="s">
        <v>263</v>
      </c>
      <c r="T13" s="397" t="s">
        <v>178</v>
      </c>
      <c r="U13" s="397" t="s">
        <v>198</v>
      </c>
      <c r="V13" s="397" t="s">
        <v>185</v>
      </c>
      <c r="W13" s="399" t="s">
        <v>340</v>
      </c>
      <c r="Z13" s="397" t="s">
        <v>178</v>
      </c>
      <c r="AA13" s="397" t="s">
        <v>198</v>
      </c>
      <c r="AB13" s="397" t="s">
        <v>185</v>
      </c>
      <c r="AC13" s="399" t="s">
        <v>340</v>
      </c>
      <c r="AF13" s="397" t="s">
        <v>178</v>
      </c>
      <c r="AG13" s="397" t="s">
        <v>198</v>
      </c>
      <c r="AH13" s="397" t="s">
        <v>185</v>
      </c>
      <c r="AI13" s="399" t="s">
        <v>340</v>
      </c>
      <c r="AL13" s="492" t="s">
        <v>221</v>
      </c>
      <c r="AM13" s="493" t="s">
        <v>326</v>
      </c>
      <c r="AN13" s="493" t="s">
        <v>273</v>
      </c>
      <c r="AO13" s="493" t="s">
        <v>327</v>
      </c>
      <c r="AP13" s="494" t="s">
        <v>309</v>
      </c>
      <c r="AQ13" s="495" t="s">
        <v>328</v>
      </c>
      <c r="AR13" s="493" t="s">
        <v>331</v>
      </c>
      <c r="AS13" s="493" t="s">
        <v>329</v>
      </c>
      <c r="AT13" s="496" t="s">
        <v>325</v>
      </c>
      <c r="AU13" s="467"/>
    </row>
    <row r="14" spans="2:47" ht="15.75" thickBot="1">
      <c r="B14" s="322">
        <v>0</v>
      </c>
      <c r="C14" s="325">
        <f t="shared" ref="C14:C21" si="0">B14*$C$10</f>
        <v>0</v>
      </c>
      <c r="D14" s="328">
        <v>0</v>
      </c>
      <c r="E14" s="325">
        <f t="shared" ref="E14:E21" si="1">D14*$C$9</f>
        <v>0</v>
      </c>
      <c r="H14" s="322">
        <v>0</v>
      </c>
      <c r="I14" s="325">
        <f t="shared" ref="I14:I37" si="2">H14*$C$10</f>
        <v>0</v>
      </c>
      <c r="J14" s="412">
        <v>0</v>
      </c>
      <c r="K14" s="325">
        <f>J14*$I$9</f>
        <v>0</v>
      </c>
      <c r="N14" s="400">
        <v>0</v>
      </c>
      <c r="O14" s="401">
        <f t="shared" ref="O14:O69" si="3">N14*$C$10</f>
        <v>0</v>
      </c>
      <c r="P14" s="402">
        <v>0</v>
      </c>
      <c r="Q14" s="403">
        <f>P14*$I$9</f>
        <v>0</v>
      </c>
      <c r="T14" s="322">
        <v>0</v>
      </c>
      <c r="U14" s="325">
        <f t="shared" ref="U14:U22" si="4">T14*$C$10</f>
        <v>0</v>
      </c>
      <c r="V14" s="328">
        <v>0</v>
      </c>
      <c r="W14" s="325">
        <f t="shared" ref="W14:W22" si="5">V14*$C$9</f>
        <v>0</v>
      </c>
      <c r="Z14" s="322">
        <v>0</v>
      </c>
      <c r="AA14" s="325">
        <f t="shared" ref="AA14:AA38" si="6">Z14*$C$10</f>
        <v>0</v>
      </c>
      <c r="AB14" s="412">
        <v>0</v>
      </c>
      <c r="AC14" s="325">
        <f>AB14*$I$9</f>
        <v>0</v>
      </c>
      <c r="AF14" s="425">
        <v>0</v>
      </c>
      <c r="AG14" s="428">
        <f t="shared" ref="AG14:AG98" si="7">AF14*$C$10</f>
        <v>0</v>
      </c>
      <c r="AH14" s="434">
        <v>0</v>
      </c>
      <c r="AI14" s="431">
        <f>AH14*$I$9</f>
        <v>0</v>
      </c>
      <c r="AL14" s="499">
        <v>1</v>
      </c>
      <c r="AM14" s="604">
        <v>0.15</v>
      </c>
      <c r="AN14" s="658">
        <v>0.35</v>
      </c>
      <c r="AO14" s="500">
        <v>0.3</v>
      </c>
      <c r="AP14" s="501">
        <f>AO14/$AM$14</f>
        <v>2</v>
      </c>
      <c r="AQ14" s="501">
        <v>16.39</v>
      </c>
      <c r="AR14" s="501">
        <f>W100/100</f>
        <v>0.49949999999999994</v>
      </c>
      <c r="AS14" s="501">
        <f>U100</f>
        <v>0.16</v>
      </c>
      <c r="AT14" s="502">
        <f>AS14/AO14</f>
        <v>0.53333333333333333</v>
      </c>
    </row>
    <row r="15" spans="2:47" ht="15.75" thickBot="1">
      <c r="B15" s="323">
        <v>20</v>
      </c>
      <c r="C15" s="326">
        <f t="shared" si="0"/>
        <v>0.02</v>
      </c>
      <c r="D15" s="329">
        <v>7</v>
      </c>
      <c r="E15" s="326">
        <f t="shared" si="1"/>
        <v>38.85</v>
      </c>
      <c r="H15" s="323">
        <v>20</v>
      </c>
      <c r="I15" s="326">
        <f t="shared" si="2"/>
        <v>0.02</v>
      </c>
      <c r="J15" s="413">
        <v>8</v>
      </c>
      <c r="K15" s="326">
        <f t="shared" ref="K15:K37" si="8">J15*$I$9</f>
        <v>44.4</v>
      </c>
      <c r="N15" s="404">
        <v>20</v>
      </c>
      <c r="O15" s="405">
        <f t="shared" si="3"/>
        <v>0.02</v>
      </c>
      <c r="P15" s="406">
        <v>16</v>
      </c>
      <c r="Q15" s="407">
        <f t="shared" ref="Q15:Q39" si="9">P15*$I$9</f>
        <v>88.8</v>
      </c>
      <c r="T15" s="323">
        <v>20</v>
      </c>
      <c r="U15" s="326">
        <f t="shared" si="4"/>
        <v>0.02</v>
      </c>
      <c r="V15" s="329">
        <v>1</v>
      </c>
      <c r="W15" s="326">
        <f t="shared" si="5"/>
        <v>5.55</v>
      </c>
      <c r="Z15" s="323">
        <v>20</v>
      </c>
      <c r="AA15" s="326">
        <f t="shared" si="6"/>
        <v>0.02</v>
      </c>
      <c r="AB15" s="413">
        <v>2</v>
      </c>
      <c r="AC15" s="326">
        <f t="shared" ref="AC15:AC38" si="10">AB15*$I$9</f>
        <v>11.1</v>
      </c>
      <c r="AF15" s="426">
        <v>20</v>
      </c>
      <c r="AG15" s="429">
        <f t="shared" si="7"/>
        <v>0.02</v>
      </c>
      <c r="AH15" s="435">
        <v>7</v>
      </c>
      <c r="AI15" s="432">
        <f t="shared" ref="AI15:AI39" si="11">AH15*$I$9</f>
        <v>38.85</v>
      </c>
      <c r="AL15" s="503">
        <v>2</v>
      </c>
      <c r="AM15" s="657"/>
      <c r="AN15" s="659"/>
      <c r="AO15" s="504">
        <v>0.5</v>
      </c>
      <c r="AP15" s="501">
        <f t="shared" ref="AP15:AP22" si="12">AO15/$AM$14</f>
        <v>3.3333333333333335</v>
      </c>
      <c r="AQ15" s="505">
        <v>16.39</v>
      </c>
      <c r="AR15" s="505">
        <f>AC100/100</f>
        <v>1.554</v>
      </c>
      <c r="AS15" s="505">
        <f>AA100</f>
        <v>0.48</v>
      </c>
      <c r="AT15" s="506">
        <f>AS15/AO15</f>
        <v>0.96</v>
      </c>
    </row>
    <row r="16" spans="2:47" ht="15.75" thickBot="1">
      <c r="B16" s="323">
        <v>40</v>
      </c>
      <c r="C16" s="326">
        <f t="shared" si="0"/>
        <v>0.04</v>
      </c>
      <c r="D16" s="329">
        <v>12</v>
      </c>
      <c r="E16" s="326">
        <f t="shared" si="1"/>
        <v>66.599999999999994</v>
      </c>
      <c r="H16" s="323">
        <v>40</v>
      </c>
      <c r="I16" s="326">
        <f t="shared" si="2"/>
        <v>0.04</v>
      </c>
      <c r="J16" s="413">
        <v>14</v>
      </c>
      <c r="K16" s="326">
        <f t="shared" si="8"/>
        <v>77.7</v>
      </c>
      <c r="N16" s="404">
        <v>40</v>
      </c>
      <c r="O16" s="405">
        <f t="shared" si="3"/>
        <v>0.04</v>
      </c>
      <c r="P16" s="406">
        <v>55</v>
      </c>
      <c r="Q16" s="407">
        <f t="shared" si="9"/>
        <v>305.25</v>
      </c>
      <c r="T16" s="323">
        <v>40</v>
      </c>
      <c r="U16" s="326">
        <f t="shared" si="4"/>
        <v>0.04</v>
      </c>
      <c r="V16" s="329">
        <v>3</v>
      </c>
      <c r="W16" s="326">
        <f t="shared" si="5"/>
        <v>16.649999999999999</v>
      </c>
      <c r="Z16" s="323">
        <v>40</v>
      </c>
      <c r="AA16" s="326">
        <f t="shared" si="6"/>
        <v>0.04</v>
      </c>
      <c r="AB16" s="413">
        <v>4</v>
      </c>
      <c r="AC16" s="326">
        <f t="shared" si="10"/>
        <v>22.2</v>
      </c>
      <c r="AF16" s="426">
        <v>40</v>
      </c>
      <c r="AG16" s="429">
        <f t="shared" si="7"/>
        <v>0.04</v>
      </c>
      <c r="AH16" s="435">
        <v>9</v>
      </c>
      <c r="AI16" s="432">
        <f t="shared" si="11"/>
        <v>49.949999999999996</v>
      </c>
      <c r="AL16" s="503">
        <v>3</v>
      </c>
      <c r="AM16" s="657"/>
      <c r="AN16" s="662"/>
      <c r="AO16" s="507">
        <v>0.8</v>
      </c>
      <c r="AP16" s="501">
        <f t="shared" si="12"/>
        <v>5.3333333333333339</v>
      </c>
      <c r="AQ16" s="508">
        <v>16.39</v>
      </c>
      <c r="AR16" s="508">
        <f>AI100/100</f>
        <v>4.2734999999999994</v>
      </c>
      <c r="AS16" s="508">
        <f>AG100</f>
        <v>1.46</v>
      </c>
      <c r="AT16" s="509">
        <f t="shared" ref="AT16:AT28" si="13">AS16/AO16</f>
        <v>1.825</v>
      </c>
    </row>
    <row r="17" spans="2:46" ht="15.75" thickBot="1">
      <c r="B17" s="323">
        <v>60</v>
      </c>
      <c r="C17" s="326">
        <f t="shared" si="0"/>
        <v>0.06</v>
      </c>
      <c r="D17" s="329">
        <v>19</v>
      </c>
      <c r="E17" s="326">
        <f t="shared" si="1"/>
        <v>105.45</v>
      </c>
      <c r="H17" s="323">
        <v>60</v>
      </c>
      <c r="I17" s="326">
        <f t="shared" si="2"/>
        <v>0.06</v>
      </c>
      <c r="J17" s="413">
        <v>27</v>
      </c>
      <c r="K17" s="326">
        <f t="shared" si="8"/>
        <v>149.85</v>
      </c>
      <c r="N17" s="404">
        <v>60</v>
      </c>
      <c r="O17" s="405">
        <f t="shared" si="3"/>
        <v>0.06</v>
      </c>
      <c r="P17" s="406">
        <v>63</v>
      </c>
      <c r="Q17" s="407">
        <f t="shared" si="9"/>
        <v>349.65</v>
      </c>
      <c r="T17" s="323">
        <v>60</v>
      </c>
      <c r="U17" s="326">
        <f t="shared" si="4"/>
        <v>0.06</v>
      </c>
      <c r="V17" s="329">
        <v>5</v>
      </c>
      <c r="W17" s="326">
        <f t="shared" si="5"/>
        <v>27.75</v>
      </c>
      <c r="Z17" s="323">
        <v>60</v>
      </c>
      <c r="AA17" s="326">
        <f t="shared" si="6"/>
        <v>0.06</v>
      </c>
      <c r="AB17" s="413">
        <v>11</v>
      </c>
      <c r="AC17" s="326">
        <f t="shared" si="10"/>
        <v>61.05</v>
      </c>
      <c r="AF17" s="426">
        <v>60</v>
      </c>
      <c r="AG17" s="429">
        <f t="shared" si="7"/>
        <v>0.06</v>
      </c>
      <c r="AH17" s="435">
        <v>14</v>
      </c>
      <c r="AI17" s="432">
        <f t="shared" si="11"/>
        <v>77.7</v>
      </c>
      <c r="AL17" s="499">
        <v>4</v>
      </c>
      <c r="AM17" s="657"/>
      <c r="AN17" s="658">
        <v>0.6</v>
      </c>
      <c r="AO17" s="500">
        <v>0.3</v>
      </c>
      <c r="AP17" s="501">
        <f t="shared" si="12"/>
        <v>2</v>
      </c>
      <c r="AQ17" s="505">
        <v>17.2</v>
      </c>
      <c r="AR17" s="505">
        <f>AC210/100</f>
        <v>1.9424999999999999</v>
      </c>
      <c r="AS17" s="505">
        <f>AA210</f>
        <v>0.5</v>
      </c>
      <c r="AT17" s="506">
        <f t="shared" si="13"/>
        <v>1.6666666666666667</v>
      </c>
    </row>
    <row r="18" spans="2:46" ht="15.75" thickBot="1">
      <c r="B18" s="323">
        <v>80</v>
      </c>
      <c r="C18" s="326">
        <f t="shared" si="0"/>
        <v>0.08</v>
      </c>
      <c r="D18" s="329">
        <v>19</v>
      </c>
      <c r="E18" s="326">
        <f t="shared" si="1"/>
        <v>105.45</v>
      </c>
      <c r="H18" s="323">
        <v>80</v>
      </c>
      <c r="I18" s="326">
        <f t="shared" si="2"/>
        <v>0.08</v>
      </c>
      <c r="J18" s="413">
        <v>36</v>
      </c>
      <c r="K18" s="326">
        <f t="shared" si="8"/>
        <v>199.79999999999998</v>
      </c>
      <c r="N18" s="404">
        <v>80</v>
      </c>
      <c r="O18" s="405">
        <f t="shared" si="3"/>
        <v>0.08</v>
      </c>
      <c r="P18" s="406">
        <v>72</v>
      </c>
      <c r="Q18" s="407">
        <f t="shared" si="9"/>
        <v>399.59999999999997</v>
      </c>
      <c r="T18" s="323">
        <v>80</v>
      </c>
      <c r="U18" s="326">
        <f t="shared" si="4"/>
        <v>0.08</v>
      </c>
      <c r="V18" s="329">
        <v>6</v>
      </c>
      <c r="W18" s="326">
        <f t="shared" si="5"/>
        <v>33.299999999999997</v>
      </c>
      <c r="Z18" s="323">
        <v>80</v>
      </c>
      <c r="AA18" s="326">
        <f t="shared" si="6"/>
        <v>0.08</v>
      </c>
      <c r="AB18" s="413">
        <v>13</v>
      </c>
      <c r="AC18" s="326">
        <f t="shared" si="10"/>
        <v>72.149999999999991</v>
      </c>
      <c r="AF18" s="426">
        <v>80</v>
      </c>
      <c r="AG18" s="429">
        <f t="shared" si="7"/>
        <v>0.08</v>
      </c>
      <c r="AH18" s="435">
        <v>17</v>
      </c>
      <c r="AI18" s="432">
        <f t="shared" si="11"/>
        <v>94.35</v>
      </c>
      <c r="AL18" s="503">
        <v>5</v>
      </c>
      <c r="AM18" s="657"/>
      <c r="AN18" s="659"/>
      <c r="AO18" s="504">
        <v>0.5</v>
      </c>
      <c r="AP18" s="501">
        <f t="shared" si="12"/>
        <v>3.3333333333333335</v>
      </c>
      <c r="AQ18" s="508">
        <v>17.2</v>
      </c>
      <c r="AR18" s="508">
        <f>AI210/100</f>
        <v>7.2149999999999999</v>
      </c>
      <c r="AS18" s="508">
        <f>AG210</f>
        <v>1.64</v>
      </c>
      <c r="AT18" s="509">
        <f t="shared" si="13"/>
        <v>3.28</v>
      </c>
    </row>
    <row r="19" spans="2:46" ht="15.75" thickBot="1">
      <c r="B19" s="323">
        <v>100</v>
      </c>
      <c r="C19" s="326">
        <f t="shared" si="0"/>
        <v>0.1</v>
      </c>
      <c r="D19" s="329">
        <v>20</v>
      </c>
      <c r="E19" s="326">
        <f t="shared" si="1"/>
        <v>111</v>
      </c>
      <c r="H19" s="323">
        <v>100</v>
      </c>
      <c r="I19" s="326">
        <f t="shared" si="2"/>
        <v>0.1</v>
      </c>
      <c r="J19" s="413">
        <v>40</v>
      </c>
      <c r="K19" s="326">
        <f t="shared" si="8"/>
        <v>222</v>
      </c>
      <c r="N19" s="404">
        <v>100</v>
      </c>
      <c r="O19" s="405">
        <f t="shared" si="3"/>
        <v>0.1</v>
      </c>
      <c r="P19" s="406">
        <v>77</v>
      </c>
      <c r="Q19" s="407">
        <f t="shared" si="9"/>
        <v>427.34999999999997</v>
      </c>
      <c r="T19" s="323">
        <v>100</v>
      </c>
      <c r="U19" s="326">
        <f t="shared" si="4"/>
        <v>0.1</v>
      </c>
      <c r="V19" s="329">
        <v>7</v>
      </c>
      <c r="W19" s="326">
        <f t="shared" si="5"/>
        <v>38.85</v>
      </c>
      <c r="Z19" s="323">
        <v>100</v>
      </c>
      <c r="AA19" s="326">
        <f t="shared" si="6"/>
        <v>0.1</v>
      </c>
      <c r="AB19" s="413">
        <v>16</v>
      </c>
      <c r="AC19" s="326">
        <f t="shared" si="10"/>
        <v>88.8</v>
      </c>
      <c r="AF19" s="426">
        <v>100</v>
      </c>
      <c r="AG19" s="429">
        <f t="shared" si="7"/>
        <v>0.1</v>
      </c>
      <c r="AH19" s="435">
        <v>20</v>
      </c>
      <c r="AI19" s="432">
        <f t="shared" si="11"/>
        <v>111</v>
      </c>
      <c r="AL19" s="503">
        <v>6</v>
      </c>
      <c r="AM19" s="657"/>
      <c r="AN19" s="660"/>
      <c r="AO19" s="507">
        <v>0.8</v>
      </c>
      <c r="AP19" s="501">
        <f t="shared" si="12"/>
        <v>5.3333333333333339</v>
      </c>
      <c r="AQ19" s="508">
        <v>17.2</v>
      </c>
      <c r="AR19" s="501">
        <f>W327/100</f>
        <v>0.66599999999999993</v>
      </c>
      <c r="AS19" s="501">
        <f>U327</f>
        <v>0.24</v>
      </c>
      <c r="AT19" s="502">
        <f t="shared" si="13"/>
        <v>0.3</v>
      </c>
    </row>
    <row r="20" spans="2:46" ht="15.75" thickBot="1">
      <c r="B20" s="323">
        <v>120</v>
      </c>
      <c r="C20" s="326">
        <f t="shared" si="0"/>
        <v>0.12</v>
      </c>
      <c r="D20" s="329">
        <v>20</v>
      </c>
      <c r="E20" s="326">
        <f t="shared" si="1"/>
        <v>111</v>
      </c>
      <c r="H20" s="323">
        <v>120</v>
      </c>
      <c r="I20" s="326">
        <f t="shared" si="2"/>
        <v>0.12</v>
      </c>
      <c r="J20" s="413">
        <v>41</v>
      </c>
      <c r="K20" s="326">
        <f t="shared" si="8"/>
        <v>227.54999999999998</v>
      </c>
      <c r="N20" s="404">
        <v>120</v>
      </c>
      <c r="O20" s="405">
        <f t="shared" si="3"/>
        <v>0.12</v>
      </c>
      <c r="P20" s="406">
        <v>80</v>
      </c>
      <c r="Q20" s="407">
        <f t="shared" si="9"/>
        <v>444</v>
      </c>
      <c r="T20" s="323">
        <v>120</v>
      </c>
      <c r="U20" s="326">
        <f t="shared" si="4"/>
        <v>0.12</v>
      </c>
      <c r="V20" s="329">
        <v>8</v>
      </c>
      <c r="W20" s="326">
        <f t="shared" si="5"/>
        <v>44.4</v>
      </c>
      <c r="Z20" s="323">
        <v>120</v>
      </c>
      <c r="AA20" s="326">
        <f t="shared" si="6"/>
        <v>0.12</v>
      </c>
      <c r="AB20" s="413">
        <v>18</v>
      </c>
      <c r="AC20" s="326">
        <f t="shared" si="10"/>
        <v>99.899999999999991</v>
      </c>
      <c r="AF20" s="426">
        <v>120</v>
      </c>
      <c r="AG20" s="429">
        <f t="shared" si="7"/>
        <v>0.12</v>
      </c>
      <c r="AH20" s="435">
        <v>22</v>
      </c>
      <c r="AI20" s="432">
        <f t="shared" si="11"/>
        <v>122.1</v>
      </c>
      <c r="AL20" s="499">
        <v>7</v>
      </c>
      <c r="AM20" s="657"/>
      <c r="AN20" s="661">
        <v>0.8</v>
      </c>
      <c r="AO20" s="500">
        <v>0.3</v>
      </c>
      <c r="AP20" s="501">
        <f t="shared" si="12"/>
        <v>2</v>
      </c>
      <c r="AQ20" s="505">
        <v>18.05</v>
      </c>
      <c r="AR20" s="505">
        <f>AC327/100</f>
        <v>2.4419999999999997</v>
      </c>
      <c r="AS20" s="505">
        <f>AA327</f>
        <v>0.52</v>
      </c>
      <c r="AT20" s="506">
        <f t="shared" si="13"/>
        <v>1.7333333333333334</v>
      </c>
    </row>
    <row r="21" spans="2:46" ht="15.75" thickBot="1">
      <c r="B21" s="324">
        <v>140</v>
      </c>
      <c r="C21" s="327">
        <f t="shared" si="0"/>
        <v>0.14000000000000001</v>
      </c>
      <c r="D21" s="330">
        <v>20</v>
      </c>
      <c r="E21" s="327">
        <f t="shared" si="1"/>
        <v>111</v>
      </c>
      <c r="H21" s="323">
        <v>140</v>
      </c>
      <c r="I21" s="326">
        <f t="shared" si="2"/>
        <v>0.14000000000000001</v>
      </c>
      <c r="J21" s="413">
        <v>43</v>
      </c>
      <c r="K21" s="326">
        <f t="shared" si="8"/>
        <v>238.65</v>
      </c>
      <c r="N21" s="404">
        <v>140</v>
      </c>
      <c r="O21" s="405">
        <f t="shared" si="3"/>
        <v>0.14000000000000001</v>
      </c>
      <c r="P21" s="406">
        <v>83</v>
      </c>
      <c r="Q21" s="407">
        <f t="shared" si="9"/>
        <v>460.65</v>
      </c>
      <c r="T21" s="323">
        <v>140</v>
      </c>
      <c r="U21" s="326">
        <f t="shared" si="4"/>
        <v>0.14000000000000001</v>
      </c>
      <c r="V21" s="329">
        <v>9</v>
      </c>
      <c r="W21" s="326">
        <f t="shared" si="5"/>
        <v>49.949999999999996</v>
      </c>
      <c r="Z21" s="323">
        <v>140</v>
      </c>
      <c r="AA21" s="326">
        <f t="shared" si="6"/>
        <v>0.14000000000000001</v>
      </c>
      <c r="AB21" s="413">
        <v>19</v>
      </c>
      <c r="AC21" s="326">
        <f t="shared" si="10"/>
        <v>105.45</v>
      </c>
      <c r="AF21" s="426">
        <v>140</v>
      </c>
      <c r="AG21" s="429">
        <f t="shared" si="7"/>
        <v>0.14000000000000001</v>
      </c>
      <c r="AH21" s="435">
        <v>24</v>
      </c>
      <c r="AI21" s="432">
        <f t="shared" si="11"/>
        <v>133.19999999999999</v>
      </c>
      <c r="AL21" s="503">
        <v>8</v>
      </c>
      <c r="AM21" s="657"/>
      <c r="AN21" s="659"/>
      <c r="AO21" s="504">
        <v>0.5</v>
      </c>
      <c r="AP21" s="501">
        <f t="shared" si="12"/>
        <v>3.3333333333333335</v>
      </c>
      <c r="AQ21" s="508">
        <v>18.05</v>
      </c>
      <c r="AR21" s="508">
        <f>AI327/100</f>
        <v>10.101000000000001</v>
      </c>
      <c r="AS21" s="508">
        <f>AG327</f>
        <v>1.75</v>
      </c>
      <c r="AT21" s="509">
        <f t="shared" si="13"/>
        <v>3.5</v>
      </c>
    </row>
    <row r="22" spans="2:46" ht="15.75" thickBot="1">
      <c r="H22" s="323">
        <v>160</v>
      </c>
      <c r="I22" s="326">
        <f t="shared" si="2"/>
        <v>0.16</v>
      </c>
      <c r="J22" s="413">
        <v>45</v>
      </c>
      <c r="K22" s="326">
        <f t="shared" si="8"/>
        <v>249.75</v>
      </c>
      <c r="N22" s="404">
        <v>160</v>
      </c>
      <c r="O22" s="405">
        <f t="shared" si="3"/>
        <v>0.16</v>
      </c>
      <c r="P22" s="406">
        <v>85</v>
      </c>
      <c r="Q22" s="407">
        <f t="shared" si="9"/>
        <v>471.75</v>
      </c>
      <c r="T22" s="324">
        <v>160</v>
      </c>
      <c r="U22" s="327">
        <f t="shared" si="4"/>
        <v>0.16</v>
      </c>
      <c r="V22" s="330">
        <v>9</v>
      </c>
      <c r="W22" s="327">
        <f t="shared" si="5"/>
        <v>49.949999999999996</v>
      </c>
      <c r="Z22" s="323">
        <v>160</v>
      </c>
      <c r="AA22" s="326">
        <f t="shared" si="6"/>
        <v>0.16</v>
      </c>
      <c r="AB22" s="413">
        <v>21</v>
      </c>
      <c r="AC22" s="326">
        <f t="shared" si="10"/>
        <v>116.55</v>
      </c>
      <c r="AF22" s="426">
        <v>160</v>
      </c>
      <c r="AG22" s="429">
        <f t="shared" si="7"/>
        <v>0.16</v>
      </c>
      <c r="AH22" s="435">
        <v>27</v>
      </c>
      <c r="AI22" s="432">
        <f t="shared" si="11"/>
        <v>149.85</v>
      </c>
      <c r="AL22" s="503">
        <v>9</v>
      </c>
      <c r="AM22" s="605"/>
      <c r="AN22" s="660"/>
      <c r="AO22" s="507">
        <v>0.8</v>
      </c>
      <c r="AP22" s="501">
        <f t="shared" si="12"/>
        <v>5.3333333333333339</v>
      </c>
      <c r="AQ22" s="508">
        <v>18.05</v>
      </c>
      <c r="AR22" s="505">
        <f>K100/100</f>
        <v>2.8859999999999997</v>
      </c>
      <c r="AS22" s="505">
        <f>I100</f>
        <v>0.46</v>
      </c>
      <c r="AT22" s="506">
        <f t="shared" si="13"/>
        <v>0.57499999999999996</v>
      </c>
    </row>
    <row r="23" spans="2:46" ht="15.75" thickBot="1">
      <c r="H23" s="323">
        <v>180</v>
      </c>
      <c r="I23" s="326">
        <f t="shared" si="2"/>
        <v>0.18</v>
      </c>
      <c r="J23" s="413">
        <v>45</v>
      </c>
      <c r="K23" s="326">
        <f t="shared" si="8"/>
        <v>249.75</v>
      </c>
      <c r="N23" s="404">
        <v>180</v>
      </c>
      <c r="O23" s="405">
        <f t="shared" si="3"/>
        <v>0.18</v>
      </c>
      <c r="P23" s="406">
        <v>88</v>
      </c>
      <c r="Q23" s="407">
        <f t="shared" si="9"/>
        <v>488.4</v>
      </c>
      <c r="Z23" s="323">
        <v>180</v>
      </c>
      <c r="AA23" s="326">
        <f t="shared" si="6"/>
        <v>0.18</v>
      </c>
      <c r="AB23" s="413">
        <v>22</v>
      </c>
      <c r="AC23" s="326">
        <f t="shared" si="10"/>
        <v>122.1</v>
      </c>
      <c r="AF23" s="426">
        <v>180</v>
      </c>
      <c r="AG23" s="429">
        <f t="shared" si="7"/>
        <v>0.18</v>
      </c>
      <c r="AH23" s="435">
        <v>28</v>
      </c>
      <c r="AI23" s="432">
        <f t="shared" si="11"/>
        <v>155.4</v>
      </c>
      <c r="AL23" s="499">
        <v>10</v>
      </c>
      <c r="AM23" s="604">
        <v>0.3</v>
      </c>
      <c r="AN23" s="658">
        <v>0.35</v>
      </c>
      <c r="AO23" s="500">
        <v>0.3</v>
      </c>
      <c r="AP23" s="501">
        <f>AO23/$AM$23</f>
        <v>1</v>
      </c>
      <c r="AQ23" s="501">
        <v>16.39</v>
      </c>
      <c r="AR23" s="508">
        <f>Q100/100</f>
        <v>6.9929999999999994</v>
      </c>
      <c r="AS23" s="508">
        <f>O100</f>
        <v>0.98</v>
      </c>
      <c r="AT23" s="509">
        <f t="shared" si="13"/>
        <v>3.2666666666666666</v>
      </c>
    </row>
    <row r="24" spans="2:46" ht="15.75" thickBot="1">
      <c r="H24" s="323">
        <v>200</v>
      </c>
      <c r="I24" s="326">
        <f t="shared" si="2"/>
        <v>0.2</v>
      </c>
      <c r="J24" s="413">
        <v>46</v>
      </c>
      <c r="K24" s="326">
        <f t="shared" si="8"/>
        <v>255.29999999999998</v>
      </c>
      <c r="N24" s="404">
        <v>200</v>
      </c>
      <c r="O24" s="405">
        <f t="shared" si="3"/>
        <v>0.2</v>
      </c>
      <c r="P24" s="406">
        <v>90</v>
      </c>
      <c r="Q24" s="407">
        <f t="shared" si="9"/>
        <v>499.5</v>
      </c>
      <c r="Z24" s="323">
        <v>200</v>
      </c>
      <c r="AA24" s="326">
        <f t="shared" si="6"/>
        <v>0.2</v>
      </c>
      <c r="AB24" s="413">
        <v>22</v>
      </c>
      <c r="AC24" s="326">
        <f t="shared" si="10"/>
        <v>122.1</v>
      </c>
      <c r="AF24" s="426">
        <v>200</v>
      </c>
      <c r="AG24" s="429">
        <f t="shared" si="7"/>
        <v>0.2</v>
      </c>
      <c r="AH24" s="435">
        <v>30</v>
      </c>
      <c r="AI24" s="432">
        <f t="shared" si="11"/>
        <v>166.5</v>
      </c>
      <c r="AL24" s="503">
        <v>11</v>
      </c>
      <c r="AM24" s="657"/>
      <c r="AN24" s="659"/>
      <c r="AO24" s="504">
        <v>0.5</v>
      </c>
      <c r="AP24" s="501">
        <f t="shared" ref="AP24:AP31" si="14">AO24/$AM$23</f>
        <v>1.6666666666666667</v>
      </c>
      <c r="AQ24" s="505">
        <v>16.39</v>
      </c>
      <c r="AR24" s="501">
        <f>E210/100</f>
        <v>1.3319999999999999</v>
      </c>
      <c r="AS24" s="501">
        <f>C210</f>
        <v>0.16</v>
      </c>
      <c r="AT24" s="502">
        <f t="shared" si="13"/>
        <v>0.32</v>
      </c>
    </row>
    <row r="25" spans="2:46" ht="15.75" thickBot="1">
      <c r="H25" s="323">
        <v>220</v>
      </c>
      <c r="I25" s="326">
        <f t="shared" si="2"/>
        <v>0.22</v>
      </c>
      <c r="J25" s="413">
        <v>46</v>
      </c>
      <c r="K25" s="326">
        <f t="shared" si="8"/>
        <v>255.29999999999998</v>
      </c>
      <c r="N25" s="404">
        <v>220</v>
      </c>
      <c r="O25" s="405">
        <f t="shared" si="3"/>
        <v>0.22</v>
      </c>
      <c r="P25" s="406">
        <v>92</v>
      </c>
      <c r="Q25" s="407">
        <f t="shared" si="9"/>
        <v>510.59999999999997</v>
      </c>
      <c r="Z25" s="323">
        <v>220</v>
      </c>
      <c r="AA25" s="326">
        <f t="shared" si="6"/>
        <v>0.22</v>
      </c>
      <c r="AB25" s="413">
        <v>23</v>
      </c>
      <c r="AC25" s="326">
        <f t="shared" si="10"/>
        <v>127.64999999999999</v>
      </c>
      <c r="AF25" s="426">
        <v>220</v>
      </c>
      <c r="AG25" s="429">
        <f t="shared" si="7"/>
        <v>0.22</v>
      </c>
      <c r="AH25" s="435">
        <v>32</v>
      </c>
      <c r="AI25" s="432">
        <f t="shared" si="11"/>
        <v>177.6</v>
      </c>
      <c r="AL25" s="503">
        <v>12</v>
      </c>
      <c r="AM25" s="657"/>
      <c r="AN25" s="662"/>
      <c r="AO25" s="507">
        <v>0.8</v>
      </c>
      <c r="AP25" s="501">
        <f t="shared" si="14"/>
        <v>2.666666666666667</v>
      </c>
      <c r="AQ25" s="508">
        <v>16.39</v>
      </c>
      <c r="AR25" s="505">
        <f>K210/100</f>
        <v>3.2189999999999999</v>
      </c>
      <c r="AS25" s="505">
        <f>I210</f>
        <v>0.48</v>
      </c>
      <c r="AT25" s="506">
        <f t="shared" si="13"/>
        <v>0.6</v>
      </c>
    </row>
    <row r="26" spans="2:46" ht="15.75" thickBot="1">
      <c r="H26" s="323">
        <v>240</v>
      </c>
      <c r="I26" s="326">
        <f t="shared" si="2"/>
        <v>0.24</v>
      </c>
      <c r="J26" s="413">
        <v>47</v>
      </c>
      <c r="K26" s="326">
        <f t="shared" si="8"/>
        <v>260.84999999999997</v>
      </c>
      <c r="N26" s="404">
        <v>240</v>
      </c>
      <c r="O26" s="405">
        <f t="shared" si="3"/>
        <v>0.24</v>
      </c>
      <c r="P26" s="406">
        <v>94</v>
      </c>
      <c r="Q26" s="407">
        <f t="shared" si="9"/>
        <v>521.69999999999993</v>
      </c>
      <c r="Z26" s="323">
        <v>240</v>
      </c>
      <c r="AA26" s="326">
        <f t="shared" si="6"/>
        <v>0.24</v>
      </c>
      <c r="AB26" s="413">
        <v>23</v>
      </c>
      <c r="AC26" s="326">
        <f t="shared" si="10"/>
        <v>127.64999999999999</v>
      </c>
      <c r="AF26" s="426">
        <v>240</v>
      </c>
      <c r="AG26" s="429">
        <f t="shared" si="7"/>
        <v>0.24</v>
      </c>
      <c r="AH26" s="435">
        <v>34</v>
      </c>
      <c r="AI26" s="432">
        <f t="shared" si="11"/>
        <v>188.7</v>
      </c>
      <c r="AL26" s="499">
        <v>13</v>
      </c>
      <c r="AM26" s="657"/>
      <c r="AN26" s="658">
        <v>0.6</v>
      </c>
      <c r="AO26" s="500">
        <v>0.3</v>
      </c>
      <c r="AP26" s="501">
        <f t="shared" si="14"/>
        <v>1</v>
      </c>
      <c r="AQ26" s="505">
        <v>17.2</v>
      </c>
      <c r="AR26" s="508">
        <f>Q210/100</f>
        <v>9.1575000000000006</v>
      </c>
      <c r="AS26" s="508">
        <f>O210</f>
        <v>1.02</v>
      </c>
      <c r="AT26" s="509">
        <f t="shared" si="13"/>
        <v>3.4000000000000004</v>
      </c>
    </row>
    <row r="27" spans="2:46" ht="15.75" thickBot="1">
      <c r="H27" s="323">
        <v>260</v>
      </c>
      <c r="I27" s="326">
        <f t="shared" si="2"/>
        <v>0.26</v>
      </c>
      <c r="J27" s="413">
        <v>48</v>
      </c>
      <c r="K27" s="326">
        <f t="shared" si="8"/>
        <v>266.39999999999998</v>
      </c>
      <c r="N27" s="404">
        <v>260</v>
      </c>
      <c r="O27" s="405">
        <f t="shared" si="3"/>
        <v>0.26</v>
      </c>
      <c r="P27" s="406">
        <v>95</v>
      </c>
      <c r="Q27" s="407">
        <f t="shared" si="9"/>
        <v>527.25</v>
      </c>
      <c r="Z27" s="323">
        <v>260</v>
      </c>
      <c r="AA27" s="326">
        <f t="shared" si="6"/>
        <v>0.26</v>
      </c>
      <c r="AB27" s="413">
        <v>24</v>
      </c>
      <c r="AC27" s="326">
        <f t="shared" si="10"/>
        <v>133.19999999999999</v>
      </c>
      <c r="AF27" s="426">
        <v>260</v>
      </c>
      <c r="AG27" s="429">
        <f t="shared" si="7"/>
        <v>0.26</v>
      </c>
      <c r="AH27" s="435">
        <v>36</v>
      </c>
      <c r="AI27" s="432">
        <f t="shared" si="11"/>
        <v>199.79999999999998</v>
      </c>
      <c r="AL27" s="503">
        <v>14</v>
      </c>
      <c r="AM27" s="657"/>
      <c r="AN27" s="659"/>
      <c r="AO27" s="504">
        <v>0.5</v>
      </c>
      <c r="AP27" s="501">
        <f t="shared" si="14"/>
        <v>1.6666666666666667</v>
      </c>
      <c r="AQ27" s="508">
        <v>17.2</v>
      </c>
      <c r="AR27" s="505">
        <f>K327/100</f>
        <v>4.1070000000000002</v>
      </c>
      <c r="AS27" s="505">
        <f>I327</f>
        <v>0.5</v>
      </c>
      <c r="AT27" s="506">
        <f t="shared" si="13"/>
        <v>1</v>
      </c>
    </row>
    <row r="28" spans="2:46" ht="15.75" thickBot="1">
      <c r="H28" s="323">
        <v>280</v>
      </c>
      <c r="I28" s="326">
        <f t="shared" si="2"/>
        <v>0.28000000000000003</v>
      </c>
      <c r="J28" s="413">
        <v>48</v>
      </c>
      <c r="K28" s="326">
        <f t="shared" si="8"/>
        <v>266.39999999999998</v>
      </c>
      <c r="N28" s="404">
        <v>280</v>
      </c>
      <c r="O28" s="405">
        <f t="shared" si="3"/>
        <v>0.28000000000000003</v>
      </c>
      <c r="P28" s="406">
        <v>97</v>
      </c>
      <c r="Q28" s="407">
        <f t="shared" si="9"/>
        <v>538.35</v>
      </c>
      <c r="Z28" s="323">
        <v>280</v>
      </c>
      <c r="AA28" s="326">
        <f t="shared" si="6"/>
        <v>0.28000000000000003</v>
      </c>
      <c r="AB28" s="413">
        <v>25</v>
      </c>
      <c r="AC28" s="326">
        <f t="shared" si="10"/>
        <v>138.75</v>
      </c>
      <c r="AF28" s="426">
        <v>280</v>
      </c>
      <c r="AG28" s="429">
        <f t="shared" si="7"/>
        <v>0.28000000000000003</v>
      </c>
      <c r="AH28" s="435">
        <v>38</v>
      </c>
      <c r="AI28" s="432">
        <f t="shared" si="11"/>
        <v>210.9</v>
      </c>
      <c r="AL28" s="503">
        <v>15</v>
      </c>
      <c r="AM28" s="657"/>
      <c r="AN28" s="660"/>
      <c r="AO28" s="507">
        <v>0.8</v>
      </c>
      <c r="AP28" s="501">
        <f t="shared" si="14"/>
        <v>2.666666666666667</v>
      </c>
      <c r="AQ28" s="508">
        <v>17.2</v>
      </c>
      <c r="AR28" s="508">
        <f>Q327/100</f>
        <v>12.987</v>
      </c>
      <c r="AS28" s="508">
        <f>O327</f>
        <v>1.08</v>
      </c>
      <c r="AT28" s="509">
        <f t="shared" si="13"/>
        <v>1.35</v>
      </c>
    </row>
    <row r="29" spans="2:46" ht="15.75" thickBot="1">
      <c r="H29" s="323">
        <v>300</v>
      </c>
      <c r="I29" s="326">
        <f t="shared" si="2"/>
        <v>0.3</v>
      </c>
      <c r="J29" s="413">
        <v>48</v>
      </c>
      <c r="K29" s="326">
        <f t="shared" si="8"/>
        <v>266.39999999999998</v>
      </c>
      <c r="N29" s="404">
        <v>300</v>
      </c>
      <c r="O29" s="405">
        <f t="shared" si="3"/>
        <v>0.3</v>
      </c>
      <c r="P29" s="406">
        <v>99</v>
      </c>
      <c r="Q29" s="407">
        <f t="shared" si="9"/>
        <v>549.44999999999993</v>
      </c>
      <c r="Z29" s="323">
        <v>300</v>
      </c>
      <c r="AA29" s="326">
        <f t="shared" si="6"/>
        <v>0.3</v>
      </c>
      <c r="AB29" s="413">
        <v>25</v>
      </c>
      <c r="AC29" s="326">
        <f t="shared" si="10"/>
        <v>138.75</v>
      </c>
      <c r="AF29" s="426">
        <v>300</v>
      </c>
      <c r="AG29" s="429">
        <f t="shared" si="7"/>
        <v>0.3</v>
      </c>
      <c r="AH29" s="435">
        <v>40</v>
      </c>
      <c r="AI29" s="432">
        <f t="shared" si="11"/>
        <v>222</v>
      </c>
      <c r="AL29" s="499">
        <v>16</v>
      </c>
      <c r="AM29" s="657"/>
      <c r="AN29" s="661">
        <v>0.8</v>
      </c>
      <c r="AO29" s="500">
        <v>0.3</v>
      </c>
      <c r="AP29" s="501">
        <f t="shared" si="14"/>
        <v>1</v>
      </c>
      <c r="AQ29" s="505">
        <v>18.05</v>
      </c>
    </row>
    <row r="30" spans="2:46" ht="15" customHeight="1" thickBot="1">
      <c r="H30" s="323">
        <v>320</v>
      </c>
      <c r="I30" s="326">
        <f t="shared" si="2"/>
        <v>0.32</v>
      </c>
      <c r="J30" s="413">
        <v>49</v>
      </c>
      <c r="K30" s="326">
        <f t="shared" si="8"/>
        <v>271.95</v>
      </c>
      <c r="N30" s="404">
        <v>320</v>
      </c>
      <c r="O30" s="405">
        <f t="shared" si="3"/>
        <v>0.32</v>
      </c>
      <c r="P30" s="406">
        <v>101</v>
      </c>
      <c r="Q30" s="407">
        <f t="shared" si="9"/>
        <v>560.54999999999995</v>
      </c>
      <c r="Z30" s="323">
        <v>320</v>
      </c>
      <c r="AA30" s="326">
        <f t="shared" si="6"/>
        <v>0.32</v>
      </c>
      <c r="AB30" s="413">
        <v>25</v>
      </c>
      <c r="AC30" s="326">
        <f t="shared" si="10"/>
        <v>138.75</v>
      </c>
      <c r="AF30" s="426">
        <v>320</v>
      </c>
      <c r="AG30" s="429">
        <f t="shared" si="7"/>
        <v>0.32</v>
      </c>
      <c r="AH30" s="435">
        <v>41</v>
      </c>
      <c r="AI30" s="432">
        <f t="shared" si="11"/>
        <v>227.54999999999998</v>
      </c>
      <c r="AL30" s="503">
        <v>17</v>
      </c>
      <c r="AM30" s="657"/>
      <c r="AN30" s="659"/>
      <c r="AO30" s="504">
        <v>0.5</v>
      </c>
      <c r="AP30" s="501">
        <f t="shared" si="14"/>
        <v>1.6666666666666667</v>
      </c>
      <c r="AQ30" s="508">
        <v>18.05</v>
      </c>
    </row>
    <row r="31" spans="2:46" ht="15" customHeight="1" thickBot="1">
      <c r="H31" s="323">
        <v>340</v>
      </c>
      <c r="I31" s="326">
        <f t="shared" si="2"/>
        <v>0.34</v>
      </c>
      <c r="J31" s="413">
        <v>49</v>
      </c>
      <c r="K31" s="326">
        <f t="shared" si="8"/>
        <v>271.95</v>
      </c>
      <c r="N31" s="404">
        <v>340</v>
      </c>
      <c r="O31" s="405">
        <f t="shared" si="3"/>
        <v>0.34</v>
      </c>
      <c r="P31" s="406">
        <v>102</v>
      </c>
      <c r="Q31" s="407">
        <f t="shared" si="9"/>
        <v>566.1</v>
      </c>
      <c r="Z31" s="323">
        <v>340</v>
      </c>
      <c r="AA31" s="326">
        <f t="shared" si="6"/>
        <v>0.34</v>
      </c>
      <c r="AB31" s="413">
        <v>26</v>
      </c>
      <c r="AC31" s="326">
        <f t="shared" si="10"/>
        <v>144.29999999999998</v>
      </c>
      <c r="AF31" s="426">
        <v>340</v>
      </c>
      <c r="AG31" s="429">
        <f t="shared" si="7"/>
        <v>0.34</v>
      </c>
      <c r="AH31" s="435">
        <v>43</v>
      </c>
      <c r="AI31" s="432">
        <f t="shared" si="11"/>
        <v>238.65</v>
      </c>
      <c r="AL31" s="503">
        <v>18</v>
      </c>
      <c r="AM31" s="605"/>
      <c r="AN31" s="660"/>
      <c r="AO31" s="507">
        <v>0.8</v>
      </c>
      <c r="AP31" s="501">
        <f t="shared" si="14"/>
        <v>2.666666666666667</v>
      </c>
      <c r="AQ31" s="508">
        <v>18.05</v>
      </c>
    </row>
    <row r="32" spans="2:46" ht="15" customHeight="1">
      <c r="H32" s="323">
        <v>360</v>
      </c>
      <c r="I32" s="326">
        <f t="shared" si="2"/>
        <v>0.36</v>
      </c>
      <c r="J32" s="413">
        <v>50</v>
      </c>
      <c r="K32" s="326">
        <f t="shared" si="8"/>
        <v>277.5</v>
      </c>
      <c r="N32" s="404">
        <v>360</v>
      </c>
      <c r="O32" s="405">
        <f t="shared" si="3"/>
        <v>0.36</v>
      </c>
      <c r="P32" s="406">
        <v>103</v>
      </c>
      <c r="Q32" s="407">
        <f t="shared" si="9"/>
        <v>571.65</v>
      </c>
      <c r="Z32" s="323">
        <v>360</v>
      </c>
      <c r="AA32" s="326">
        <f t="shared" si="6"/>
        <v>0.36</v>
      </c>
      <c r="AB32" s="413">
        <v>26</v>
      </c>
      <c r="AC32" s="326">
        <f t="shared" si="10"/>
        <v>144.29999999999998</v>
      </c>
      <c r="AF32" s="426">
        <v>360</v>
      </c>
      <c r="AG32" s="429">
        <f t="shared" si="7"/>
        <v>0.36</v>
      </c>
      <c r="AH32" s="435">
        <v>44</v>
      </c>
      <c r="AI32" s="432">
        <f t="shared" si="11"/>
        <v>244.2</v>
      </c>
    </row>
    <row r="33" spans="8:35" ht="15" customHeight="1">
      <c r="H33" s="323">
        <v>380</v>
      </c>
      <c r="I33" s="326">
        <f t="shared" si="2"/>
        <v>0.38</v>
      </c>
      <c r="J33" s="413">
        <v>50</v>
      </c>
      <c r="K33" s="326">
        <f t="shared" si="8"/>
        <v>277.5</v>
      </c>
      <c r="N33" s="404">
        <v>380</v>
      </c>
      <c r="O33" s="405">
        <f t="shared" si="3"/>
        <v>0.38</v>
      </c>
      <c r="P33" s="406">
        <v>105</v>
      </c>
      <c r="Q33" s="407">
        <f t="shared" si="9"/>
        <v>582.75</v>
      </c>
      <c r="Z33" s="323">
        <v>380</v>
      </c>
      <c r="AA33" s="326">
        <f t="shared" si="6"/>
        <v>0.38</v>
      </c>
      <c r="AB33" s="413">
        <v>27</v>
      </c>
      <c r="AC33" s="326">
        <f t="shared" si="10"/>
        <v>149.85</v>
      </c>
      <c r="AF33" s="426">
        <v>380</v>
      </c>
      <c r="AG33" s="429">
        <f t="shared" si="7"/>
        <v>0.38</v>
      </c>
      <c r="AH33" s="435">
        <v>45</v>
      </c>
      <c r="AI33" s="432">
        <f t="shared" si="11"/>
        <v>249.75</v>
      </c>
    </row>
    <row r="34" spans="8:35" ht="15" customHeight="1">
      <c r="H34" s="323">
        <v>400</v>
      </c>
      <c r="I34" s="326">
        <f t="shared" si="2"/>
        <v>0.4</v>
      </c>
      <c r="J34" s="413">
        <v>51</v>
      </c>
      <c r="K34" s="326">
        <f t="shared" si="8"/>
        <v>283.05</v>
      </c>
      <c r="N34" s="404">
        <v>400</v>
      </c>
      <c r="O34" s="405">
        <f t="shared" si="3"/>
        <v>0.4</v>
      </c>
      <c r="P34" s="406">
        <v>106</v>
      </c>
      <c r="Q34" s="407">
        <f t="shared" si="9"/>
        <v>588.29999999999995</v>
      </c>
      <c r="Z34" s="323">
        <v>400</v>
      </c>
      <c r="AA34" s="326">
        <f t="shared" si="6"/>
        <v>0.4</v>
      </c>
      <c r="AB34" s="413">
        <v>27</v>
      </c>
      <c r="AC34" s="326">
        <f t="shared" si="10"/>
        <v>149.85</v>
      </c>
      <c r="AF34" s="426">
        <v>400</v>
      </c>
      <c r="AG34" s="429">
        <f t="shared" si="7"/>
        <v>0.4</v>
      </c>
      <c r="AH34" s="435">
        <v>46</v>
      </c>
      <c r="AI34" s="432">
        <f t="shared" si="11"/>
        <v>255.29999999999998</v>
      </c>
    </row>
    <row r="35" spans="8:35" ht="15" customHeight="1">
      <c r="H35" s="323">
        <v>420</v>
      </c>
      <c r="I35" s="326">
        <f t="shared" si="2"/>
        <v>0.42</v>
      </c>
      <c r="J35" s="413">
        <v>51</v>
      </c>
      <c r="K35" s="326">
        <f t="shared" si="8"/>
        <v>283.05</v>
      </c>
      <c r="N35" s="404">
        <v>420</v>
      </c>
      <c r="O35" s="405">
        <f t="shared" si="3"/>
        <v>0.42</v>
      </c>
      <c r="P35" s="406">
        <v>107</v>
      </c>
      <c r="Q35" s="407">
        <f t="shared" si="9"/>
        <v>593.85</v>
      </c>
      <c r="Z35" s="323">
        <v>420</v>
      </c>
      <c r="AA35" s="326">
        <f t="shared" si="6"/>
        <v>0.42</v>
      </c>
      <c r="AB35" s="413">
        <v>27</v>
      </c>
      <c r="AC35" s="326">
        <f t="shared" si="10"/>
        <v>149.85</v>
      </c>
      <c r="AF35" s="426">
        <v>420</v>
      </c>
      <c r="AG35" s="429">
        <f t="shared" si="7"/>
        <v>0.42</v>
      </c>
      <c r="AH35" s="435">
        <v>48</v>
      </c>
      <c r="AI35" s="432">
        <f t="shared" si="11"/>
        <v>266.39999999999998</v>
      </c>
    </row>
    <row r="36" spans="8:35" ht="15" customHeight="1">
      <c r="H36" s="323">
        <v>440</v>
      </c>
      <c r="I36" s="326">
        <f t="shared" si="2"/>
        <v>0.44</v>
      </c>
      <c r="J36" s="413">
        <v>52</v>
      </c>
      <c r="K36" s="326">
        <f t="shared" si="8"/>
        <v>288.59999999999997</v>
      </c>
      <c r="N36" s="404">
        <v>440</v>
      </c>
      <c r="O36" s="405">
        <f t="shared" si="3"/>
        <v>0.44</v>
      </c>
      <c r="P36" s="406">
        <v>107</v>
      </c>
      <c r="Q36" s="407">
        <f t="shared" si="9"/>
        <v>593.85</v>
      </c>
      <c r="Z36" s="323">
        <v>440</v>
      </c>
      <c r="AA36" s="326">
        <f t="shared" si="6"/>
        <v>0.44</v>
      </c>
      <c r="AB36" s="413">
        <v>27</v>
      </c>
      <c r="AC36" s="326">
        <f t="shared" si="10"/>
        <v>149.85</v>
      </c>
      <c r="AF36" s="426">
        <v>440</v>
      </c>
      <c r="AG36" s="429">
        <f t="shared" si="7"/>
        <v>0.44</v>
      </c>
      <c r="AH36" s="435">
        <v>49</v>
      </c>
      <c r="AI36" s="432">
        <f t="shared" si="11"/>
        <v>271.95</v>
      </c>
    </row>
    <row r="37" spans="8:35" ht="15" customHeight="1" thickBot="1">
      <c r="H37" s="324">
        <v>460</v>
      </c>
      <c r="I37" s="327">
        <f t="shared" si="2"/>
        <v>0.46</v>
      </c>
      <c r="J37" s="414">
        <v>52</v>
      </c>
      <c r="K37" s="327">
        <f t="shared" si="8"/>
        <v>288.59999999999997</v>
      </c>
      <c r="N37" s="404">
        <v>460</v>
      </c>
      <c r="O37" s="405">
        <f t="shared" si="3"/>
        <v>0.46</v>
      </c>
      <c r="P37" s="406">
        <v>109</v>
      </c>
      <c r="Q37" s="407">
        <f t="shared" si="9"/>
        <v>604.94999999999993</v>
      </c>
      <c r="Z37" s="323">
        <v>460</v>
      </c>
      <c r="AA37" s="326">
        <f t="shared" si="6"/>
        <v>0.46</v>
      </c>
      <c r="AB37" s="413">
        <v>28</v>
      </c>
      <c r="AC37" s="326">
        <f t="shared" si="10"/>
        <v>155.4</v>
      </c>
      <c r="AF37" s="426">
        <v>460</v>
      </c>
      <c r="AG37" s="429">
        <f t="shared" si="7"/>
        <v>0.46</v>
      </c>
      <c r="AH37" s="435">
        <v>50</v>
      </c>
      <c r="AI37" s="432">
        <f t="shared" si="11"/>
        <v>277.5</v>
      </c>
    </row>
    <row r="38" spans="8:35" ht="15" customHeight="1" thickBot="1">
      <c r="N38" s="404">
        <v>480</v>
      </c>
      <c r="O38" s="405">
        <f t="shared" si="3"/>
        <v>0.48</v>
      </c>
      <c r="P38" s="406">
        <v>110</v>
      </c>
      <c r="Q38" s="407">
        <f t="shared" si="9"/>
        <v>610.5</v>
      </c>
      <c r="Z38" s="324">
        <v>480</v>
      </c>
      <c r="AA38" s="327">
        <f t="shared" si="6"/>
        <v>0.48</v>
      </c>
      <c r="AB38" s="414">
        <v>28</v>
      </c>
      <c r="AC38" s="327">
        <f t="shared" si="10"/>
        <v>155.4</v>
      </c>
      <c r="AF38" s="426">
        <v>480</v>
      </c>
      <c r="AG38" s="429">
        <f t="shared" si="7"/>
        <v>0.48</v>
      </c>
      <c r="AH38" s="435">
        <v>51</v>
      </c>
      <c r="AI38" s="432">
        <f t="shared" si="11"/>
        <v>283.05</v>
      </c>
    </row>
    <row r="39" spans="8:35">
      <c r="N39" s="404">
        <v>500</v>
      </c>
      <c r="O39" s="405">
        <f t="shared" si="3"/>
        <v>0.5</v>
      </c>
      <c r="P39" s="406">
        <v>110</v>
      </c>
      <c r="Q39" s="407">
        <f t="shared" si="9"/>
        <v>610.5</v>
      </c>
      <c r="AF39" s="426">
        <v>500</v>
      </c>
      <c r="AG39" s="429">
        <f t="shared" si="7"/>
        <v>0.5</v>
      </c>
      <c r="AH39" s="435">
        <v>52</v>
      </c>
      <c r="AI39" s="432">
        <f t="shared" si="11"/>
        <v>288.59999999999997</v>
      </c>
    </row>
    <row r="40" spans="8:35" ht="15.75" customHeight="1">
      <c r="N40" s="404">
        <v>520</v>
      </c>
      <c r="O40" s="405">
        <f t="shared" si="3"/>
        <v>0.52</v>
      </c>
      <c r="P40" s="406">
        <v>111</v>
      </c>
      <c r="Q40" s="407">
        <f t="shared" ref="Q40:Q54" si="15">P40*$C$9</f>
        <v>616.04999999999995</v>
      </c>
      <c r="AF40" s="426">
        <v>520</v>
      </c>
      <c r="AG40" s="429">
        <f t="shared" si="7"/>
        <v>0.52</v>
      </c>
      <c r="AH40" s="435">
        <v>53</v>
      </c>
      <c r="AI40" s="432">
        <f t="shared" ref="AI40:AI54" si="16">AH40*$C$9</f>
        <v>294.14999999999998</v>
      </c>
    </row>
    <row r="41" spans="8:35" ht="15.75" customHeight="1">
      <c r="N41" s="404">
        <v>540</v>
      </c>
      <c r="O41" s="405">
        <f t="shared" si="3"/>
        <v>0.54</v>
      </c>
      <c r="P41" s="406">
        <v>112</v>
      </c>
      <c r="Q41" s="407">
        <f t="shared" si="15"/>
        <v>621.6</v>
      </c>
      <c r="AF41" s="426">
        <v>540</v>
      </c>
      <c r="AG41" s="429">
        <f t="shared" si="7"/>
        <v>0.54</v>
      </c>
      <c r="AH41" s="435">
        <v>54</v>
      </c>
      <c r="AI41" s="432">
        <f t="shared" si="16"/>
        <v>299.7</v>
      </c>
    </row>
    <row r="42" spans="8:35" ht="15.75" customHeight="1">
      <c r="N42" s="404">
        <v>550</v>
      </c>
      <c r="O42" s="405">
        <f t="shared" si="3"/>
        <v>0.55000000000000004</v>
      </c>
      <c r="P42" s="406">
        <v>112</v>
      </c>
      <c r="Q42" s="407">
        <f t="shared" si="15"/>
        <v>621.6</v>
      </c>
      <c r="AF42" s="426">
        <v>550</v>
      </c>
      <c r="AG42" s="429">
        <f t="shared" si="7"/>
        <v>0.55000000000000004</v>
      </c>
      <c r="AH42" s="435">
        <v>54</v>
      </c>
      <c r="AI42" s="432">
        <f t="shared" si="16"/>
        <v>299.7</v>
      </c>
    </row>
    <row r="43" spans="8:35" ht="15.75" hidden="1" customHeight="1">
      <c r="N43" s="404">
        <v>560</v>
      </c>
      <c r="O43" s="405">
        <f t="shared" si="3"/>
        <v>0.56000000000000005</v>
      </c>
      <c r="P43" s="406">
        <v>113</v>
      </c>
      <c r="Q43" s="407">
        <f t="shared" si="15"/>
        <v>627.15</v>
      </c>
      <c r="AF43" s="426">
        <v>560</v>
      </c>
      <c r="AG43" s="429">
        <f t="shared" si="7"/>
        <v>0.56000000000000005</v>
      </c>
      <c r="AH43" s="435">
        <v>55</v>
      </c>
      <c r="AI43" s="432">
        <f t="shared" si="16"/>
        <v>305.25</v>
      </c>
    </row>
    <row r="44" spans="8:35" ht="15.75" hidden="1" customHeight="1">
      <c r="N44" s="404">
        <v>580</v>
      </c>
      <c r="O44" s="405">
        <f t="shared" si="3"/>
        <v>0.57999999999999996</v>
      </c>
      <c r="P44" s="406">
        <v>114</v>
      </c>
      <c r="Q44" s="407">
        <f t="shared" si="15"/>
        <v>632.69999999999993</v>
      </c>
      <c r="AF44" s="426">
        <v>580</v>
      </c>
      <c r="AG44" s="429">
        <f t="shared" si="7"/>
        <v>0.57999999999999996</v>
      </c>
      <c r="AH44" s="435">
        <v>55</v>
      </c>
      <c r="AI44" s="432">
        <f t="shared" si="16"/>
        <v>305.25</v>
      </c>
    </row>
    <row r="45" spans="8:35" ht="15.75" customHeight="1">
      <c r="N45" s="404">
        <v>600</v>
      </c>
      <c r="O45" s="405">
        <f t="shared" si="3"/>
        <v>0.6</v>
      </c>
      <c r="P45" s="406">
        <v>115</v>
      </c>
      <c r="Q45" s="407">
        <f t="shared" si="15"/>
        <v>638.25</v>
      </c>
      <c r="AF45" s="426">
        <v>600</v>
      </c>
      <c r="AG45" s="429">
        <f t="shared" si="7"/>
        <v>0.6</v>
      </c>
      <c r="AH45" s="435">
        <v>56</v>
      </c>
      <c r="AI45" s="432">
        <f t="shared" si="16"/>
        <v>310.8</v>
      </c>
    </row>
    <row r="46" spans="8:35" ht="15.75" hidden="1" customHeight="1">
      <c r="N46" s="404">
        <v>620</v>
      </c>
      <c r="O46" s="405">
        <f t="shared" si="3"/>
        <v>0.62</v>
      </c>
      <c r="P46" s="406">
        <v>115</v>
      </c>
      <c r="Q46" s="407">
        <f t="shared" si="15"/>
        <v>638.25</v>
      </c>
      <c r="AF46" s="426">
        <v>620</v>
      </c>
      <c r="AG46" s="429">
        <f t="shared" si="7"/>
        <v>0.62</v>
      </c>
      <c r="AH46" s="435">
        <v>56</v>
      </c>
      <c r="AI46" s="432">
        <f t="shared" si="16"/>
        <v>310.8</v>
      </c>
    </row>
    <row r="47" spans="8:35" ht="15.75" hidden="1" customHeight="1">
      <c r="N47" s="404">
        <v>640</v>
      </c>
      <c r="O47" s="405">
        <f t="shared" si="3"/>
        <v>0.64</v>
      </c>
      <c r="P47" s="406">
        <v>116</v>
      </c>
      <c r="Q47" s="407">
        <f t="shared" si="15"/>
        <v>643.79999999999995</v>
      </c>
      <c r="AF47" s="426">
        <v>640</v>
      </c>
      <c r="AG47" s="429">
        <f t="shared" si="7"/>
        <v>0.64</v>
      </c>
      <c r="AH47" s="435">
        <v>57</v>
      </c>
      <c r="AI47" s="432">
        <f t="shared" si="16"/>
        <v>316.34999999999997</v>
      </c>
    </row>
    <row r="48" spans="8:35" ht="15.75" customHeight="1">
      <c r="N48" s="404">
        <v>650</v>
      </c>
      <c r="O48" s="405">
        <f t="shared" si="3"/>
        <v>0.65</v>
      </c>
      <c r="P48" s="406">
        <v>116</v>
      </c>
      <c r="Q48" s="407">
        <f t="shared" si="15"/>
        <v>643.79999999999995</v>
      </c>
      <c r="AF48" s="426">
        <v>650</v>
      </c>
      <c r="AG48" s="429">
        <f t="shared" si="7"/>
        <v>0.65</v>
      </c>
      <c r="AH48" s="435">
        <v>58</v>
      </c>
      <c r="AI48" s="432">
        <f t="shared" si="16"/>
        <v>321.89999999999998</v>
      </c>
    </row>
    <row r="49" spans="14:35" ht="15.75" hidden="1" customHeight="1">
      <c r="N49" s="404">
        <v>660</v>
      </c>
      <c r="O49" s="405">
        <f t="shared" si="3"/>
        <v>0.66</v>
      </c>
      <c r="P49" s="406">
        <v>117</v>
      </c>
      <c r="Q49" s="407">
        <f t="shared" si="15"/>
        <v>649.35</v>
      </c>
      <c r="AF49" s="426">
        <v>660</v>
      </c>
      <c r="AG49" s="429">
        <f t="shared" si="7"/>
        <v>0.66</v>
      </c>
      <c r="AH49" s="435">
        <v>58</v>
      </c>
      <c r="AI49" s="432">
        <f t="shared" si="16"/>
        <v>321.89999999999998</v>
      </c>
    </row>
    <row r="50" spans="14:35" ht="15.75" hidden="1" customHeight="1">
      <c r="N50" s="404">
        <v>680</v>
      </c>
      <c r="O50" s="405">
        <f t="shared" si="3"/>
        <v>0.68</v>
      </c>
      <c r="P50" s="406">
        <v>117</v>
      </c>
      <c r="Q50" s="407">
        <f t="shared" si="15"/>
        <v>649.35</v>
      </c>
      <c r="AF50" s="426">
        <v>680</v>
      </c>
      <c r="AG50" s="429">
        <f t="shared" si="7"/>
        <v>0.68</v>
      </c>
      <c r="AH50" s="435">
        <v>59</v>
      </c>
      <c r="AI50" s="432">
        <f t="shared" si="16"/>
        <v>327.45</v>
      </c>
    </row>
    <row r="51" spans="14:35" ht="15.75" customHeight="1">
      <c r="N51" s="404">
        <v>700</v>
      </c>
      <c r="O51" s="405">
        <f t="shared" si="3"/>
        <v>0.70000000000000007</v>
      </c>
      <c r="P51" s="406">
        <v>118</v>
      </c>
      <c r="Q51" s="407">
        <f t="shared" si="15"/>
        <v>654.9</v>
      </c>
      <c r="AF51" s="426">
        <v>700</v>
      </c>
      <c r="AG51" s="429">
        <f t="shared" si="7"/>
        <v>0.70000000000000007</v>
      </c>
      <c r="AH51" s="435">
        <v>59</v>
      </c>
      <c r="AI51" s="432">
        <f t="shared" si="16"/>
        <v>327.45</v>
      </c>
    </row>
    <row r="52" spans="14:35" ht="15.75" hidden="1" customHeight="1">
      <c r="N52" s="404">
        <v>720</v>
      </c>
      <c r="O52" s="405">
        <f t="shared" si="3"/>
        <v>0.72</v>
      </c>
      <c r="P52" s="406">
        <v>119</v>
      </c>
      <c r="Q52" s="407">
        <f t="shared" si="15"/>
        <v>660.44999999999993</v>
      </c>
      <c r="AF52" s="426">
        <v>720</v>
      </c>
      <c r="AG52" s="429">
        <f t="shared" si="7"/>
        <v>0.72</v>
      </c>
      <c r="AH52" s="435">
        <v>60</v>
      </c>
      <c r="AI52" s="432">
        <f t="shared" si="16"/>
        <v>333</v>
      </c>
    </row>
    <row r="53" spans="14:35" ht="15.75" hidden="1" customHeight="1">
      <c r="N53" s="404">
        <v>740</v>
      </c>
      <c r="O53" s="405">
        <f t="shared" si="3"/>
        <v>0.74</v>
      </c>
      <c r="P53" s="406">
        <v>119</v>
      </c>
      <c r="Q53" s="407">
        <f t="shared" si="15"/>
        <v>660.44999999999993</v>
      </c>
      <c r="AF53" s="426">
        <v>740</v>
      </c>
      <c r="AG53" s="429">
        <f t="shared" si="7"/>
        <v>0.74</v>
      </c>
      <c r="AH53" s="435">
        <v>60</v>
      </c>
      <c r="AI53" s="432">
        <f t="shared" si="16"/>
        <v>333</v>
      </c>
    </row>
    <row r="54" spans="14:35" ht="15.75" customHeight="1">
      <c r="N54" s="404">
        <v>750</v>
      </c>
      <c r="O54" s="405">
        <f t="shared" si="3"/>
        <v>0.75</v>
      </c>
      <c r="P54" s="406">
        <v>119</v>
      </c>
      <c r="Q54" s="407">
        <f t="shared" si="15"/>
        <v>660.44999999999993</v>
      </c>
      <c r="AF54" s="426">
        <v>750</v>
      </c>
      <c r="AG54" s="429">
        <f t="shared" si="7"/>
        <v>0.75</v>
      </c>
      <c r="AH54" s="435">
        <v>60</v>
      </c>
      <c r="AI54" s="432">
        <f t="shared" si="16"/>
        <v>333</v>
      </c>
    </row>
    <row r="55" spans="14:35" ht="15.75" hidden="1" customHeight="1">
      <c r="N55" s="404">
        <v>760</v>
      </c>
      <c r="O55" s="405">
        <f t="shared" si="3"/>
        <v>0.76</v>
      </c>
      <c r="P55" s="406">
        <v>120</v>
      </c>
      <c r="Q55" s="407">
        <f t="shared" ref="Q55:Q69" si="17">P55*$C$9</f>
        <v>666</v>
      </c>
      <c r="AF55" s="426">
        <v>760</v>
      </c>
      <c r="AG55" s="429">
        <f t="shared" si="7"/>
        <v>0.76</v>
      </c>
      <c r="AH55" s="435">
        <v>61</v>
      </c>
      <c r="AI55" s="432">
        <f t="shared" ref="AI55:AI98" si="18">AH55*$C$9</f>
        <v>338.55</v>
      </c>
    </row>
    <row r="56" spans="14:35" ht="15.75" hidden="1" customHeight="1">
      <c r="N56" s="404">
        <v>780</v>
      </c>
      <c r="O56" s="405">
        <f t="shared" si="3"/>
        <v>0.78</v>
      </c>
      <c r="P56" s="406">
        <v>120</v>
      </c>
      <c r="Q56" s="407">
        <f t="shared" si="17"/>
        <v>666</v>
      </c>
      <c r="AF56" s="426">
        <v>780</v>
      </c>
      <c r="AG56" s="429">
        <f t="shared" si="7"/>
        <v>0.78</v>
      </c>
      <c r="AH56" s="435">
        <v>61</v>
      </c>
      <c r="AI56" s="432">
        <f t="shared" si="18"/>
        <v>338.55</v>
      </c>
    </row>
    <row r="57" spans="14:35" ht="15.75" customHeight="1">
      <c r="N57" s="404">
        <v>800</v>
      </c>
      <c r="O57" s="405">
        <f t="shared" si="3"/>
        <v>0.8</v>
      </c>
      <c r="P57" s="406">
        <v>120</v>
      </c>
      <c r="Q57" s="407">
        <f t="shared" si="17"/>
        <v>666</v>
      </c>
      <c r="AF57" s="426">
        <v>800</v>
      </c>
      <c r="AG57" s="429">
        <f t="shared" si="7"/>
        <v>0.8</v>
      </c>
      <c r="AH57" s="435">
        <v>62</v>
      </c>
      <c r="AI57" s="432">
        <f t="shared" si="18"/>
        <v>344.09999999999997</v>
      </c>
    </row>
    <row r="58" spans="14:35" ht="15.75" hidden="1" customHeight="1">
      <c r="N58" s="404">
        <v>820</v>
      </c>
      <c r="O58" s="405">
        <f t="shared" si="3"/>
        <v>0.82000000000000006</v>
      </c>
      <c r="P58" s="406">
        <v>121</v>
      </c>
      <c r="Q58" s="407">
        <f t="shared" si="17"/>
        <v>671.55</v>
      </c>
      <c r="AF58" s="426">
        <v>820</v>
      </c>
      <c r="AG58" s="429">
        <f t="shared" si="7"/>
        <v>0.82000000000000006</v>
      </c>
      <c r="AH58" s="435">
        <v>63</v>
      </c>
      <c r="AI58" s="432">
        <f t="shared" si="18"/>
        <v>349.65</v>
      </c>
    </row>
    <row r="59" spans="14:35" ht="15.75" hidden="1" customHeight="1">
      <c r="N59" s="404">
        <v>840</v>
      </c>
      <c r="O59" s="405">
        <f t="shared" si="3"/>
        <v>0.84</v>
      </c>
      <c r="P59" s="406">
        <v>121</v>
      </c>
      <c r="Q59" s="407">
        <f t="shared" si="17"/>
        <v>671.55</v>
      </c>
      <c r="AF59" s="426">
        <v>840</v>
      </c>
      <c r="AG59" s="429">
        <f t="shared" si="7"/>
        <v>0.84</v>
      </c>
      <c r="AH59" s="435">
        <v>63</v>
      </c>
      <c r="AI59" s="432">
        <f t="shared" si="18"/>
        <v>349.65</v>
      </c>
    </row>
    <row r="60" spans="14:35" ht="15.75" customHeight="1">
      <c r="N60" s="404">
        <v>850</v>
      </c>
      <c r="O60" s="405">
        <f t="shared" si="3"/>
        <v>0.85</v>
      </c>
      <c r="P60" s="406">
        <v>121</v>
      </c>
      <c r="Q60" s="407">
        <f t="shared" si="17"/>
        <v>671.55</v>
      </c>
      <c r="AF60" s="426">
        <v>850</v>
      </c>
      <c r="AG60" s="429">
        <f t="shared" si="7"/>
        <v>0.85</v>
      </c>
      <c r="AH60" s="435">
        <v>63</v>
      </c>
      <c r="AI60" s="432">
        <f t="shared" si="18"/>
        <v>349.65</v>
      </c>
    </row>
    <row r="61" spans="14:35" ht="15.75" hidden="1" customHeight="1">
      <c r="N61" s="404">
        <v>860</v>
      </c>
      <c r="O61" s="405">
        <f t="shared" si="3"/>
        <v>0.86</v>
      </c>
      <c r="P61" s="406">
        <v>122</v>
      </c>
      <c r="Q61" s="407">
        <f t="shared" si="17"/>
        <v>677.1</v>
      </c>
      <c r="AF61" s="426">
        <v>860</v>
      </c>
      <c r="AG61" s="429">
        <f t="shared" si="7"/>
        <v>0.86</v>
      </c>
      <c r="AH61" s="435">
        <v>63</v>
      </c>
      <c r="AI61" s="432">
        <f t="shared" si="18"/>
        <v>349.65</v>
      </c>
    </row>
    <row r="62" spans="14:35" ht="15.75" hidden="1" customHeight="1">
      <c r="N62" s="404">
        <v>880</v>
      </c>
      <c r="O62" s="405">
        <f t="shared" si="3"/>
        <v>0.88</v>
      </c>
      <c r="P62" s="406">
        <v>122</v>
      </c>
      <c r="Q62" s="407">
        <f t="shared" si="17"/>
        <v>677.1</v>
      </c>
      <c r="AF62" s="426">
        <v>880</v>
      </c>
      <c r="AG62" s="429">
        <f t="shared" si="7"/>
        <v>0.88</v>
      </c>
      <c r="AH62" s="435">
        <v>64</v>
      </c>
      <c r="AI62" s="432">
        <f t="shared" si="18"/>
        <v>355.2</v>
      </c>
    </row>
    <row r="63" spans="14:35" ht="15.75" customHeight="1">
      <c r="N63" s="404">
        <v>900</v>
      </c>
      <c r="O63" s="405">
        <f t="shared" si="3"/>
        <v>0.9</v>
      </c>
      <c r="P63" s="406">
        <v>123</v>
      </c>
      <c r="Q63" s="407">
        <f t="shared" si="17"/>
        <v>682.65</v>
      </c>
      <c r="AF63" s="426">
        <v>900</v>
      </c>
      <c r="AG63" s="429">
        <f t="shared" si="7"/>
        <v>0.9</v>
      </c>
      <c r="AH63" s="435">
        <v>64</v>
      </c>
      <c r="AI63" s="432">
        <f t="shared" si="18"/>
        <v>355.2</v>
      </c>
    </row>
    <row r="64" spans="14:35" ht="15.75" hidden="1" customHeight="1">
      <c r="N64" s="404">
        <v>920</v>
      </c>
      <c r="O64" s="405">
        <f t="shared" si="3"/>
        <v>0.92</v>
      </c>
      <c r="P64" s="406">
        <v>124</v>
      </c>
      <c r="Q64" s="407">
        <f t="shared" si="17"/>
        <v>688.19999999999993</v>
      </c>
      <c r="AF64" s="426">
        <v>920</v>
      </c>
      <c r="AG64" s="429">
        <f t="shared" si="7"/>
        <v>0.92</v>
      </c>
      <c r="AH64" s="435">
        <v>64</v>
      </c>
      <c r="AI64" s="432">
        <f t="shared" si="18"/>
        <v>355.2</v>
      </c>
    </row>
    <row r="65" spans="14:35" ht="15.75" hidden="1" customHeight="1">
      <c r="N65" s="404">
        <v>940</v>
      </c>
      <c r="O65" s="405">
        <f t="shared" si="3"/>
        <v>0.94000000000000006</v>
      </c>
      <c r="P65" s="406">
        <v>124</v>
      </c>
      <c r="Q65" s="407">
        <f t="shared" si="17"/>
        <v>688.19999999999993</v>
      </c>
      <c r="AF65" s="426">
        <v>940</v>
      </c>
      <c r="AG65" s="429">
        <f t="shared" si="7"/>
        <v>0.94000000000000006</v>
      </c>
      <c r="AH65" s="435">
        <v>65</v>
      </c>
      <c r="AI65" s="432">
        <f t="shared" si="18"/>
        <v>360.75</v>
      </c>
    </row>
    <row r="66" spans="14:35" ht="15.75" customHeight="1">
      <c r="N66" s="404">
        <v>950</v>
      </c>
      <c r="O66" s="405">
        <f t="shared" si="3"/>
        <v>0.95000000000000007</v>
      </c>
      <c r="P66" s="406">
        <v>124</v>
      </c>
      <c r="Q66" s="407">
        <f t="shared" si="17"/>
        <v>688.19999999999993</v>
      </c>
      <c r="AF66" s="426">
        <v>950</v>
      </c>
      <c r="AG66" s="429">
        <f t="shared" si="7"/>
        <v>0.95000000000000007</v>
      </c>
      <c r="AH66" s="435">
        <v>65</v>
      </c>
      <c r="AI66" s="432">
        <f t="shared" si="18"/>
        <v>360.75</v>
      </c>
    </row>
    <row r="67" spans="14:35" ht="15.75" customHeight="1">
      <c r="N67" s="404">
        <v>960</v>
      </c>
      <c r="O67" s="405">
        <f t="shared" si="3"/>
        <v>0.96</v>
      </c>
      <c r="P67" s="406">
        <v>125</v>
      </c>
      <c r="Q67" s="407">
        <f t="shared" si="17"/>
        <v>693.75</v>
      </c>
      <c r="AF67" s="426">
        <v>960</v>
      </c>
      <c r="AG67" s="429">
        <f t="shared" si="7"/>
        <v>0.96</v>
      </c>
      <c r="AH67" s="435">
        <v>65</v>
      </c>
      <c r="AI67" s="432">
        <f t="shared" si="18"/>
        <v>360.75</v>
      </c>
    </row>
    <row r="68" spans="14:35" ht="15.75" customHeight="1">
      <c r="N68" s="404">
        <v>980</v>
      </c>
      <c r="O68" s="405">
        <f t="shared" si="3"/>
        <v>0.98</v>
      </c>
      <c r="P68" s="406">
        <v>126</v>
      </c>
      <c r="Q68" s="407">
        <f t="shared" si="17"/>
        <v>699.3</v>
      </c>
      <c r="AF68" s="426">
        <v>980</v>
      </c>
      <c r="AG68" s="429">
        <f t="shared" si="7"/>
        <v>0.98</v>
      </c>
      <c r="AH68" s="435">
        <v>65</v>
      </c>
      <c r="AI68" s="432">
        <f t="shared" si="18"/>
        <v>360.75</v>
      </c>
    </row>
    <row r="69" spans="14:35" ht="15.75" customHeight="1" thickBot="1">
      <c r="N69" s="408">
        <v>1000</v>
      </c>
      <c r="O69" s="409">
        <f t="shared" si="3"/>
        <v>1</v>
      </c>
      <c r="P69" s="410">
        <v>125</v>
      </c>
      <c r="Q69" s="411">
        <f t="shared" si="17"/>
        <v>693.75</v>
      </c>
      <c r="AF69" s="426">
        <v>1000</v>
      </c>
      <c r="AG69" s="429">
        <f t="shared" si="7"/>
        <v>1</v>
      </c>
      <c r="AH69" s="435">
        <v>66</v>
      </c>
      <c r="AI69" s="432">
        <f t="shared" si="18"/>
        <v>366.3</v>
      </c>
    </row>
    <row r="70" spans="14:35" ht="15.75" hidden="1" customHeight="1">
      <c r="AF70" s="426">
        <v>1020</v>
      </c>
      <c r="AG70" s="429">
        <f t="shared" si="7"/>
        <v>1.02</v>
      </c>
      <c r="AH70" s="435">
        <v>66</v>
      </c>
      <c r="AI70" s="432">
        <f t="shared" si="18"/>
        <v>366.3</v>
      </c>
    </row>
    <row r="71" spans="14:35" ht="15.75" hidden="1" customHeight="1">
      <c r="AF71" s="426">
        <v>1040</v>
      </c>
      <c r="AG71" s="429">
        <f t="shared" si="7"/>
        <v>1.04</v>
      </c>
      <c r="AH71" s="435">
        <v>66</v>
      </c>
      <c r="AI71" s="432">
        <f t="shared" si="18"/>
        <v>366.3</v>
      </c>
    </row>
    <row r="72" spans="14:35" ht="15.75" customHeight="1">
      <c r="AF72" s="426">
        <v>1050</v>
      </c>
      <c r="AG72" s="429">
        <f t="shared" si="7"/>
        <v>1.05</v>
      </c>
      <c r="AH72" s="435">
        <v>66</v>
      </c>
      <c r="AI72" s="432">
        <f t="shared" si="18"/>
        <v>366.3</v>
      </c>
    </row>
    <row r="73" spans="14:35" ht="15.75" hidden="1" customHeight="1">
      <c r="AF73" s="426">
        <v>1060</v>
      </c>
      <c r="AG73" s="429">
        <f t="shared" si="7"/>
        <v>1.06</v>
      </c>
      <c r="AH73" s="435">
        <v>67</v>
      </c>
      <c r="AI73" s="432">
        <f t="shared" si="18"/>
        <v>371.84999999999997</v>
      </c>
    </row>
    <row r="74" spans="14:35" ht="15.75" hidden="1" customHeight="1">
      <c r="AF74" s="426">
        <v>1080</v>
      </c>
      <c r="AG74" s="429">
        <f t="shared" si="7"/>
        <v>1.08</v>
      </c>
      <c r="AH74" s="435">
        <v>67</v>
      </c>
      <c r="AI74" s="432">
        <f t="shared" si="18"/>
        <v>371.84999999999997</v>
      </c>
    </row>
    <row r="75" spans="14:35" ht="15.75" customHeight="1">
      <c r="AF75" s="426">
        <v>1100</v>
      </c>
      <c r="AG75" s="429">
        <f t="shared" si="7"/>
        <v>1.1000000000000001</v>
      </c>
      <c r="AH75" s="435">
        <v>68</v>
      </c>
      <c r="AI75" s="432">
        <f t="shared" si="18"/>
        <v>377.4</v>
      </c>
    </row>
    <row r="76" spans="14:35" ht="15.75" hidden="1" customHeight="1">
      <c r="AF76" s="426">
        <v>1120</v>
      </c>
      <c r="AG76" s="429">
        <f t="shared" si="7"/>
        <v>1.1200000000000001</v>
      </c>
      <c r="AH76" s="435">
        <v>68</v>
      </c>
      <c r="AI76" s="432">
        <f t="shared" si="18"/>
        <v>377.4</v>
      </c>
    </row>
    <row r="77" spans="14:35" ht="15.75" hidden="1" customHeight="1">
      <c r="AF77" s="426">
        <v>1140</v>
      </c>
      <c r="AG77" s="429">
        <f t="shared" si="7"/>
        <v>1.1400000000000001</v>
      </c>
      <c r="AH77" s="435">
        <v>68</v>
      </c>
      <c r="AI77" s="432">
        <f t="shared" si="18"/>
        <v>377.4</v>
      </c>
    </row>
    <row r="78" spans="14:35" ht="15.75" customHeight="1">
      <c r="AF78" s="426">
        <v>1150</v>
      </c>
      <c r="AG78" s="429">
        <f t="shared" si="7"/>
        <v>1.1500000000000001</v>
      </c>
      <c r="AH78" s="435">
        <v>69</v>
      </c>
      <c r="AI78" s="432">
        <f t="shared" si="18"/>
        <v>382.95</v>
      </c>
    </row>
    <row r="79" spans="14:35" ht="15.75" hidden="1" customHeight="1">
      <c r="AF79" s="426">
        <v>1160</v>
      </c>
      <c r="AG79" s="429">
        <f t="shared" si="7"/>
        <v>1.1599999999999999</v>
      </c>
      <c r="AH79" s="435">
        <v>69</v>
      </c>
      <c r="AI79" s="432">
        <f t="shared" si="18"/>
        <v>382.95</v>
      </c>
    </row>
    <row r="80" spans="14:35" ht="15.75" hidden="1" customHeight="1">
      <c r="AF80" s="426">
        <v>1180</v>
      </c>
      <c r="AG80" s="429">
        <f t="shared" si="7"/>
        <v>1.18</v>
      </c>
      <c r="AH80" s="435">
        <v>69</v>
      </c>
      <c r="AI80" s="432">
        <f t="shared" si="18"/>
        <v>382.95</v>
      </c>
    </row>
    <row r="81" spans="32:35" ht="15.75" customHeight="1">
      <c r="AF81" s="426">
        <v>1200</v>
      </c>
      <c r="AG81" s="429">
        <f t="shared" si="7"/>
        <v>1.2</v>
      </c>
      <c r="AH81" s="435">
        <v>70</v>
      </c>
      <c r="AI81" s="432">
        <f t="shared" si="18"/>
        <v>388.5</v>
      </c>
    </row>
    <row r="82" spans="32:35" ht="15.75" hidden="1" customHeight="1">
      <c r="AF82" s="426">
        <v>1220</v>
      </c>
      <c r="AG82" s="429">
        <f t="shared" si="7"/>
        <v>1.22</v>
      </c>
      <c r="AH82" s="435">
        <v>70</v>
      </c>
      <c r="AI82" s="432">
        <f t="shared" si="18"/>
        <v>388.5</v>
      </c>
    </row>
    <row r="83" spans="32:35" ht="15.75" hidden="1" customHeight="1">
      <c r="AF83" s="426">
        <v>1240</v>
      </c>
      <c r="AG83" s="429">
        <f t="shared" si="7"/>
        <v>1.24</v>
      </c>
      <c r="AH83" s="435">
        <v>71</v>
      </c>
      <c r="AI83" s="432">
        <f t="shared" si="18"/>
        <v>394.05</v>
      </c>
    </row>
    <row r="84" spans="32:35" ht="15.75" customHeight="1">
      <c r="AF84" s="426">
        <v>1250</v>
      </c>
      <c r="AG84" s="429">
        <f t="shared" si="7"/>
        <v>1.25</v>
      </c>
      <c r="AH84" s="435">
        <v>71</v>
      </c>
      <c r="AI84" s="432">
        <f t="shared" si="18"/>
        <v>394.05</v>
      </c>
    </row>
    <row r="85" spans="32:35" ht="15.75" hidden="1" customHeight="1">
      <c r="AF85" s="426">
        <v>1260</v>
      </c>
      <c r="AG85" s="429">
        <f t="shared" si="7"/>
        <v>1.26</v>
      </c>
      <c r="AH85" s="435">
        <v>71</v>
      </c>
      <c r="AI85" s="432">
        <f t="shared" si="18"/>
        <v>394.05</v>
      </c>
    </row>
    <row r="86" spans="32:35" ht="15.75" hidden="1" customHeight="1">
      <c r="AF86" s="426">
        <v>1280</v>
      </c>
      <c r="AG86" s="429">
        <f t="shared" si="7"/>
        <v>1.28</v>
      </c>
      <c r="AH86" s="435">
        <v>72</v>
      </c>
      <c r="AI86" s="432">
        <f t="shared" si="18"/>
        <v>399.59999999999997</v>
      </c>
    </row>
    <row r="87" spans="32:35" ht="15.75" customHeight="1">
      <c r="AF87" s="426">
        <v>1300</v>
      </c>
      <c r="AG87" s="429">
        <f t="shared" si="7"/>
        <v>1.3</v>
      </c>
      <c r="AH87" s="435">
        <v>72</v>
      </c>
      <c r="AI87" s="432">
        <f t="shared" si="18"/>
        <v>399.59999999999997</v>
      </c>
    </row>
    <row r="88" spans="32:35" ht="15.75" hidden="1" customHeight="1">
      <c r="AF88" s="426">
        <v>1320</v>
      </c>
      <c r="AG88" s="429">
        <f t="shared" si="7"/>
        <v>1.32</v>
      </c>
      <c r="AH88" s="435">
        <v>73</v>
      </c>
      <c r="AI88" s="432">
        <f t="shared" si="18"/>
        <v>405.15</v>
      </c>
    </row>
    <row r="89" spans="32:35" ht="15.75" hidden="1" customHeight="1">
      <c r="AF89" s="426">
        <v>1340</v>
      </c>
      <c r="AG89" s="429">
        <f t="shared" si="7"/>
        <v>1.34</v>
      </c>
      <c r="AH89" s="435">
        <v>73</v>
      </c>
      <c r="AI89" s="432">
        <f t="shared" si="18"/>
        <v>405.15</v>
      </c>
    </row>
    <row r="90" spans="32:35" ht="15.75" customHeight="1">
      <c r="AF90" s="426">
        <v>1350</v>
      </c>
      <c r="AG90" s="429">
        <f t="shared" si="7"/>
        <v>1.35</v>
      </c>
      <c r="AH90" s="435">
        <v>73</v>
      </c>
      <c r="AI90" s="432">
        <f t="shared" si="18"/>
        <v>405.15</v>
      </c>
    </row>
    <row r="91" spans="32:35" ht="15.75" hidden="1" customHeight="1">
      <c r="AF91" s="426">
        <v>1360</v>
      </c>
      <c r="AG91" s="429">
        <f t="shared" si="7"/>
        <v>1.36</v>
      </c>
      <c r="AH91" s="435">
        <v>74</v>
      </c>
      <c r="AI91" s="432">
        <f t="shared" si="18"/>
        <v>410.7</v>
      </c>
    </row>
    <row r="92" spans="32:35" ht="15.75" hidden="1" customHeight="1">
      <c r="AF92" s="426">
        <v>1380</v>
      </c>
      <c r="AG92" s="429">
        <f t="shared" si="7"/>
        <v>1.3800000000000001</v>
      </c>
      <c r="AH92" s="435">
        <v>74</v>
      </c>
      <c r="AI92" s="432">
        <f t="shared" si="18"/>
        <v>410.7</v>
      </c>
    </row>
    <row r="93" spans="32:35" ht="15.75" customHeight="1">
      <c r="AF93" s="426">
        <v>1400</v>
      </c>
      <c r="AG93" s="429">
        <f t="shared" si="7"/>
        <v>1.4000000000000001</v>
      </c>
      <c r="AH93" s="435">
        <v>74</v>
      </c>
      <c r="AI93" s="432">
        <f t="shared" si="18"/>
        <v>410.7</v>
      </c>
    </row>
    <row r="94" spans="32:35" ht="15.75" hidden="1" customHeight="1">
      <c r="AF94" s="426">
        <v>1420</v>
      </c>
      <c r="AG94" s="429">
        <f t="shared" si="7"/>
        <v>1.42</v>
      </c>
      <c r="AH94" s="435">
        <v>75</v>
      </c>
      <c r="AI94" s="432">
        <f t="shared" si="18"/>
        <v>416.25</v>
      </c>
    </row>
    <row r="95" spans="32:35" ht="15.75" hidden="1" customHeight="1">
      <c r="AF95" s="426">
        <v>1440</v>
      </c>
      <c r="AG95" s="429">
        <f t="shared" si="7"/>
        <v>1.44</v>
      </c>
      <c r="AH95" s="435">
        <v>75</v>
      </c>
      <c r="AI95" s="432">
        <f t="shared" si="18"/>
        <v>416.25</v>
      </c>
    </row>
    <row r="96" spans="32:35" ht="15.75" customHeight="1">
      <c r="AF96" s="426">
        <v>1450</v>
      </c>
      <c r="AG96" s="429">
        <f t="shared" si="7"/>
        <v>1.45</v>
      </c>
      <c r="AH96" s="435">
        <v>76</v>
      </c>
      <c r="AI96" s="432">
        <f t="shared" si="18"/>
        <v>421.8</v>
      </c>
    </row>
    <row r="97" spans="2:35" ht="15.75" customHeight="1">
      <c r="AF97" s="426">
        <v>1460</v>
      </c>
      <c r="AG97" s="429">
        <f t="shared" si="7"/>
        <v>1.46</v>
      </c>
      <c r="AH97" s="435">
        <v>77</v>
      </c>
      <c r="AI97" s="432">
        <f t="shared" si="18"/>
        <v>427.34999999999997</v>
      </c>
    </row>
    <row r="98" spans="2:35" ht="15.75" customHeight="1" thickBot="1">
      <c r="AF98" s="427">
        <v>1480</v>
      </c>
      <c r="AG98" s="430">
        <f t="shared" si="7"/>
        <v>1.48</v>
      </c>
      <c r="AH98" s="436">
        <v>76</v>
      </c>
      <c r="AI98" s="433">
        <f t="shared" si="18"/>
        <v>421.8</v>
      </c>
    </row>
    <row r="99" spans="2:35" ht="15.75" thickBot="1"/>
    <row r="100" spans="2:35" ht="15.75" thickBot="1">
      <c r="B100" s="331" t="s">
        <v>264</v>
      </c>
      <c r="C100" s="394">
        <v>0.14000000000000001</v>
      </c>
      <c r="D100" s="331" t="s">
        <v>262</v>
      </c>
      <c r="E100" s="394">
        <f>MAX(E14:E26)</f>
        <v>111</v>
      </c>
      <c r="H100" s="331" t="s">
        <v>264</v>
      </c>
      <c r="I100" s="394">
        <v>0.46</v>
      </c>
      <c r="J100" s="331" t="s">
        <v>262</v>
      </c>
      <c r="K100" s="394">
        <f>MAX(K14:K37)</f>
        <v>288.59999999999997</v>
      </c>
      <c r="N100" s="331" t="s">
        <v>264</v>
      </c>
      <c r="O100" s="394">
        <v>0.98</v>
      </c>
      <c r="P100" s="331" t="s">
        <v>262</v>
      </c>
      <c r="Q100" s="394">
        <f>MAX(Q14:Q69)</f>
        <v>699.3</v>
      </c>
      <c r="T100" s="331" t="s">
        <v>264</v>
      </c>
      <c r="U100" s="394">
        <v>0.16</v>
      </c>
      <c r="V100" s="331" t="s">
        <v>262</v>
      </c>
      <c r="W100" s="394">
        <f>MAX(W14:W22)</f>
        <v>49.949999999999996</v>
      </c>
      <c r="Z100" s="331" t="s">
        <v>264</v>
      </c>
      <c r="AA100" s="394">
        <v>0.48</v>
      </c>
      <c r="AB100" s="331" t="s">
        <v>262</v>
      </c>
      <c r="AC100" s="394">
        <f>MAX(AC14:AC38)</f>
        <v>155.4</v>
      </c>
      <c r="AF100" s="331" t="s">
        <v>264</v>
      </c>
      <c r="AG100" s="394">
        <v>1.46</v>
      </c>
      <c r="AH100" s="331" t="s">
        <v>262</v>
      </c>
      <c r="AI100" s="394">
        <f>MAX(AI14:AI98)</f>
        <v>427.34999999999997</v>
      </c>
    </row>
    <row r="101" spans="2:35" ht="15.75" thickBot="1"/>
    <row r="102" spans="2:35" ht="15.75" thickBot="1">
      <c r="B102" s="185" t="s">
        <v>325</v>
      </c>
      <c r="C102" s="486">
        <f>C100/D7</f>
        <v>0.46666666666666673</v>
      </c>
      <c r="H102" s="185" t="s">
        <v>325</v>
      </c>
      <c r="I102" s="486">
        <f>I100/J7</f>
        <v>0.92</v>
      </c>
      <c r="N102" s="185" t="s">
        <v>325</v>
      </c>
      <c r="O102" s="486">
        <f>O100/P7</f>
        <v>1.2249999999999999</v>
      </c>
      <c r="T102" s="185" t="s">
        <v>325</v>
      </c>
      <c r="U102" s="486">
        <f>U100/V7</f>
        <v>0.53333333333333333</v>
      </c>
      <c r="Z102" s="185" t="s">
        <v>325</v>
      </c>
      <c r="AA102" s="486">
        <f>AA100/AB7</f>
        <v>0.96</v>
      </c>
      <c r="AF102" s="185" t="s">
        <v>325</v>
      </c>
      <c r="AG102" s="486">
        <f>AG100/AH7</f>
        <v>1.825</v>
      </c>
    </row>
    <row r="105" spans="2:35" ht="15.75" thickBot="1"/>
    <row r="106" spans="2:35">
      <c r="B106" s="667" t="s">
        <v>268</v>
      </c>
      <c r="C106" s="668"/>
      <c r="D106" s="332" t="s">
        <v>271</v>
      </c>
      <c r="E106" s="219" t="s">
        <v>272</v>
      </c>
      <c r="H106" s="667" t="s">
        <v>268</v>
      </c>
      <c r="I106" s="668"/>
      <c r="J106" s="332" t="s">
        <v>271</v>
      </c>
      <c r="K106" s="219" t="s">
        <v>272</v>
      </c>
      <c r="N106" s="667" t="s">
        <v>268</v>
      </c>
      <c r="O106" s="668"/>
      <c r="P106" s="332" t="s">
        <v>271</v>
      </c>
      <c r="Q106" s="219" t="s">
        <v>272</v>
      </c>
      <c r="T106" s="667" t="s">
        <v>268</v>
      </c>
      <c r="U106" s="668"/>
      <c r="V106" s="332" t="s">
        <v>304</v>
      </c>
      <c r="W106" s="219" t="s">
        <v>272</v>
      </c>
      <c r="Z106" s="667" t="s">
        <v>268</v>
      </c>
      <c r="AA106" s="668"/>
      <c r="AB106" s="332" t="s">
        <v>304</v>
      </c>
      <c r="AC106" s="219" t="s">
        <v>272</v>
      </c>
      <c r="AF106" s="667" t="s">
        <v>268</v>
      </c>
      <c r="AG106" s="668"/>
      <c r="AH106" s="332" t="s">
        <v>304</v>
      </c>
      <c r="AI106" s="219" t="s">
        <v>272</v>
      </c>
    </row>
    <row r="107" spans="2:35">
      <c r="B107" s="665" t="s">
        <v>269</v>
      </c>
      <c r="C107" s="666"/>
      <c r="D107" s="8">
        <v>60</v>
      </c>
      <c r="E107" s="221" t="s">
        <v>127</v>
      </c>
      <c r="H107" s="665" t="s">
        <v>269</v>
      </c>
      <c r="I107" s="666"/>
      <c r="J107" s="8">
        <v>60</v>
      </c>
      <c r="K107" s="221" t="s">
        <v>127</v>
      </c>
      <c r="N107" s="665" t="s">
        <v>269</v>
      </c>
      <c r="O107" s="666"/>
      <c r="P107" s="8">
        <v>60</v>
      </c>
      <c r="Q107" s="221" t="s">
        <v>127</v>
      </c>
      <c r="T107" s="665" t="s">
        <v>269</v>
      </c>
      <c r="U107" s="666"/>
      <c r="V107" s="8">
        <v>60</v>
      </c>
      <c r="W107" s="221" t="s">
        <v>127</v>
      </c>
      <c r="Z107" s="665" t="s">
        <v>269</v>
      </c>
      <c r="AA107" s="666"/>
      <c r="AB107" s="8">
        <v>60</v>
      </c>
      <c r="AC107" s="221" t="s">
        <v>127</v>
      </c>
      <c r="AF107" s="665" t="s">
        <v>269</v>
      </c>
      <c r="AG107" s="666"/>
      <c r="AH107" s="8">
        <v>60</v>
      </c>
      <c r="AI107" s="221" t="s">
        <v>127</v>
      </c>
    </row>
    <row r="108" spans="2:35" ht="15.75" thickBot="1">
      <c r="B108" s="663" t="s">
        <v>270</v>
      </c>
      <c r="C108" s="664"/>
      <c r="D108" s="131">
        <v>0.3</v>
      </c>
      <c r="E108" s="224" t="s">
        <v>222</v>
      </c>
      <c r="H108" s="663" t="s">
        <v>270</v>
      </c>
      <c r="I108" s="664"/>
      <c r="J108" s="131">
        <v>0.5</v>
      </c>
      <c r="K108" s="224" t="s">
        <v>222</v>
      </c>
      <c r="N108" s="663" t="s">
        <v>270</v>
      </c>
      <c r="O108" s="664"/>
      <c r="P108" s="131">
        <v>0.8</v>
      </c>
      <c r="Q108" s="224" t="s">
        <v>222</v>
      </c>
      <c r="T108" s="663" t="s">
        <v>270</v>
      </c>
      <c r="U108" s="664"/>
      <c r="V108" s="131">
        <v>0.3</v>
      </c>
      <c r="W108" s="224" t="s">
        <v>222</v>
      </c>
      <c r="Z108" s="663" t="s">
        <v>270</v>
      </c>
      <c r="AA108" s="664"/>
      <c r="AB108" s="131">
        <v>0.5</v>
      </c>
      <c r="AC108" s="224" t="s">
        <v>222</v>
      </c>
      <c r="AF108" s="663" t="s">
        <v>270</v>
      </c>
      <c r="AG108" s="664"/>
      <c r="AH108" s="131">
        <v>0.8</v>
      </c>
      <c r="AI108" s="224" t="s">
        <v>222</v>
      </c>
    </row>
    <row r="109" spans="2:35" ht="15.75" thickBot="1"/>
    <row r="110" spans="2:35">
      <c r="B110" s="217" t="s">
        <v>259</v>
      </c>
      <c r="C110" s="332">
        <v>5.55</v>
      </c>
      <c r="D110" s="219" t="s">
        <v>260</v>
      </c>
      <c r="H110" s="217" t="s">
        <v>259</v>
      </c>
      <c r="I110" s="332">
        <v>5.55</v>
      </c>
      <c r="J110" s="219" t="s">
        <v>260</v>
      </c>
      <c r="N110" s="217" t="s">
        <v>259</v>
      </c>
      <c r="O110" s="332">
        <v>5.55</v>
      </c>
      <c r="P110" s="219" t="s">
        <v>260</v>
      </c>
      <c r="T110" s="217" t="s">
        <v>259</v>
      </c>
      <c r="U110" s="332">
        <v>5.55</v>
      </c>
      <c r="V110" s="219" t="s">
        <v>260</v>
      </c>
      <c r="Z110" s="217" t="s">
        <v>259</v>
      </c>
      <c r="AA110" s="332">
        <v>5.55</v>
      </c>
      <c r="AB110" s="219" t="s">
        <v>260</v>
      </c>
      <c r="AF110" s="217" t="s">
        <v>259</v>
      </c>
      <c r="AG110" s="332">
        <v>5.55</v>
      </c>
      <c r="AH110" s="219" t="s">
        <v>260</v>
      </c>
    </row>
    <row r="111" spans="2:35" ht="15.75" thickBot="1">
      <c r="B111" s="222" t="s">
        <v>261</v>
      </c>
      <c r="C111" s="333">
        <v>1E-3</v>
      </c>
      <c r="D111" s="224" t="s">
        <v>35</v>
      </c>
      <c r="H111" s="222" t="s">
        <v>261</v>
      </c>
      <c r="I111" s="333">
        <v>1E-3</v>
      </c>
      <c r="J111" s="224" t="s">
        <v>35</v>
      </c>
      <c r="N111" s="222" t="s">
        <v>261</v>
      </c>
      <c r="O111" s="333">
        <v>1E-3</v>
      </c>
      <c r="P111" s="224" t="s">
        <v>35</v>
      </c>
      <c r="T111" s="222" t="s">
        <v>261</v>
      </c>
      <c r="U111" s="333">
        <v>1E-3</v>
      </c>
      <c r="V111" s="224" t="s">
        <v>35</v>
      </c>
      <c r="Z111" s="222" t="s">
        <v>261</v>
      </c>
      <c r="AA111" s="333">
        <v>1E-3</v>
      </c>
      <c r="AB111" s="224" t="s">
        <v>35</v>
      </c>
      <c r="AF111" s="222" t="s">
        <v>261</v>
      </c>
      <c r="AG111" s="333">
        <v>1E-3</v>
      </c>
      <c r="AH111" s="224" t="s">
        <v>35</v>
      </c>
    </row>
    <row r="113" spans="2:35" ht="15.75" thickBot="1"/>
    <row r="114" spans="2:35" ht="63.75" customHeight="1" thickBot="1">
      <c r="B114" s="398" t="s">
        <v>178</v>
      </c>
      <c r="C114" s="398" t="s">
        <v>198</v>
      </c>
      <c r="D114" s="398" t="s">
        <v>185</v>
      </c>
      <c r="E114" s="398" t="s">
        <v>263</v>
      </c>
      <c r="H114" s="398" t="s">
        <v>178</v>
      </c>
      <c r="I114" s="398" t="s">
        <v>198</v>
      </c>
      <c r="J114" s="398" t="s">
        <v>185</v>
      </c>
      <c r="K114" s="398" t="s">
        <v>263</v>
      </c>
      <c r="N114" s="398" t="s">
        <v>178</v>
      </c>
      <c r="O114" s="398" t="s">
        <v>198</v>
      </c>
      <c r="P114" s="398" t="s">
        <v>185</v>
      </c>
      <c r="Q114" s="398" t="s">
        <v>263</v>
      </c>
      <c r="T114" s="398" t="s">
        <v>178</v>
      </c>
      <c r="U114" s="398" t="s">
        <v>198</v>
      </c>
      <c r="V114" s="398" t="s">
        <v>185</v>
      </c>
      <c r="W114" s="398" t="s">
        <v>263</v>
      </c>
      <c r="Z114" s="398" t="s">
        <v>178</v>
      </c>
      <c r="AA114" s="398" t="s">
        <v>198</v>
      </c>
      <c r="AB114" s="398" t="s">
        <v>185</v>
      </c>
      <c r="AC114" s="398" t="s">
        <v>263</v>
      </c>
      <c r="AF114" s="398" t="s">
        <v>178</v>
      </c>
      <c r="AG114" s="398" t="s">
        <v>198</v>
      </c>
      <c r="AH114" s="398" t="s">
        <v>185</v>
      </c>
      <c r="AI114" s="398" t="s">
        <v>263</v>
      </c>
    </row>
    <row r="115" spans="2:35">
      <c r="B115" s="422">
        <v>0</v>
      </c>
      <c r="C115" s="325">
        <f t="shared" ref="C115:C123" si="19">B115*$C$10</f>
        <v>0</v>
      </c>
      <c r="D115" s="421">
        <v>0</v>
      </c>
      <c r="E115" s="418">
        <f>D115*$I$9</f>
        <v>0</v>
      </c>
      <c r="H115" s="400">
        <v>0</v>
      </c>
      <c r="I115" s="401">
        <f t="shared" ref="I115:I140" si="20">H115*$C$10</f>
        <v>0</v>
      </c>
      <c r="J115" s="402">
        <v>0</v>
      </c>
      <c r="K115" s="403">
        <f>J115*$I$9</f>
        <v>0</v>
      </c>
      <c r="N115" s="425">
        <v>0</v>
      </c>
      <c r="O115" s="428">
        <f t="shared" ref="O115:O171" si="21">N115*$C$10</f>
        <v>0</v>
      </c>
      <c r="P115" s="511">
        <v>0</v>
      </c>
      <c r="Q115" s="428">
        <f>P115*$I$9</f>
        <v>0</v>
      </c>
      <c r="T115" s="322">
        <v>0</v>
      </c>
      <c r="U115" s="415">
        <f t="shared" ref="U115:U124" si="22">T115*$C$10</f>
        <v>0</v>
      </c>
      <c r="V115" s="421">
        <v>0</v>
      </c>
      <c r="W115" s="418">
        <f>V115*$I$9</f>
        <v>0</v>
      </c>
      <c r="Z115" s="425">
        <v>0</v>
      </c>
      <c r="AA115" s="428">
        <f t="shared" ref="AA115:AA140" si="23">Z115*$C$10</f>
        <v>0</v>
      </c>
      <c r="AB115" s="434">
        <v>0</v>
      </c>
      <c r="AC115" s="431">
        <f>AB115*$I$9</f>
        <v>0</v>
      </c>
      <c r="AF115" s="425">
        <v>0</v>
      </c>
      <c r="AG115" s="428">
        <f t="shared" ref="AG115:AG173" si="24">AF115*$C$10</f>
        <v>0</v>
      </c>
      <c r="AH115" s="434">
        <v>0</v>
      </c>
      <c r="AI115" s="431">
        <f>AH115*$I$9</f>
        <v>0</v>
      </c>
    </row>
    <row r="116" spans="2:35">
      <c r="B116" s="423">
        <v>20</v>
      </c>
      <c r="C116" s="326">
        <f t="shared" si="19"/>
        <v>0.02</v>
      </c>
      <c r="D116" s="366">
        <v>8</v>
      </c>
      <c r="E116" s="419">
        <f t="shared" ref="E116:E123" si="25">D116*$I$9</f>
        <v>44.4</v>
      </c>
      <c r="H116" s="404">
        <v>20</v>
      </c>
      <c r="I116" s="405">
        <f t="shared" si="20"/>
        <v>0.02</v>
      </c>
      <c r="J116" s="406">
        <v>9</v>
      </c>
      <c r="K116" s="407">
        <f t="shared" ref="K116:K140" si="26">J116*$I$9</f>
        <v>49.949999999999996</v>
      </c>
      <c r="N116" s="426">
        <v>20</v>
      </c>
      <c r="O116" s="429">
        <f t="shared" si="21"/>
        <v>0.02</v>
      </c>
      <c r="P116" s="512">
        <v>19</v>
      </c>
      <c r="Q116" s="429">
        <f t="shared" ref="Q116:Q140" si="27">P116*$I$9</f>
        <v>105.45</v>
      </c>
      <c r="T116" s="323">
        <v>20</v>
      </c>
      <c r="U116" s="416">
        <f t="shared" si="22"/>
        <v>0.02</v>
      </c>
      <c r="V116" s="366">
        <v>1</v>
      </c>
      <c r="W116" s="419">
        <f t="shared" ref="W116:W124" si="28">V116*$I$9</f>
        <v>5.55</v>
      </c>
      <c r="Z116" s="426">
        <v>20</v>
      </c>
      <c r="AA116" s="429">
        <f t="shared" si="23"/>
        <v>0.02</v>
      </c>
      <c r="AB116" s="435">
        <v>3</v>
      </c>
      <c r="AC116" s="432">
        <f t="shared" ref="AC116:AC140" si="29">AB116*$I$9</f>
        <v>16.649999999999999</v>
      </c>
      <c r="AF116" s="426">
        <v>20</v>
      </c>
      <c r="AG116" s="429">
        <f t="shared" si="24"/>
        <v>0.02</v>
      </c>
      <c r="AH116" s="435">
        <v>12</v>
      </c>
      <c r="AI116" s="432">
        <f t="shared" ref="AI116:AI140" si="30">AH116*$I$9</f>
        <v>66.599999999999994</v>
      </c>
    </row>
    <row r="117" spans="2:35">
      <c r="B117" s="423">
        <v>40</v>
      </c>
      <c r="C117" s="326">
        <f t="shared" si="19"/>
        <v>0.04</v>
      </c>
      <c r="D117" s="366">
        <v>13</v>
      </c>
      <c r="E117" s="419">
        <f t="shared" si="25"/>
        <v>72.149999999999991</v>
      </c>
      <c r="H117" s="404">
        <v>40</v>
      </c>
      <c r="I117" s="405">
        <f t="shared" si="20"/>
        <v>0.04</v>
      </c>
      <c r="J117" s="406">
        <v>15</v>
      </c>
      <c r="K117" s="407">
        <f t="shared" si="26"/>
        <v>83.25</v>
      </c>
      <c r="N117" s="426">
        <v>40</v>
      </c>
      <c r="O117" s="429">
        <f t="shared" si="21"/>
        <v>0.04</v>
      </c>
      <c r="P117" s="512">
        <v>61</v>
      </c>
      <c r="Q117" s="429">
        <f t="shared" si="27"/>
        <v>338.55</v>
      </c>
      <c r="T117" s="323">
        <v>40</v>
      </c>
      <c r="U117" s="416">
        <f t="shared" si="22"/>
        <v>0.04</v>
      </c>
      <c r="V117" s="366">
        <v>4</v>
      </c>
      <c r="W117" s="419">
        <f t="shared" si="28"/>
        <v>22.2</v>
      </c>
      <c r="Z117" s="426">
        <v>40</v>
      </c>
      <c r="AA117" s="429">
        <f t="shared" si="23"/>
        <v>0.04</v>
      </c>
      <c r="AB117" s="435">
        <v>9</v>
      </c>
      <c r="AC117" s="432">
        <f t="shared" si="29"/>
        <v>49.949999999999996</v>
      </c>
      <c r="AF117" s="426">
        <v>40</v>
      </c>
      <c r="AG117" s="429">
        <f t="shared" si="24"/>
        <v>0.04</v>
      </c>
      <c r="AH117" s="435">
        <v>22</v>
      </c>
      <c r="AI117" s="432">
        <f t="shared" si="30"/>
        <v>122.1</v>
      </c>
    </row>
    <row r="118" spans="2:35">
      <c r="B118" s="423">
        <v>60</v>
      </c>
      <c r="C118" s="326">
        <f t="shared" si="19"/>
        <v>0.06</v>
      </c>
      <c r="D118" s="366">
        <v>21</v>
      </c>
      <c r="E118" s="419">
        <f t="shared" si="25"/>
        <v>116.55</v>
      </c>
      <c r="H118" s="404">
        <v>60</v>
      </c>
      <c r="I118" s="405">
        <f t="shared" si="20"/>
        <v>0.06</v>
      </c>
      <c r="J118" s="406">
        <v>29</v>
      </c>
      <c r="K118" s="407">
        <f t="shared" si="26"/>
        <v>160.94999999999999</v>
      </c>
      <c r="N118" s="426">
        <v>60</v>
      </c>
      <c r="O118" s="429">
        <f t="shared" si="21"/>
        <v>0.06</v>
      </c>
      <c r="P118" s="512">
        <v>91</v>
      </c>
      <c r="Q118" s="429">
        <f t="shared" si="27"/>
        <v>505.05</v>
      </c>
      <c r="T118" s="323">
        <v>60</v>
      </c>
      <c r="U118" s="416">
        <f t="shared" si="22"/>
        <v>0.06</v>
      </c>
      <c r="V118" s="366">
        <v>6</v>
      </c>
      <c r="W118" s="419">
        <f t="shared" si="28"/>
        <v>33.299999999999997</v>
      </c>
      <c r="Z118" s="426">
        <v>60</v>
      </c>
      <c r="AA118" s="429">
        <f t="shared" si="23"/>
        <v>0.06</v>
      </c>
      <c r="AB118" s="435">
        <v>15</v>
      </c>
      <c r="AC118" s="432">
        <f t="shared" si="29"/>
        <v>83.25</v>
      </c>
      <c r="AF118" s="426">
        <v>60</v>
      </c>
      <c r="AG118" s="429">
        <f t="shared" si="24"/>
        <v>0.06</v>
      </c>
      <c r="AH118" s="435">
        <v>35</v>
      </c>
      <c r="AI118" s="432">
        <f t="shared" si="30"/>
        <v>194.25</v>
      </c>
    </row>
    <row r="119" spans="2:35">
      <c r="B119" s="423">
        <v>80</v>
      </c>
      <c r="C119" s="326">
        <f t="shared" si="19"/>
        <v>0.08</v>
      </c>
      <c r="D119" s="366">
        <v>21</v>
      </c>
      <c r="E119" s="419">
        <f t="shared" si="25"/>
        <v>116.55</v>
      </c>
      <c r="H119" s="404">
        <v>80</v>
      </c>
      <c r="I119" s="405">
        <f t="shared" si="20"/>
        <v>0.08</v>
      </c>
      <c r="J119" s="406">
        <v>36</v>
      </c>
      <c r="K119" s="407">
        <f t="shared" si="26"/>
        <v>199.79999999999998</v>
      </c>
      <c r="N119" s="426">
        <v>80</v>
      </c>
      <c r="O119" s="429">
        <f t="shared" si="21"/>
        <v>0.08</v>
      </c>
      <c r="P119" s="512">
        <v>98</v>
      </c>
      <c r="Q119" s="429">
        <f t="shared" si="27"/>
        <v>543.9</v>
      </c>
      <c r="T119" s="323">
        <v>80</v>
      </c>
      <c r="U119" s="416">
        <f t="shared" si="22"/>
        <v>0.08</v>
      </c>
      <c r="V119" s="366">
        <v>8</v>
      </c>
      <c r="W119" s="419">
        <f t="shared" si="28"/>
        <v>44.4</v>
      </c>
      <c r="Z119" s="426">
        <v>80</v>
      </c>
      <c r="AA119" s="429">
        <f t="shared" si="23"/>
        <v>0.08</v>
      </c>
      <c r="AB119" s="435">
        <v>17</v>
      </c>
      <c r="AC119" s="432">
        <f t="shared" si="29"/>
        <v>94.35</v>
      </c>
      <c r="AF119" s="426">
        <v>80</v>
      </c>
      <c r="AG119" s="429">
        <f t="shared" si="24"/>
        <v>0.08</v>
      </c>
      <c r="AH119" s="435">
        <v>45</v>
      </c>
      <c r="AI119" s="432">
        <f t="shared" si="30"/>
        <v>249.75</v>
      </c>
    </row>
    <row r="120" spans="2:35">
      <c r="B120" s="423">
        <v>100</v>
      </c>
      <c r="C120" s="326">
        <f t="shared" si="19"/>
        <v>0.1</v>
      </c>
      <c r="D120" s="366">
        <v>22</v>
      </c>
      <c r="E120" s="419">
        <f t="shared" si="25"/>
        <v>122.1</v>
      </c>
      <c r="H120" s="404">
        <v>100</v>
      </c>
      <c r="I120" s="405">
        <f t="shared" si="20"/>
        <v>0.1</v>
      </c>
      <c r="J120" s="406">
        <v>41</v>
      </c>
      <c r="K120" s="407">
        <f t="shared" si="26"/>
        <v>227.54999999999998</v>
      </c>
      <c r="N120" s="426">
        <v>100</v>
      </c>
      <c r="O120" s="429">
        <f t="shared" si="21"/>
        <v>0.1</v>
      </c>
      <c r="P120" s="512">
        <v>105</v>
      </c>
      <c r="Q120" s="429">
        <f t="shared" si="27"/>
        <v>582.75</v>
      </c>
      <c r="T120" s="323">
        <v>100</v>
      </c>
      <c r="U120" s="416">
        <f t="shared" si="22"/>
        <v>0.1</v>
      </c>
      <c r="V120" s="366">
        <v>10</v>
      </c>
      <c r="W120" s="419">
        <f t="shared" si="28"/>
        <v>55.5</v>
      </c>
      <c r="Z120" s="426">
        <v>100</v>
      </c>
      <c r="AA120" s="429">
        <f t="shared" si="23"/>
        <v>0.1</v>
      </c>
      <c r="AB120" s="435">
        <v>18</v>
      </c>
      <c r="AC120" s="432">
        <f t="shared" si="29"/>
        <v>99.899999999999991</v>
      </c>
      <c r="AF120" s="426">
        <v>100</v>
      </c>
      <c r="AG120" s="429">
        <f t="shared" si="24"/>
        <v>0.1</v>
      </c>
      <c r="AH120" s="435">
        <v>54</v>
      </c>
      <c r="AI120" s="432">
        <f t="shared" si="30"/>
        <v>299.7</v>
      </c>
    </row>
    <row r="121" spans="2:35">
      <c r="B121" s="423">
        <v>120</v>
      </c>
      <c r="C121" s="326">
        <f t="shared" si="19"/>
        <v>0.12</v>
      </c>
      <c r="D121" s="366">
        <v>23</v>
      </c>
      <c r="E121" s="419">
        <f t="shared" si="25"/>
        <v>127.64999999999999</v>
      </c>
      <c r="H121" s="404">
        <v>120</v>
      </c>
      <c r="I121" s="405">
        <f t="shared" si="20"/>
        <v>0.12</v>
      </c>
      <c r="J121" s="406">
        <v>43</v>
      </c>
      <c r="K121" s="407">
        <f t="shared" si="26"/>
        <v>238.65</v>
      </c>
      <c r="N121" s="426">
        <v>120</v>
      </c>
      <c r="O121" s="429">
        <f t="shared" si="21"/>
        <v>0.12</v>
      </c>
      <c r="P121" s="512">
        <v>111</v>
      </c>
      <c r="Q121" s="429">
        <f t="shared" si="27"/>
        <v>616.04999999999995</v>
      </c>
      <c r="T121" s="323">
        <v>120</v>
      </c>
      <c r="U121" s="416">
        <f t="shared" si="22"/>
        <v>0.12</v>
      </c>
      <c r="V121" s="366">
        <v>10</v>
      </c>
      <c r="W121" s="419">
        <f t="shared" si="28"/>
        <v>55.5</v>
      </c>
      <c r="Z121" s="426">
        <v>120</v>
      </c>
      <c r="AA121" s="429">
        <f t="shared" si="23"/>
        <v>0.12</v>
      </c>
      <c r="AB121" s="435">
        <v>20</v>
      </c>
      <c r="AC121" s="432">
        <f t="shared" si="29"/>
        <v>111</v>
      </c>
      <c r="AF121" s="426">
        <v>120</v>
      </c>
      <c r="AG121" s="429">
        <f t="shared" si="24"/>
        <v>0.12</v>
      </c>
      <c r="AH121" s="435">
        <v>60</v>
      </c>
      <c r="AI121" s="432">
        <f t="shared" si="30"/>
        <v>333</v>
      </c>
    </row>
    <row r="122" spans="2:35">
      <c r="B122" s="423">
        <v>140</v>
      </c>
      <c r="C122" s="326">
        <f t="shared" si="19"/>
        <v>0.14000000000000001</v>
      </c>
      <c r="D122" s="366">
        <v>24</v>
      </c>
      <c r="E122" s="419">
        <f t="shared" si="25"/>
        <v>133.19999999999999</v>
      </c>
      <c r="H122" s="404">
        <v>140</v>
      </c>
      <c r="I122" s="405">
        <f t="shared" si="20"/>
        <v>0.14000000000000001</v>
      </c>
      <c r="J122" s="406">
        <v>45</v>
      </c>
      <c r="K122" s="407">
        <f t="shared" si="26"/>
        <v>249.75</v>
      </c>
      <c r="N122" s="426">
        <v>140</v>
      </c>
      <c r="O122" s="429">
        <f t="shared" si="21"/>
        <v>0.14000000000000001</v>
      </c>
      <c r="P122" s="512">
        <v>117</v>
      </c>
      <c r="Q122" s="429">
        <f t="shared" si="27"/>
        <v>649.35</v>
      </c>
      <c r="T122" s="323">
        <v>140</v>
      </c>
      <c r="U122" s="416">
        <f t="shared" si="22"/>
        <v>0.14000000000000001</v>
      </c>
      <c r="V122" s="366">
        <v>10</v>
      </c>
      <c r="W122" s="419">
        <f t="shared" si="28"/>
        <v>55.5</v>
      </c>
      <c r="Z122" s="426">
        <v>140</v>
      </c>
      <c r="AA122" s="429">
        <f t="shared" si="23"/>
        <v>0.14000000000000001</v>
      </c>
      <c r="AB122" s="435">
        <v>22</v>
      </c>
      <c r="AC122" s="432">
        <f t="shared" si="29"/>
        <v>122.1</v>
      </c>
      <c r="AF122" s="426">
        <v>140</v>
      </c>
      <c r="AG122" s="429">
        <f t="shared" si="24"/>
        <v>0.14000000000000001</v>
      </c>
      <c r="AH122" s="435">
        <v>65</v>
      </c>
      <c r="AI122" s="432">
        <f t="shared" si="30"/>
        <v>360.75</v>
      </c>
    </row>
    <row r="123" spans="2:35" ht="15.75" thickBot="1">
      <c r="B123" s="424">
        <v>160</v>
      </c>
      <c r="C123" s="327">
        <f t="shared" si="19"/>
        <v>0.16</v>
      </c>
      <c r="D123" s="367">
        <v>24</v>
      </c>
      <c r="E123" s="420">
        <f t="shared" si="25"/>
        <v>133.19999999999999</v>
      </c>
      <c r="H123" s="404">
        <v>160</v>
      </c>
      <c r="I123" s="405">
        <f t="shared" si="20"/>
        <v>0.16</v>
      </c>
      <c r="J123" s="406">
        <v>47</v>
      </c>
      <c r="K123" s="407">
        <f t="shared" si="26"/>
        <v>260.84999999999997</v>
      </c>
      <c r="N123" s="426">
        <v>160</v>
      </c>
      <c r="O123" s="429">
        <f t="shared" si="21"/>
        <v>0.16</v>
      </c>
      <c r="P123" s="512">
        <v>124</v>
      </c>
      <c r="Q123" s="429">
        <f t="shared" si="27"/>
        <v>688.19999999999993</v>
      </c>
      <c r="T123" s="323">
        <v>160</v>
      </c>
      <c r="U123" s="416">
        <f t="shared" si="22"/>
        <v>0.16</v>
      </c>
      <c r="V123" s="366">
        <v>11</v>
      </c>
      <c r="W123" s="419">
        <f t="shared" si="28"/>
        <v>61.05</v>
      </c>
      <c r="Z123" s="426">
        <v>160</v>
      </c>
      <c r="AA123" s="429">
        <f t="shared" si="23"/>
        <v>0.16</v>
      </c>
      <c r="AB123" s="435">
        <v>24</v>
      </c>
      <c r="AC123" s="432">
        <f t="shared" si="29"/>
        <v>133.19999999999999</v>
      </c>
      <c r="AF123" s="426">
        <v>160</v>
      </c>
      <c r="AG123" s="429">
        <f t="shared" si="24"/>
        <v>0.16</v>
      </c>
      <c r="AH123" s="435">
        <v>70</v>
      </c>
      <c r="AI123" s="432">
        <f t="shared" si="30"/>
        <v>388.5</v>
      </c>
    </row>
    <row r="124" spans="2:35" ht="15.75" thickBot="1">
      <c r="H124" s="404">
        <v>180</v>
      </c>
      <c r="I124" s="405">
        <f t="shared" si="20"/>
        <v>0.18</v>
      </c>
      <c r="J124" s="406">
        <v>49</v>
      </c>
      <c r="K124" s="407">
        <f t="shared" si="26"/>
        <v>271.95</v>
      </c>
      <c r="N124" s="426">
        <v>180</v>
      </c>
      <c r="O124" s="429">
        <f t="shared" si="21"/>
        <v>0.18</v>
      </c>
      <c r="P124" s="512">
        <v>130</v>
      </c>
      <c r="Q124" s="429">
        <f t="shared" si="27"/>
        <v>721.5</v>
      </c>
      <c r="T124" s="324">
        <v>180</v>
      </c>
      <c r="U124" s="417">
        <f t="shared" si="22"/>
        <v>0.18</v>
      </c>
      <c r="V124" s="367">
        <v>11</v>
      </c>
      <c r="W124" s="420">
        <f t="shared" si="28"/>
        <v>61.05</v>
      </c>
      <c r="Z124" s="426">
        <v>180</v>
      </c>
      <c r="AA124" s="429">
        <f t="shared" si="23"/>
        <v>0.18</v>
      </c>
      <c r="AB124" s="435">
        <v>25</v>
      </c>
      <c r="AC124" s="432">
        <f t="shared" si="29"/>
        <v>138.75</v>
      </c>
      <c r="AF124" s="426">
        <v>180</v>
      </c>
      <c r="AG124" s="429">
        <f t="shared" si="24"/>
        <v>0.18</v>
      </c>
      <c r="AH124" s="435">
        <v>74</v>
      </c>
      <c r="AI124" s="432">
        <f t="shared" si="30"/>
        <v>410.7</v>
      </c>
    </row>
    <row r="125" spans="2:35">
      <c r="H125" s="404">
        <v>200</v>
      </c>
      <c r="I125" s="405">
        <f t="shared" si="20"/>
        <v>0.2</v>
      </c>
      <c r="J125" s="406">
        <v>50</v>
      </c>
      <c r="K125" s="407">
        <f t="shared" si="26"/>
        <v>277.5</v>
      </c>
      <c r="N125" s="426">
        <v>200</v>
      </c>
      <c r="O125" s="429">
        <f t="shared" si="21"/>
        <v>0.2</v>
      </c>
      <c r="P125" s="512">
        <v>133</v>
      </c>
      <c r="Q125" s="429">
        <f t="shared" si="27"/>
        <v>738.15</v>
      </c>
      <c r="Z125" s="426">
        <v>200</v>
      </c>
      <c r="AA125" s="429">
        <f t="shared" si="23"/>
        <v>0.2</v>
      </c>
      <c r="AB125" s="435">
        <v>26</v>
      </c>
      <c r="AC125" s="432">
        <f t="shared" si="29"/>
        <v>144.29999999999998</v>
      </c>
      <c r="AF125" s="426">
        <v>200</v>
      </c>
      <c r="AG125" s="429">
        <f t="shared" si="24"/>
        <v>0.2</v>
      </c>
      <c r="AH125" s="435">
        <v>77</v>
      </c>
      <c r="AI125" s="432">
        <f t="shared" si="30"/>
        <v>427.34999999999997</v>
      </c>
    </row>
    <row r="126" spans="2:35">
      <c r="H126" s="404">
        <v>220</v>
      </c>
      <c r="I126" s="405">
        <f t="shared" si="20"/>
        <v>0.22</v>
      </c>
      <c r="J126" s="406">
        <v>51</v>
      </c>
      <c r="K126" s="407">
        <f t="shared" si="26"/>
        <v>283.05</v>
      </c>
      <c r="N126" s="426">
        <v>220</v>
      </c>
      <c r="O126" s="429">
        <f t="shared" si="21"/>
        <v>0.22</v>
      </c>
      <c r="P126" s="512">
        <v>135</v>
      </c>
      <c r="Q126" s="429">
        <f t="shared" si="27"/>
        <v>749.25</v>
      </c>
      <c r="Z126" s="426">
        <v>220</v>
      </c>
      <c r="AA126" s="429">
        <f t="shared" si="23"/>
        <v>0.22</v>
      </c>
      <c r="AB126" s="435">
        <v>27</v>
      </c>
      <c r="AC126" s="432">
        <f t="shared" si="29"/>
        <v>149.85</v>
      </c>
      <c r="AF126" s="426">
        <v>220</v>
      </c>
      <c r="AG126" s="429">
        <f t="shared" si="24"/>
        <v>0.22</v>
      </c>
      <c r="AH126" s="435">
        <v>80</v>
      </c>
      <c r="AI126" s="432">
        <f t="shared" si="30"/>
        <v>444</v>
      </c>
    </row>
    <row r="127" spans="2:35">
      <c r="H127" s="404">
        <v>240</v>
      </c>
      <c r="I127" s="405">
        <f t="shared" si="20"/>
        <v>0.24</v>
      </c>
      <c r="J127" s="406">
        <v>52</v>
      </c>
      <c r="K127" s="407">
        <f t="shared" si="26"/>
        <v>288.59999999999997</v>
      </c>
      <c r="N127" s="426">
        <v>240</v>
      </c>
      <c r="O127" s="429">
        <f t="shared" si="21"/>
        <v>0.24</v>
      </c>
      <c r="P127" s="512">
        <v>138</v>
      </c>
      <c r="Q127" s="429">
        <f t="shared" si="27"/>
        <v>765.9</v>
      </c>
      <c r="Z127" s="426">
        <v>240</v>
      </c>
      <c r="AA127" s="429">
        <f t="shared" si="23"/>
        <v>0.24</v>
      </c>
      <c r="AB127" s="435">
        <v>28</v>
      </c>
      <c r="AC127" s="432">
        <f t="shared" si="29"/>
        <v>155.4</v>
      </c>
      <c r="AF127" s="426">
        <v>240</v>
      </c>
      <c r="AG127" s="429">
        <f t="shared" si="24"/>
        <v>0.24</v>
      </c>
      <c r="AH127" s="435">
        <v>84</v>
      </c>
      <c r="AI127" s="432">
        <f t="shared" si="30"/>
        <v>466.2</v>
      </c>
    </row>
    <row r="128" spans="2:35">
      <c r="H128" s="404">
        <v>260</v>
      </c>
      <c r="I128" s="405">
        <f t="shared" si="20"/>
        <v>0.26</v>
      </c>
      <c r="J128" s="406">
        <v>53</v>
      </c>
      <c r="K128" s="407">
        <f t="shared" si="26"/>
        <v>294.14999999999998</v>
      </c>
      <c r="N128" s="426">
        <v>260</v>
      </c>
      <c r="O128" s="429">
        <f t="shared" si="21"/>
        <v>0.26</v>
      </c>
      <c r="P128" s="512">
        <v>140</v>
      </c>
      <c r="Q128" s="429">
        <f t="shared" si="27"/>
        <v>777</v>
      </c>
      <c r="Z128" s="426">
        <v>260</v>
      </c>
      <c r="AA128" s="429">
        <f t="shared" si="23"/>
        <v>0.26</v>
      </c>
      <c r="AB128" s="435">
        <v>29</v>
      </c>
      <c r="AC128" s="432">
        <f t="shared" si="29"/>
        <v>160.94999999999999</v>
      </c>
      <c r="AF128" s="426">
        <v>260</v>
      </c>
      <c r="AG128" s="429">
        <f t="shared" si="24"/>
        <v>0.26</v>
      </c>
      <c r="AH128" s="435">
        <v>86</v>
      </c>
      <c r="AI128" s="432">
        <f t="shared" si="30"/>
        <v>477.3</v>
      </c>
    </row>
    <row r="129" spans="8:35">
      <c r="H129" s="404">
        <v>280</v>
      </c>
      <c r="I129" s="405">
        <f t="shared" si="20"/>
        <v>0.28000000000000003</v>
      </c>
      <c r="J129" s="406">
        <v>53</v>
      </c>
      <c r="K129" s="407">
        <f t="shared" si="26"/>
        <v>294.14999999999998</v>
      </c>
      <c r="N129" s="426">
        <v>280</v>
      </c>
      <c r="O129" s="429">
        <f t="shared" si="21"/>
        <v>0.28000000000000003</v>
      </c>
      <c r="P129" s="512">
        <v>142</v>
      </c>
      <c r="Q129" s="429">
        <f t="shared" si="27"/>
        <v>788.1</v>
      </c>
      <c r="Z129" s="426">
        <v>280</v>
      </c>
      <c r="AA129" s="429">
        <f t="shared" si="23"/>
        <v>0.28000000000000003</v>
      </c>
      <c r="AB129" s="435">
        <v>29</v>
      </c>
      <c r="AC129" s="432">
        <f t="shared" si="29"/>
        <v>160.94999999999999</v>
      </c>
      <c r="AF129" s="426">
        <v>280</v>
      </c>
      <c r="AG129" s="429">
        <f t="shared" si="24"/>
        <v>0.28000000000000003</v>
      </c>
      <c r="AH129" s="435">
        <v>89</v>
      </c>
      <c r="AI129" s="432">
        <f t="shared" si="30"/>
        <v>493.95</v>
      </c>
    </row>
    <row r="130" spans="8:35">
      <c r="H130" s="404">
        <v>300</v>
      </c>
      <c r="I130" s="405">
        <f t="shared" si="20"/>
        <v>0.3</v>
      </c>
      <c r="J130" s="406">
        <v>54</v>
      </c>
      <c r="K130" s="407">
        <f t="shared" si="26"/>
        <v>299.7</v>
      </c>
      <c r="N130" s="426">
        <v>300</v>
      </c>
      <c r="O130" s="429">
        <f t="shared" si="21"/>
        <v>0.3</v>
      </c>
      <c r="P130" s="512">
        <v>143</v>
      </c>
      <c r="Q130" s="429">
        <f t="shared" si="27"/>
        <v>793.65</v>
      </c>
      <c r="Z130" s="426">
        <v>300</v>
      </c>
      <c r="AA130" s="429">
        <f t="shared" si="23"/>
        <v>0.3</v>
      </c>
      <c r="AB130" s="435">
        <v>30</v>
      </c>
      <c r="AC130" s="432">
        <f t="shared" si="29"/>
        <v>166.5</v>
      </c>
      <c r="AF130" s="426">
        <v>300</v>
      </c>
      <c r="AG130" s="429">
        <f t="shared" si="24"/>
        <v>0.3</v>
      </c>
      <c r="AH130" s="435">
        <v>91</v>
      </c>
      <c r="AI130" s="432">
        <f t="shared" si="30"/>
        <v>505.05</v>
      </c>
    </row>
    <row r="131" spans="8:35">
      <c r="H131" s="404">
        <v>320</v>
      </c>
      <c r="I131" s="405">
        <f t="shared" si="20"/>
        <v>0.32</v>
      </c>
      <c r="J131" s="406">
        <v>55</v>
      </c>
      <c r="K131" s="407">
        <f t="shared" si="26"/>
        <v>305.25</v>
      </c>
      <c r="N131" s="426">
        <v>320</v>
      </c>
      <c r="O131" s="429">
        <f t="shared" si="21"/>
        <v>0.32</v>
      </c>
      <c r="P131" s="512">
        <v>144</v>
      </c>
      <c r="Q131" s="429">
        <f t="shared" si="27"/>
        <v>799.19999999999993</v>
      </c>
      <c r="Z131" s="426">
        <v>320</v>
      </c>
      <c r="AA131" s="429">
        <f t="shared" si="23"/>
        <v>0.32</v>
      </c>
      <c r="AB131" s="435">
        <v>30</v>
      </c>
      <c r="AC131" s="432">
        <f t="shared" si="29"/>
        <v>166.5</v>
      </c>
      <c r="AF131" s="426">
        <v>320</v>
      </c>
      <c r="AG131" s="429">
        <f t="shared" si="24"/>
        <v>0.32</v>
      </c>
      <c r="AH131" s="435">
        <v>92</v>
      </c>
      <c r="AI131" s="432">
        <f t="shared" si="30"/>
        <v>510.59999999999997</v>
      </c>
    </row>
    <row r="132" spans="8:35">
      <c r="H132" s="404">
        <v>340</v>
      </c>
      <c r="I132" s="405">
        <f t="shared" si="20"/>
        <v>0.34</v>
      </c>
      <c r="J132" s="406">
        <v>55</v>
      </c>
      <c r="K132" s="407">
        <f t="shared" si="26"/>
        <v>305.25</v>
      </c>
      <c r="N132" s="426">
        <v>340</v>
      </c>
      <c r="O132" s="429">
        <f t="shared" si="21"/>
        <v>0.34</v>
      </c>
      <c r="P132" s="512">
        <v>146</v>
      </c>
      <c r="Q132" s="429">
        <f t="shared" si="27"/>
        <v>810.3</v>
      </c>
      <c r="Z132" s="426">
        <v>340</v>
      </c>
      <c r="AA132" s="429">
        <f t="shared" si="23"/>
        <v>0.34</v>
      </c>
      <c r="AB132" s="435">
        <v>30</v>
      </c>
      <c r="AC132" s="432">
        <f t="shared" si="29"/>
        <v>166.5</v>
      </c>
      <c r="AF132" s="426">
        <v>340</v>
      </c>
      <c r="AG132" s="429">
        <f t="shared" si="24"/>
        <v>0.34</v>
      </c>
      <c r="AH132" s="435">
        <v>94</v>
      </c>
      <c r="AI132" s="432">
        <f t="shared" si="30"/>
        <v>521.69999999999993</v>
      </c>
    </row>
    <row r="133" spans="8:35">
      <c r="H133" s="404">
        <v>360</v>
      </c>
      <c r="I133" s="405">
        <f t="shared" si="20"/>
        <v>0.36</v>
      </c>
      <c r="J133" s="406">
        <v>55</v>
      </c>
      <c r="K133" s="407">
        <f t="shared" si="26"/>
        <v>305.25</v>
      </c>
      <c r="N133" s="426">
        <v>360</v>
      </c>
      <c r="O133" s="429">
        <f t="shared" si="21"/>
        <v>0.36</v>
      </c>
      <c r="P133" s="512">
        <v>147</v>
      </c>
      <c r="Q133" s="429">
        <f t="shared" si="27"/>
        <v>815.85</v>
      </c>
      <c r="Z133" s="426">
        <v>360</v>
      </c>
      <c r="AA133" s="429">
        <f t="shared" si="23"/>
        <v>0.36</v>
      </c>
      <c r="AB133" s="435">
        <v>31</v>
      </c>
      <c r="AC133" s="432">
        <f t="shared" si="29"/>
        <v>172.04999999999998</v>
      </c>
      <c r="AF133" s="426">
        <v>360</v>
      </c>
      <c r="AG133" s="429">
        <f t="shared" si="24"/>
        <v>0.36</v>
      </c>
      <c r="AH133" s="435">
        <v>96</v>
      </c>
      <c r="AI133" s="432">
        <f t="shared" si="30"/>
        <v>532.79999999999995</v>
      </c>
    </row>
    <row r="134" spans="8:35">
      <c r="H134" s="404">
        <v>380</v>
      </c>
      <c r="I134" s="405">
        <f t="shared" si="20"/>
        <v>0.38</v>
      </c>
      <c r="J134" s="406">
        <v>55</v>
      </c>
      <c r="K134" s="407">
        <f t="shared" si="26"/>
        <v>305.25</v>
      </c>
      <c r="N134" s="426">
        <v>380</v>
      </c>
      <c r="O134" s="429">
        <f t="shared" si="21"/>
        <v>0.38</v>
      </c>
      <c r="P134" s="512">
        <v>150</v>
      </c>
      <c r="Q134" s="429">
        <f t="shared" si="27"/>
        <v>832.5</v>
      </c>
      <c r="Z134" s="426">
        <v>380</v>
      </c>
      <c r="AA134" s="429">
        <f t="shared" si="23"/>
        <v>0.38</v>
      </c>
      <c r="AB134" s="435">
        <v>32</v>
      </c>
      <c r="AC134" s="432">
        <f t="shared" si="29"/>
        <v>177.6</v>
      </c>
      <c r="AF134" s="426">
        <v>380</v>
      </c>
      <c r="AG134" s="429">
        <f t="shared" si="24"/>
        <v>0.38</v>
      </c>
      <c r="AH134" s="435">
        <v>98</v>
      </c>
      <c r="AI134" s="432">
        <f t="shared" si="30"/>
        <v>543.9</v>
      </c>
    </row>
    <row r="135" spans="8:35">
      <c r="H135" s="404">
        <v>400</v>
      </c>
      <c r="I135" s="405">
        <f t="shared" si="20"/>
        <v>0.4</v>
      </c>
      <c r="J135" s="406">
        <v>56</v>
      </c>
      <c r="K135" s="407">
        <f t="shared" si="26"/>
        <v>310.8</v>
      </c>
      <c r="N135" s="426">
        <v>400</v>
      </c>
      <c r="O135" s="429">
        <f t="shared" si="21"/>
        <v>0.4</v>
      </c>
      <c r="P135" s="512">
        <v>151</v>
      </c>
      <c r="Q135" s="429">
        <f t="shared" si="27"/>
        <v>838.05</v>
      </c>
      <c r="Z135" s="426">
        <v>400</v>
      </c>
      <c r="AA135" s="429">
        <f t="shared" si="23"/>
        <v>0.4</v>
      </c>
      <c r="AB135" s="435">
        <v>32</v>
      </c>
      <c r="AC135" s="432">
        <f t="shared" si="29"/>
        <v>177.6</v>
      </c>
      <c r="AF135" s="426">
        <v>400</v>
      </c>
      <c r="AG135" s="429">
        <f t="shared" si="24"/>
        <v>0.4</v>
      </c>
      <c r="AH135" s="435">
        <v>99</v>
      </c>
      <c r="AI135" s="432">
        <f t="shared" si="30"/>
        <v>549.44999999999993</v>
      </c>
    </row>
    <row r="136" spans="8:35">
      <c r="H136" s="404">
        <v>420</v>
      </c>
      <c r="I136" s="405">
        <f t="shared" si="20"/>
        <v>0.42</v>
      </c>
      <c r="J136" s="406">
        <v>56</v>
      </c>
      <c r="K136" s="407">
        <f t="shared" si="26"/>
        <v>310.8</v>
      </c>
      <c r="N136" s="426">
        <v>420</v>
      </c>
      <c r="O136" s="429">
        <f t="shared" si="21"/>
        <v>0.42</v>
      </c>
      <c r="P136" s="512">
        <v>152</v>
      </c>
      <c r="Q136" s="429">
        <f t="shared" si="27"/>
        <v>843.6</v>
      </c>
      <c r="Z136" s="426">
        <v>420</v>
      </c>
      <c r="AA136" s="429">
        <f t="shared" si="23"/>
        <v>0.42</v>
      </c>
      <c r="AB136" s="435">
        <v>33</v>
      </c>
      <c r="AC136" s="432">
        <f t="shared" si="29"/>
        <v>183.15</v>
      </c>
      <c r="AF136" s="426">
        <v>420</v>
      </c>
      <c r="AG136" s="429">
        <f t="shared" si="24"/>
        <v>0.42</v>
      </c>
      <c r="AH136" s="435">
        <v>100</v>
      </c>
      <c r="AI136" s="432">
        <f t="shared" si="30"/>
        <v>555</v>
      </c>
    </row>
    <row r="137" spans="8:35">
      <c r="H137" s="404">
        <v>440</v>
      </c>
      <c r="I137" s="405">
        <f t="shared" si="20"/>
        <v>0.44</v>
      </c>
      <c r="J137" s="406">
        <v>57</v>
      </c>
      <c r="K137" s="407">
        <f t="shared" si="26"/>
        <v>316.34999999999997</v>
      </c>
      <c r="N137" s="426">
        <v>440</v>
      </c>
      <c r="O137" s="429">
        <f t="shared" si="21"/>
        <v>0.44</v>
      </c>
      <c r="P137" s="512">
        <v>153</v>
      </c>
      <c r="Q137" s="429">
        <f t="shared" si="27"/>
        <v>849.15</v>
      </c>
      <c r="Z137" s="426">
        <v>440</v>
      </c>
      <c r="AA137" s="429">
        <f t="shared" si="23"/>
        <v>0.44</v>
      </c>
      <c r="AB137" s="435">
        <v>34</v>
      </c>
      <c r="AC137" s="432">
        <f t="shared" si="29"/>
        <v>188.7</v>
      </c>
      <c r="AF137" s="426">
        <v>440</v>
      </c>
      <c r="AG137" s="429">
        <f t="shared" si="24"/>
        <v>0.44</v>
      </c>
      <c r="AH137" s="435">
        <v>101</v>
      </c>
      <c r="AI137" s="432">
        <f t="shared" si="30"/>
        <v>560.54999999999995</v>
      </c>
    </row>
    <row r="138" spans="8:35">
      <c r="H138" s="404">
        <v>460</v>
      </c>
      <c r="I138" s="405">
        <f t="shared" si="20"/>
        <v>0.46</v>
      </c>
      <c r="J138" s="406">
        <v>58</v>
      </c>
      <c r="K138" s="407">
        <f t="shared" si="26"/>
        <v>321.89999999999998</v>
      </c>
      <c r="N138" s="426">
        <v>460</v>
      </c>
      <c r="O138" s="429">
        <f t="shared" si="21"/>
        <v>0.46</v>
      </c>
      <c r="P138" s="512">
        <v>154</v>
      </c>
      <c r="Q138" s="429">
        <f t="shared" si="27"/>
        <v>854.69999999999993</v>
      </c>
      <c r="Z138" s="426">
        <v>460</v>
      </c>
      <c r="AA138" s="429">
        <f t="shared" si="23"/>
        <v>0.46</v>
      </c>
      <c r="AB138" s="435">
        <v>35</v>
      </c>
      <c r="AC138" s="432">
        <f t="shared" si="29"/>
        <v>194.25</v>
      </c>
      <c r="AF138" s="426">
        <v>460</v>
      </c>
      <c r="AG138" s="429">
        <f t="shared" si="24"/>
        <v>0.46</v>
      </c>
      <c r="AH138" s="435">
        <v>103</v>
      </c>
      <c r="AI138" s="432">
        <f t="shared" si="30"/>
        <v>571.65</v>
      </c>
    </row>
    <row r="139" spans="8:35">
      <c r="H139" s="404">
        <v>480</v>
      </c>
      <c r="I139" s="405">
        <f t="shared" si="20"/>
        <v>0.48</v>
      </c>
      <c r="J139" s="406">
        <v>58</v>
      </c>
      <c r="K139" s="407">
        <f t="shared" si="26"/>
        <v>321.89999999999998</v>
      </c>
      <c r="N139" s="426">
        <v>480</v>
      </c>
      <c r="O139" s="429">
        <f t="shared" si="21"/>
        <v>0.48</v>
      </c>
      <c r="P139" s="512">
        <v>154</v>
      </c>
      <c r="Q139" s="429">
        <f t="shared" si="27"/>
        <v>854.69999999999993</v>
      </c>
      <c r="Z139" s="426">
        <v>480</v>
      </c>
      <c r="AA139" s="429">
        <f t="shared" si="23"/>
        <v>0.48</v>
      </c>
      <c r="AB139" s="435">
        <v>35</v>
      </c>
      <c r="AC139" s="432">
        <f t="shared" si="29"/>
        <v>194.25</v>
      </c>
      <c r="AF139" s="426">
        <v>480</v>
      </c>
      <c r="AG139" s="429">
        <f t="shared" si="24"/>
        <v>0.48</v>
      </c>
      <c r="AH139" s="435">
        <v>104</v>
      </c>
      <c r="AI139" s="432">
        <f t="shared" si="30"/>
        <v>577.19999999999993</v>
      </c>
    </row>
    <row r="140" spans="8:35" ht="15.75" thickBot="1">
      <c r="H140" s="408">
        <v>500</v>
      </c>
      <c r="I140" s="409">
        <f t="shared" si="20"/>
        <v>0.5</v>
      </c>
      <c r="J140" s="410">
        <v>57</v>
      </c>
      <c r="K140" s="411">
        <f t="shared" si="26"/>
        <v>316.34999999999997</v>
      </c>
      <c r="N140" s="426">
        <v>500</v>
      </c>
      <c r="O140" s="429">
        <f t="shared" si="21"/>
        <v>0.5</v>
      </c>
      <c r="P140" s="512">
        <v>155</v>
      </c>
      <c r="Q140" s="429">
        <f t="shared" si="27"/>
        <v>860.25</v>
      </c>
      <c r="Z140" s="427">
        <v>500</v>
      </c>
      <c r="AA140" s="430">
        <f t="shared" si="23"/>
        <v>0.5</v>
      </c>
      <c r="AB140" s="436">
        <v>35</v>
      </c>
      <c r="AC140" s="433">
        <f t="shared" si="29"/>
        <v>194.25</v>
      </c>
      <c r="AF140" s="426">
        <v>500</v>
      </c>
      <c r="AG140" s="429">
        <f t="shared" si="24"/>
        <v>0.5</v>
      </c>
      <c r="AH140" s="435">
        <v>105</v>
      </c>
      <c r="AI140" s="432">
        <f t="shared" si="30"/>
        <v>582.75</v>
      </c>
    </row>
    <row r="141" spans="8:35">
      <c r="N141" s="426">
        <v>520</v>
      </c>
      <c r="O141" s="429">
        <f t="shared" si="21"/>
        <v>0.52</v>
      </c>
      <c r="P141" s="512">
        <v>155</v>
      </c>
      <c r="Q141" s="429">
        <f>P141*$C$9</f>
        <v>860.25</v>
      </c>
      <c r="AF141" s="426">
        <v>520</v>
      </c>
      <c r="AG141" s="429">
        <f t="shared" si="24"/>
        <v>0.52</v>
      </c>
      <c r="AH141" s="435">
        <v>106</v>
      </c>
      <c r="AI141" s="432">
        <f>AH141*$C$9</f>
        <v>588.29999999999995</v>
      </c>
    </row>
    <row r="142" spans="8:35">
      <c r="N142" s="426">
        <v>540</v>
      </c>
      <c r="O142" s="429">
        <f t="shared" si="21"/>
        <v>0.54</v>
      </c>
      <c r="P142" s="512">
        <v>156</v>
      </c>
      <c r="Q142" s="429">
        <f>P142*$C$9</f>
        <v>865.8</v>
      </c>
      <c r="AF142" s="426">
        <v>540</v>
      </c>
      <c r="AG142" s="429">
        <f t="shared" si="24"/>
        <v>0.54</v>
      </c>
      <c r="AH142" s="435">
        <v>107</v>
      </c>
      <c r="AI142" s="432">
        <f>AH142*$C$9</f>
        <v>593.85</v>
      </c>
    </row>
    <row r="143" spans="8:35">
      <c r="N143" s="426">
        <v>550</v>
      </c>
      <c r="O143" s="429">
        <f t="shared" si="21"/>
        <v>0.55000000000000004</v>
      </c>
      <c r="P143" s="512">
        <v>156</v>
      </c>
      <c r="Q143" s="429">
        <f>P143*$C$9</f>
        <v>865.8</v>
      </c>
      <c r="AF143" s="426">
        <v>550</v>
      </c>
      <c r="AG143" s="429">
        <f t="shared" si="24"/>
        <v>0.55000000000000004</v>
      </c>
      <c r="AH143" s="435">
        <v>107</v>
      </c>
      <c r="AI143" s="432">
        <f>AH143*$C$9</f>
        <v>593.85</v>
      </c>
    </row>
    <row r="144" spans="8:35">
      <c r="N144" s="426">
        <v>560</v>
      </c>
      <c r="O144" s="429">
        <f t="shared" si="21"/>
        <v>0.56000000000000005</v>
      </c>
      <c r="P144" s="512">
        <v>157</v>
      </c>
      <c r="Q144" s="429">
        <f t="shared" ref="Q144:Q171" si="31">P144*$C$9</f>
        <v>871.35</v>
      </c>
      <c r="AF144" s="426">
        <v>560</v>
      </c>
      <c r="AG144" s="429">
        <f t="shared" si="24"/>
        <v>0.56000000000000005</v>
      </c>
      <c r="AH144" s="435">
        <v>108</v>
      </c>
      <c r="AI144" s="432">
        <f t="shared" ref="AI144:AI208" si="32">AH144*$C$9</f>
        <v>599.4</v>
      </c>
    </row>
    <row r="145" spans="14:35">
      <c r="N145" s="426">
        <v>580</v>
      </c>
      <c r="O145" s="429">
        <f t="shared" si="21"/>
        <v>0.57999999999999996</v>
      </c>
      <c r="P145" s="512">
        <v>157</v>
      </c>
      <c r="Q145" s="429">
        <f t="shared" si="31"/>
        <v>871.35</v>
      </c>
      <c r="AF145" s="426">
        <v>580</v>
      </c>
      <c r="AG145" s="429">
        <f t="shared" si="24"/>
        <v>0.57999999999999996</v>
      </c>
      <c r="AH145" s="435">
        <v>109</v>
      </c>
      <c r="AI145" s="432">
        <f t="shared" si="32"/>
        <v>604.94999999999993</v>
      </c>
    </row>
    <row r="146" spans="14:35">
      <c r="N146" s="426">
        <v>600</v>
      </c>
      <c r="O146" s="429">
        <f t="shared" si="21"/>
        <v>0.6</v>
      </c>
      <c r="P146" s="512">
        <v>158</v>
      </c>
      <c r="Q146" s="429">
        <f t="shared" si="31"/>
        <v>876.9</v>
      </c>
      <c r="AF146" s="426">
        <v>600</v>
      </c>
      <c r="AG146" s="429">
        <f t="shared" si="24"/>
        <v>0.6</v>
      </c>
      <c r="AH146" s="435">
        <v>110</v>
      </c>
      <c r="AI146" s="432">
        <f t="shared" si="32"/>
        <v>610.5</v>
      </c>
    </row>
    <row r="147" spans="14:35">
      <c r="N147" s="426">
        <v>620</v>
      </c>
      <c r="O147" s="429">
        <f t="shared" si="21"/>
        <v>0.62</v>
      </c>
      <c r="P147" s="512">
        <v>158</v>
      </c>
      <c r="Q147" s="429">
        <f t="shared" si="31"/>
        <v>876.9</v>
      </c>
      <c r="AF147" s="426">
        <v>620</v>
      </c>
      <c r="AG147" s="429">
        <f t="shared" si="24"/>
        <v>0.62</v>
      </c>
      <c r="AH147" s="435">
        <v>111</v>
      </c>
      <c r="AI147" s="432">
        <f t="shared" si="32"/>
        <v>616.04999999999995</v>
      </c>
    </row>
    <row r="148" spans="14:35">
      <c r="N148" s="426">
        <v>640</v>
      </c>
      <c r="O148" s="429">
        <f t="shared" si="21"/>
        <v>0.64</v>
      </c>
      <c r="P148" s="512">
        <v>158</v>
      </c>
      <c r="Q148" s="429">
        <f t="shared" si="31"/>
        <v>876.9</v>
      </c>
      <c r="AF148" s="426">
        <v>640</v>
      </c>
      <c r="AG148" s="429">
        <f t="shared" si="24"/>
        <v>0.64</v>
      </c>
      <c r="AH148" s="435">
        <v>112</v>
      </c>
      <c r="AI148" s="432">
        <f t="shared" si="32"/>
        <v>621.6</v>
      </c>
    </row>
    <row r="149" spans="14:35">
      <c r="N149" s="426">
        <v>650</v>
      </c>
      <c r="O149" s="429">
        <f t="shared" si="21"/>
        <v>0.65</v>
      </c>
      <c r="P149" s="512">
        <v>159</v>
      </c>
      <c r="Q149" s="429">
        <f t="shared" si="31"/>
        <v>882.44999999999993</v>
      </c>
      <c r="AF149" s="426">
        <v>650</v>
      </c>
      <c r="AG149" s="429">
        <f t="shared" si="24"/>
        <v>0.65</v>
      </c>
      <c r="AH149" s="435">
        <v>112</v>
      </c>
      <c r="AI149" s="432">
        <f t="shared" si="32"/>
        <v>621.6</v>
      </c>
    </row>
    <row r="150" spans="14:35">
      <c r="N150" s="426">
        <v>660</v>
      </c>
      <c r="O150" s="429">
        <f t="shared" si="21"/>
        <v>0.66</v>
      </c>
      <c r="P150" s="512">
        <v>159</v>
      </c>
      <c r="Q150" s="429">
        <f t="shared" si="31"/>
        <v>882.44999999999993</v>
      </c>
      <c r="AF150" s="426">
        <v>660</v>
      </c>
      <c r="AG150" s="429">
        <f t="shared" si="24"/>
        <v>0.66</v>
      </c>
      <c r="AH150" s="435">
        <v>112</v>
      </c>
      <c r="AI150" s="432">
        <f t="shared" si="32"/>
        <v>621.6</v>
      </c>
    </row>
    <row r="151" spans="14:35">
      <c r="N151" s="426">
        <v>680</v>
      </c>
      <c r="O151" s="429">
        <f t="shared" si="21"/>
        <v>0.68</v>
      </c>
      <c r="P151" s="512">
        <v>160</v>
      </c>
      <c r="Q151" s="429">
        <f t="shared" si="31"/>
        <v>888</v>
      </c>
      <c r="AF151" s="426">
        <v>680</v>
      </c>
      <c r="AG151" s="429">
        <f t="shared" si="24"/>
        <v>0.68</v>
      </c>
      <c r="AH151" s="435">
        <v>112</v>
      </c>
      <c r="AI151" s="432">
        <f t="shared" si="32"/>
        <v>621.6</v>
      </c>
    </row>
    <row r="152" spans="14:35">
      <c r="N152" s="426">
        <v>700</v>
      </c>
      <c r="O152" s="429">
        <f t="shared" si="21"/>
        <v>0.70000000000000007</v>
      </c>
      <c r="P152" s="512">
        <v>160</v>
      </c>
      <c r="Q152" s="429">
        <f t="shared" si="31"/>
        <v>888</v>
      </c>
      <c r="AF152" s="426">
        <v>700</v>
      </c>
      <c r="AG152" s="429">
        <f t="shared" si="24"/>
        <v>0.70000000000000007</v>
      </c>
      <c r="AH152" s="435">
        <v>113</v>
      </c>
      <c r="AI152" s="432">
        <f t="shared" si="32"/>
        <v>627.15</v>
      </c>
    </row>
    <row r="153" spans="14:35" hidden="1">
      <c r="N153" s="426">
        <v>720</v>
      </c>
      <c r="O153" s="429">
        <f t="shared" si="21"/>
        <v>0.72</v>
      </c>
      <c r="P153" s="512">
        <v>163</v>
      </c>
      <c r="Q153" s="429">
        <f t="shared" si="31"/>
        <v>904.65</v>
      </c>
      <c r="AF153" s="426">
        <v>720</v>
      </c>
      <c r="AG153" s="429">
        <f t="shared" si="24"/>
        <v>0.72</v>
      </c>
      <c r="AH153" s="435">
        <v>114</v>
      </c>
      <c r="AI153" s="432">
        <f t="shared" si="32"/>
        <v>632.69999999999993</v>
      </c>
    </row>
    <row r="154" spans="14:35" hidden="1">
      <c r="N154" s="426">
        <v>740</v>
      </c>
      <c r="O154" s="429">
        <f t="shared" si="21"/>
        <v>0.74</v>
      </c>
      <c r="P154" s="512">
        <v>165</v>
      </c>
      <c r="Q154" s="429">
        <f t="shared" si="31"/>
        <v>915.75</v>
      </c>
      <c r="AF154" s="426">
        <v>740</v>
      </c>
      <c r="AG154" s="429">
        <f t="shared" si="24"/>
        <v>0.74</v>
      </c>
      <c r="AH154" s="435">
        <v>114</v>
      </c>
      <c r="AI154" s="432">
        <f t="shared" si="32"/>
        <v>632.69999999999993</v>
      </c>
    </row>
    <row r="155" spans="14:35">
      <c r="N155" s="426">
        <v>750</v>
      </c>
      <c r="O155" s="429">
        <f t="shared" si="21"/>
        <v>0.75</v>
      </c>
      <c r="P155" s="512">
        <v>161</v>
      </c>
      <c r="Q155" s="429">
        <f t="shared" si="31"/>
        <v>893.55</v>
      </c>
      <c r="AF155" s="426">
        <v>750</v>
      </c>
      <c r="AG155" s="429">
        <f t="shared" si="24"/>
        <v>0.75</v>
      </c>
      <c r="AH155" s="435">
        <v>114</v>
      </c>
      <c r="AI155" s="432">
        <f t="shared" si="32"/>
        <v>632.69999999999993</v>
      </c>
    </row>
    <row r="156" spans="14:35">
      <c r="N156" s="426">
        <v>760</v>
      </c>
      <c r="O156" s="429">
        <f t="shared" si="21"/>
        <v>0.76</v>
      </c>
      <c r="P156" s="512">
        <v>161</v>
      </c>
      <c r="Q156" s="429">
        <f t="shared" si="31"/>
        <v>893.55</v>
      </c>
      <c r="AF156" s="426">
        <v>760</v>
      </c>
      <c r="AG156" s="429">
        <f t="shared" si="24"/>
        <v>0.76</v>
      </c>
      <c r="AH156" s="435">
        <v>115</v>
      </c>
      <c r="AI156" s="432">
        <f t="shared" si="32"/>
        <v>638.25</v>
      </c>
    </row>
    <row r="157" spans="14:35">
      <c r="N157" s="426">
        <v>780</v>
      </c>
      <c r="O157" s="429">
        <f t="shared" si="21"/>
        <v>0.78</v>
      </c>
      <c r="P157" s="512">
        <v>161</v>
      </c>
      <c r="Q157" s="429">
        <f t="shared" si="31"/>
        <v>893.55</v>
      </c>
      <c r="AF157" s="426">
        <v>780</v>
      </c>
      <c r="AG157" s="429">
        <f t="shared" si="24"/>
        <v>0.78</v>
      </c>
      <c r="AH157" s="435">
        <v>115</v>
      </c>
      <c r="AI157" s="432">
        <f t="shared" si="32"/>
        <v>638.25</v>
      </c>
    </row>
    <row r="158" spans="14:35">
      <c r="N158" s="426">
        <v>800</v>
      </c>
      <c r="O158" s="429">
        <f t="shared" si="21"/>
        <v>0.8</v>
      </c>
      <c r="P158" s="512">
        <v>162</v>
      </c>
      <c r="Q158" s="429">
        <f t="shared" si="31"/>
        <v>899.1</v>
      </c>
      <c r="AF158" s="426">
        <v>800</v>
      </c>
      <c r="AG158" s="429">
        <f t="shared" si="24"/>
        <v>0.8</v>
      </c>
      <c r="AH158" s="435">
        <v>116</v>
      </c>
      <c r="AI158" s="432">
        <f t="shared" si="32"/>
        <v>643.79999999999995</v>
      </c>
    </row>
    <row r="159" spans="14:35">
      <c r="N159" s="426">
        <v>820</v>
      </c>
      <c r="O159" s="429">
        <f t="shared" si="21"/>
        <v>0.82000000000000006</v>
      </c>
      <c r="P159" s="512">
        <v>162</v>
      </c>
      <c r="Q159" s="429">
        <f t="shared" si="31"/>
        <v>899.1</v>
      </c>
      <c r="AF159" s="426">
        <v>820</v>
      </c>
      <c r="AG159" s="429">
        <f t="shared" si="24"/>
        <v>0.82000000000000006</v>
      </c>
      <c r="AH159" s="435">
        <v>116</v>
      </c>
      <c r="AI159" s="432">
        <f t="shared" si="32"/>
        <v>643.79999999999995</v>
      </c>
    </row>
    <row r="160" spans="14:35">
      <c r="N160" s="426">
        <v>840</v>
      </c>
      <c r="O160" s="429">
        <f t="shared" si="21"/>
        <v>0.84</v>
      </c>
      <c r="P160" s="512">
        <v>162</v>
      </c>
      <c r="Q160" s="429">
        <f t="shared" si="31"/>
        <v>899.1</v>
      </c>
      <c r="AF160" s="426">
        <v>840</v>
      </c>
      <c r="AG160" s="429">
        <f t="shared" si="24"/>
        <v>0.84</v>
      </c>
      <c r="AH160" s="435">
        <v>117</v>
      </c>
      <c r="AI160" s="432">
        <f t="shared" si="32"/>
        <v>649.35</v>
      </c>
    </row>
    <row r="161" spans="14:35">
      <c r="N161" s="426">
        <v>850</v>
      </c>
      <c r="O161" s="429">
        <f t="shared" si="21"/>
        <v>0.85</v>
      </c>
      <c r="P161" s="512">
        <v>162</v>
      </c>
      <c r="Q161" s="429">
        <f t="shared" si="31"/>
        <v>899.1</v>
      </c>
      <c r="AF161" s="426">
        <v>850</v>
      </c>
      <c r="AG161" s="429">
        <f t="shared" si="24"/>
        <v>0.85</v>
      </c>
      <c r="AH161" s="435">
        <v>117</v>
      </c>
      <c r="AI161" s="432">
        <f t="shared" si="32"/>
        <v>649.35</v>
      </c>
    </row>
    <row r="162" spans="14:35">
      <c r="N162" s="426">
        <v>860</v>
      </c>
      <c r="O162" s="429">
        <f t="shared" si="21"/>
        <v>0.86</v>
      </c>
      <c r="P162" s="512">
        <v>163</v>
      </c>
      <c r="Q162" s="429">
        <f t="shared" si="31"/>
        <v>904.65</v>
      </c>
      <c r="AF162" s="426">
        <v>860</v>
      </c>
      <c r="AG162" s="429">
        <f t="shared" si="24"/>
        <v>0.86</v>
      </c>
      <c r="AH162" s="435">
        <v>117</v>
      </c>
      <c r="AI162" s="432">
        <f t="shared" si="32"/>
        <v>649.35</v>
      </c>
    </row>
    <row r="163" spans="14:35">
      <c r="N163" s="426">
        <v>880</v>
      </c>
      <c r="O163" s="429">
        <f t="shared" si="21"/>
        <v>0.88</v>
      </c>
      <c r="P163" s="512">
        <v>163</v>
      </c>
      <c r="Q163" s="429">
        <f t="shared" si="31"/>
        <v>904.65</v>
      </c>
      <c r="AF163" s="426">
        <v>880</v>
      </c>
      <c r="AG163" s="429">
        <f t="shared" si="24"/>
        <v>0.88</v>
      </c>
      <c r="AH163" s="435">
        <v>118</v>
      </c>
      <c r="AI163" s="432">
        <f t="shared" si="32"/>
        <v>654.9</v>
      </c>
    </row>
    <row r="164" spans="14:35">
      <c r="N164" s="426">
        <v>900</v>
      </c>
      <c r="O164" s="429">
        <f t="shared" si="21"/>
        <v>0.9</v>
      </c>
      <c r="P164" s="512">
        <v>163</v>
      </c>
      <c r="Q164" s="429">
        <f t="shared" si="31"/>
        <v>904.65</v>
      </c>
      <c r="AF164" s="426">
        <v>900</v>
      </c>
      <c r="AG164" s="429">
        <f t="shared" si="24"/>
        <v>0.9</v>
      </c>
      <c r="AH164" s="435">
        <v>118</v>
      </c>
      <c r="AI164" s="432">
        <f t="shared" si="32"/>
        <v>654.9</v>
      </c>
    </row>
    <row r="165" spans="14:35">
      <c r="N165" s="426">
        <v>920</v>
      </c>
      <c r="O165" s="429">
        <f t="shared" si="21"/>
        <v>0.92</v>
      </c>
      <c r="P165" s="512">
        <v>163</v>
      </c>
      <c r="Q165" s="429">
        <f t="shared" si="31"/>
        <v>904.65</v>
      </c>
      <c r="AF165" s="426">
        <v>920</v>
      </c>
      <c r="AG165" s="429">
        <f t="shared" si="24"/>
        <v>0.92</v>
      </c>
      <c r="AH165" s="435">
        <v>118</v>
      </c>
      <c r="AI165" s="432">
        <f t="shared" si="32"/>
        <v>654.9</v>
      </c>
    </row>
    <row r="166" spans="14:35">
      <c r="N166" s="426">
        <v>940</v>
      </c>
      <c r="O166" s="429">
        <f t="shared" si="21"/>
        <v>0.94000000000000006</v>
      </c>
      <c r="P166" s="512">
        <v>164</v>
      </c>
      <c r="Q166" s="429">
        <f t="shared" si="31"/>
        <v>910.19999999999993</v>
      </c>
      <c r="AF166" s="426">
        <v>940</v>
      </c>
      <c r="AG166" s="429">
        <f t="shared" si="24"/>
        <v>0.94000000000000006</v>
      </c>
      <c r="AH166" s="435">
        <v>119</v>
      </c>
      <c r="AI166" s="432">
        <f t="shared" si="32"/>
        <v>660.44999999999993</v>
      </c>
    </row>
    <row r="167" spans="14:35">
      <c r="N167" s="426">
        <v>950</v>
      </c>
      <c r="O167" s="429">
        <f t="shared" si="21"/>
        <v>0.95000000000000007</v>
      </c>
      <c r="P167" s="512">
        <v>164</v>
      </c>
      <c r="Q167" s="429">
        <f t="shared" si="31"/>
        <v>910.19999999999993</v>
      </c>
      <c r="AF167" s="426">
        <v>950</v>
      </c>
      <c r="AG167" s="429">
        <f t="shared" si="24"/>
        <v>0.95000000000000007</v>
      </c>
      <c r="AH167" s="435">
        <v>119</v>
      </c>
      <c r="AI167" s="432">
        <f t="shared" si="32"/>
        <v>660.44999999999993</v>
      </c>
    </row>
    <row r="168" spans="14:35">
      <c r="N168" s="426">
        <v>960</v>
      </c>
      <c r="O168" s="429">
        <f t="shared" si="21"/>
        <v>0.96</v>
      </c>
      <c r="P168" s="512">
        <v>164</v>
      </c>
      <c r="Q168" s="429">
        <f t="shared" si="31"/>
        <v>910.19999999999993</v>
      </c>
      <c r="AF168" s="426">
        <v>960</v>
      </c>
      <c r="AG168" s="429">
        <f t="shared" si="24"/>
        <v>0.96</v>
      </c>
      <c r="AH168" s="435">
        <v>119</v>
      </c>
      <c r="AI168" s="432">
        <f t="shared" si="32"/>
        <v>660.44999999999993</v>
      </c>
    </row>
    <row r="169" spans="14:35">
      <c r="N169" s="426">
        <v>980</v>
      </c>
      <c r="O169" s="429">
        <f t="shared" si="21"/>
        <v>0.98</v>
      </c>
      <c r="P169" s="512">
        <v>165</v>
      </c>
      <c r="Q169" s="429">
        <f t="shared" si="31"/>
        <v>915.75</v>
      </c>
      <c r="AF169" s="426">
        <v>980</v>
      </c>
      <c r="AG169" s="429">
        <f t="shared" si="24"/>
        <v>0.98</v>
      </c>
      <c r="AH169" s="435">
        <v>120</v>
      </c>
      <c r="AI169" s="432">
        <f t="shared" si="32"/>
        <v>666</v>
      </c>
    </row>
    <row r="170" spans="14:35">
      <c r="N170" s="426">
        <v>1000</v>
      </c>
      <c r="O170" s="429">
        <f t="shared" si="21"/>
        <v>1</v>
      </c>
      <c r="P170" s="512">
        <v>165</v>
      </c>
      <c r="Q170" s="429">
        <f t="shared" si="31"/>
        <v>915.75</v>
      </c>
      <c r="AF170" s="426">
        <v>1000</v>
      </c>
      <c r="AG170" s="429">
        <f t="shared" si="24"/>
        <v>1</v>
      </c>
      <c r="AH170" s="435">
        <v>120</v>
      </c>
      <c r="AI170" s="432">
        <f t="shared" si="32"/>
        <v>666</v>
      </c>
    </row>
    <row r="171" spans="14:35" ht="15.75" thickBot="1">
      <c r="N171" s="427">
        <v>1020</v>
      </c>
      <c r="O171" s="430">
        <f t="shared" si="21"/>
        <v>1.02</v>
      </c>
      <c r="P171" s="513">
        <v>165</v>
      </c>
      <c r="Q171" s="430">
        <f t="shared" si="31"/>
        <v>915.75</v>
      </c>
      <c r="AF171" s="426">
        <v>1020</v>
      </c>
      <c r="AG171" s="429">
        <f t="shared" si="24"/>
        <v>1.02</v>
      </c>
      <c r="AH171" s="435">
        <v>120</v>
      </c>
      <c r="AI171" s="432">
        <f t="shared" si="32"/>
        <v>666</v>
      </c>
    </row>
    <row r="172" spans="14:35">
      <c r="AF172" s="426">
        <v>1040</v>
      </c>
      <c r="AG172" s="429">
        <f t="shared" si="24"/>
        <v>1.04</v>
      </c>
      <c r="AH172" s="435">
        <v>120</v>
      </c>
      <c r="AI172" s="432">
        <f t="shared" si="32"/>
        <v>666</v>
      </c>
    </row>
    <row r="173" spans="14:35">
      <c r="AF173" s="426">
        <v>1050</v>
      </c>
      <c r="AG173" s="429">
        <f t="shared" si="24"/>
        <v>1.05</v>
      </c>
      <c r="AH173" s="435">
        <v>120</v>
      </c>
      <c r="AI173" s="432">
        <f t="shared" si="32"/>
        <v>666</v>
      </c>
    </row>
    <row r="174" spans="14:35">
      <c r="AF174" s="426">
        <v>1060</v>
      </c>
      <c r="AG174" s="429">
        <f t="shared" ref="AG174:AG208" si="33">AF174*$C$10</f>
        <v>1.06</v>
      </c>
      <c r="AH174" s="435">
        <v>121</v>
      </c>
      <c r="AI174" s="432">
        <f t="shared" si="32"/>
        <v>671.55</v>
      </c>
    </row>
    <row r="175" spans="14:35">
      <c r="AF175" s="426">
        <v>1080</v>
      </c>
      <c r="AG175" s="429">
        <f t="shared" si="33"/>
        <v>1.08</v>
      </c>
      <c r="AH175" s="435">
        <v>121</v>
      </c>
      <c r="AI175" s="432">
        <f t="shared" si="32"/>
        <v>671.55</v>
      </c>
    </row>
    <row r="176" spans="14:35">
      <c r="AF176" s="426">
        <v>1100</v>
      </c>
      <c r="AG176" s="429">
        <f t="shared" si="33"/>
        <v>1.1000000000000001</v>
      </c>
      <c r="AH176" s="435">
        <v>121</v>
      </c>
      <c r="AI176" s="432">
        <f t="shared" si="32"/>
        <v>671.55</v>
      </c>
    </row>
    <row r="177" spans="10:35">
      <c r="AF177" s="426">
        <v>1120</v>
      </c>
      <c r="AG177" s="429">
        <f t="shared" si="33"/>
        <v>1.1200000000000001</v>
      </c>
      <c r="AH177" s="435">
        <v>121</v>
      </c>
      <c r="AI177" s="432">
        <f t="shared" si="32"/>
        <v>671.55</v>
      </c>
    </row>
    <row r="178" spans="10:35">
      <c r="AF178" s="426">
        <v>1140</v>
      </c>
      <c r="AG178" s="429">
        <f t="shared" si="33"/>
        <v>1.1400000000000001</v>
      </c>
      <c r="AH178" s="435">
        <v>122</v>
      </c>
      <c r="AI178" s="432">
        <f t="shared" si="32"/>
        <v>677.1</v>
      </c>
    </row>
    <row r="179" spans="10:35">
      <c r="AF179" s="426">
        <v>1150</v>
      </c>
      <c r="AG179" s="429">
        <f t="shared" si="33"/>
        <v>1.1500000000000001</v>
      </c>
      <c r="AH179" s="435">
        <v>122</v>
      </c>
      <c r="AI179" s="432">
        <f t="shared" si="32"/>
        <v>677.1</v>
      </c>
    </row>
    <row r="180" spans="10:35">
      <c r="AF180" s="426">
        <v>1160</v>
      </c>
      <c r="AG180" s="429">
        <f t="shared" si="33"/>
        <v>1.1599999999999999</v>
      </c>
      <c r="AH180" s="435">
        <v>122</v>
      </c>
      <c r="AI180" s="432">
        <f t="shared" si="32"/>
        <v>677.1</v>
      </c>
    </row>
    <row r="181" spans="10:35">
      <c r="AF181" s="426">
        <v>1180</v>
      </c>
      <c r="AG181" s="429">
        <f t="shared" si="33"/>
        <v>1.18</v>
      </c>
      <c r="AH181" s="435">
        <v>122</v>
      </c>
      <c r="AI181" s="432">
        <f t="shared" si="32"/>
        <v>677.1</v>
      </c>
    </row>
    <row r="182" spans="10:35">
      <c r="AF182" s="426">
        <v>1200</v>
      </c>
      <c r="AG182" s="429">
        <f t="shared" si="33"/>
        <v>1.2</v>
      </c>
      <c r="AH182" s="435">
        <v>123</v>
      </c>
      <c r="AI182" s="432">
        <f t="shared" si="32"/>
        <v>682.65</v>
      </c>
    </row>
    <row r="183" spans="10:35">
      <c r="AF183" s="426">
        <v>1220</v>
      </c>
      <c r="AG183" s="429">
        <f t="shared" si="33"/>
        <v>1.22</v>
      </c>
      <c r="AH183" s="435">
        <v>123</v>
      </c>
      <c r="AI183" s="432">
        <f t="shared" si="32"/>
        <v>682.65</v>
      </c>
    </row>
    <row r="184" spans="10:35">
      <c r="AF184" s="426">
        <v>1240</v>
      </c>
      <c r="AG184" s="429">
        <f t="shared" si="33"/>
        <v>1.24</v>
      </c>
      <c r="AH184" s="435">
        <v>123</v>
      </c>
      <c r="AI184" s="432">
        <f t="shared" si="32"/>
        <v>682.65</v>
      </c>
    </row>
    <row r="185" spans="10:35">
      <c r="AF185" s="426">
        <v>1250</v>
      </c>
      <c r="AG185" s="429">
        <f t="shared" si="33"/>
        <v>1.25</v>
      </c>
      <c r="AH185" s="435">
        <v>124</v>
      </c>
      <c r="AI185" s="432">
        <f t="shared" si="32"/>
        <v>688.19999999999993</v>
      </c>
    </row>
    <row r="186" spans="10:35">
      <c r="AF186" s="426">
        <v>1260</v>
      </c>
      <c r="AG186" s="429">
        <f t="shared" si="33"/>
        <v>1.26</v>
      </c>
      <c r="AH186" s="435">
        <v>124</v>
      </c>
      <c r="AI186" s="432">
        <f t="shared" si="32"/>
        <v>688.19999999999993</v>
      </c>
    </row>
    <row r="187" spans="10:35">
      <c r="AF187" s="426">
        <v>1280</v>
      </c>
      <c r="AG187" s="429">
        <f t="shared" si="33"/>
        <v>1.28</v>
      </c>
      <c r="AH187" s="435">
        <v>124</v>
      </c>
      <c r="AI187" s="432">
        <f t="shared" si="32"/>
        <v>688.19999999999993</v>
      </c>
    </row>
    <row r="188" spans="10:35">
      <c r="J188" t="s">
        <v>339</v>
      </c>
      <c r="AF188" s="426">
        <v>1300</v>
      </c>
      <c r="AG188" s="429">
        <f t="shared" si="33"/>
        <v>1.3</v>
      </c>
      <c r="AH188" s="435">
        <v>125</v>
      </c>
      <c r="AI188" s="432">
        <f t="shared" si="32"/>
        <v>693.75</v>
      </c>
    </row>
    <row r="189" spans="10:35">
      <c r="AF189" s="426">
        <v>1320</v>
      </c>
      <c r="AG189" s="429">
        <f t="shared" si="33"/>
        <v>1.32</v>
      </c>
      <c r="AH189" s="435">
        <v>125</v>
      </c>
      <c r="AI189" s="432">
        <f t="shared" si="32"/>
        <v>693.75</v>
      </c>
    </row>
    <row r="190" spans="10:35">
      <c r="AF190" s="426">
        <v>1340</v>
      </c>
      <c r="AG190" s="429">
        <f t="shared" si="33"/>
        <v>1.34</v>
      </c>
      <c r="AH190" s="435">
        <v>125</v>
      </c>
      <c r="AI190" s="432">
        <f t="shared" si="32"/>
        <v>693.75</v>
      </c>
    </row>
    <row r="191" spans="10:35">
      <c r="AF191" s="426">
        <v>1350</v>
      </c>
      <c r="AG191" s="429">
        <f t="shared" si="33"/>
        <v>1.35</v>
      </c>
      <c r="AH191" s="435">
        <v>125</v>
      </c>
      <c r="AI191" s="432">
        <f t="shared" si="32"/>
        <v>693.75</v>
      </c>
    </row>
    <row r="192" spans="10:35">
      <c r="AF192" s="426">
        <v>1360</v>
      </c>
      <c r="AG192" s="429">
        <f t="shared" si="33"/>
        <v>1.36</v>
      </c>
      <c r="AH192" s="435">
        <v>126</v>
      </c>
      <c r="AI192" s="432">
        <f t="shared" si="32"/>
        <v>699.3</v>
      </c>
    </row>
    <row r="193" spans="32:35">
      <c r="AF193" s="426">
        <v>1380</v>
      </c>
      <c r="AG193" s="429">
        <f t="shared" si="33"/>
        <v>1.3800000000000001</v>
      </c>
      <c r="AH193" s="435">
        <v>126</v>
      </c>
      <c r="AI193" s="432">
        <f t="shared" si="32"/>
        <v>699.3</v>
      </c>
    </row>
    <row r="194" spans="32:35">
      <c r="AF194" s="426">
        <v>1400</v>
      </c>
      <c r="AG194" s="429">
        <f t="shared" si="33"/>
        <v>1.4000000000000001</v>
      </c>
      <c r="AH194" s="435">
        <v>126</v>
      </c>
      <c r="AI194" s="432">
        <f t="shared" si="32"/>
        <v>699.3</v>
      </c>
    </row>
    <row r="195" spans="32:35">
      <c r="AF195" s="426">
        <v>1420</v>
      </c>
      <c r="AG195" s="429">
        <f t="shared" si="33"/>
        <v>1.42</v>
      </c>
      <c r="AH195" s="435">
        <v>127</v>
      </c>
      <c r="AI195" s="432">
        <f t="shared" si="32"/>
        <v>704.85</v>
      </c>
    </row>
    <row r="196" spans="32:35">
      <c r="AF196" s="426">
        <v>1440</v>
      </c>
      <c r="AG196" s="429">
        <f t="shared" si="33"/>
        <v>1.44</v>
      </c>
      <c r="AH196" s="435">
        <v>127</v>
      </c>
      <c r="AI196" s="432">
        <f t="shared" si="32"/>
        <v>704.85</v>
      </c>
    </row>
    <row r="197" spans="32:35">
      <c r="AF197" s="426">
        <v>1450</v>
      </c>
      <c r="AG197" s="429">
        <f t="shared" si="33"/>
        <v>1.45</v>
      </c>
      <c r="AH197" s="435">
        <v>127</v>
      </c>
      <c r="AI197" s="432">
        <f t="shared" si="32"/>
        <v>704.85</v>
      </c>
    </row>
    <row r="198" spans="32:35">
      <c r="AF198" s="426">
        <v>1460</v>
      </c>
      <c r="AG198" s="429">
        <f t="shared" si="33"/>
        <v>1.46</v>
      </c>
      <c r="AH198" s="435">
        <v>127</v>
      </c>
      <c r="AI198" s="432">
        <f t="shared" si="32"/>
        <v>704.85</v>
      </c>
    </row>
    <row r="199" spans="32:35">
      <c r="AF199" s="426">
        <v>1480</v>
      </c>
      <c r="AG199" s="429">
        <f t="shared" si="33"/>
        <v>1.48</v>
      </c>
      <c r="AH199" s="435">
        <v>128</v>
      </c>
      <c r="AI199" s="432">
        <f t="shared" si="32"/>
        <v>710.4</v>
      </c>
    </row>
    <row r="200" spans="32:35">
      <c r="AF200" s="426">
        <v>1500</v>
      </c>
      <c r="AG200" s="429">
        <f t="shared" si="33"/>
        <v>1.5</v>
      </c>
      <c r="AH200" s="435">
        <v>128</v>
      </c>
      <c r="AI200" s="432">
        <f t="shared" si="32"/>
        <v>710.4</v>
      </c>
    </row>
    <row r="201" spans="32:35">
      <c r="AF201" s="426">
        <v>1520</v>
      </c>
      <c r="AG201" s="429">
        <f t="shared" si="33"/>
        <v>1.52</v>
      </c>
      <c r="AH201" s="435">
        <v>128</v>
      </c>
      <c r="AI201" s="432">
        <f t="shared" si="32"/>
        <v>710.4</v>
      </c>
    </row>
    <row r="202" spans="32:35">
      <c r="AF202" s="426">
        <v>1540</v>
      </c>
      <c r="AG202" s="429">
        <f t="shared" si="33"/>
        <v>1.54</v>
      </c>
      <c r="AH202" s="435">
        <v>129</v>
      </c>
      <c r="AI202" s="432">
        <f t="shared" si="32"/>
        <v>715.94999999999993</v>
      </c>
    </row>
    <row r="203" spans="32:35">
      <c r="AF203" s="426">
        <v>1550</v>
      </c>
      <c r="AG203" s="429">
        <f t="shared" si="33"/>
        <v>1.55</v>
      </c>
      <c r="AH203" s="435">
        <v>129</v>
      </c>
      <c r="AI203" s="432">
        <f t="shared" si="32"/>
        <v>715.94999999999993</v>
      </c>
    </row>
    <row r="204" spans="32:35">
      <c r="AF204" s="426">
        <v>1560</v>
      </c>
      <c r="AG204" s="429">
        <f t="shared" si="33"/>
        <v>1.56</v>
      </c>
      <c r="AH204" s="435">
        <v>129</v>
      </c>
      <c r="AI204" s="432">
        <f t="shared" si="32"/>
        <v>715.94999999999993</v>
      </c>
    </row>
    <row r="205" spans="32:35">
      <c r="AF205" s="426">
        <v>1580</v>
      </c>
      <c r="AG205" s="429">
        <f t="shared" si="33"/>
        <v>1.58</v>
      </c>
      <c r="AH205" s="435">
        <v>129</v>
      </c>
      <c r="AI205" s="432">
        <f t="shared" si="32"/>
        <v>715.94999999999993</v>
      </c>
    </row>
    <row r="206" spans="32:35">
      <c r="AF206" s="426">
        <v>1600</v>
      </c>
      <c r="AG206" s="429">
        <f t="shared" si="33"/>
        <v>1.6</v>
      </c>
      <c r="AH206" s="435">
        <v>130</v>
      </c>
      <c r="AI206" s="432">
        <f t="shared" si="32"/>
        <v>721.5</v>
      </c>
    </row>
    <row r="207" spans="32:35">
      <c r="AF207" s="426">
        <v>1620</v>
      </c>
      <c r="AG207" s="429">
        <f t="shared" si="33"/>
        <v>1.62</v>
      </c>
      <c r="AH207" s="435">
        <v>130</v>
      </c>
      <c r="AI207" s="432">
        <f t="shared" si="32"/>
        <v>721.5</v>
      </c>
    </row>
    <row r="208" spans="32:35" ht="15.75" thickBot="1">
      <c r="AF208" s="427">
        <v>1640</v>
      </c>
      <c r="AG208" s="430">
        <f t="shared" si="33"/>
        <v>1.6400000000000001</v>
      </c>
      <c r="AH208" s="436">
        <v>130</v>
      </c>
      <c r="AI208" s="433">
        <f t="shared" si="32"/>
        <v>721.5</v>
      </c>
    </row>
    <row r="209" spans="2:35" ht="15.75" thickBot="1"/>
    <row r="210" spans="2:35" ht="15.75" thickBot="1">
      <c r="B210" s="331" t="s">
        <v>264</v>
      </c>
      <c r="C210" s="394">
        <v>0.16</v>
      </c>
      <c r="D210" s="331" t="s">
        <v>262</v>
      </c>
      <c r="E210" s="394">
        <f>MAX(E115:E123)</f>
        <v>133.19999999999999</v>
      </c>
      <c r="H210" s="331" t="s">
        <v>264</v>
      </c>
      <c r="I210" s="394">
        <v>0.48</v>
      </c>
      <c r="J210" s="331" t="s">
        <v>262</v>
      </c>
      <c r="K210" s="394">
        <f>MAX(K115:K142)</f>
        <v>321.89999999999998</v>
      </c>
      <c r="N210" s="331" t="s">
        <v>264</v>
      </c>
      <c r="O210" s="394">
        <v>1.02</v>
      </c>
      <c r="P210" s="331" t="s">
        <v>262</v>
      </c>
      <c r="Q210" s="394">
        <f>MAX(Q115:Q171)</f>
        <v>915.75</v>
      </c>
      <c r="T210" s="331" t="s">
        <v>264</v>
      </c>
      <c r="U210" s="394">
        <v>0.18</v>
      </c>
      <c r="V210" s="331" t="s">
        <v>262</v>
      </c>
      <c r="W210" s="394">
        <f>MAX(W115:W124)</f>
        <v>61.05</v>
      </c>
      <c r="Z210" s="331" t="s">
        <v>264</v>
      </c>
      <c r="AA210" s="394">
        <v>0.5</v>
      </c>
      <c r="AB210" s="331" t="s">
        <v>262</v>
      </c>
      <c r="AC210" s="394">
        <f>MAX(AC115:AC140)</f>
        <v>194.25</v>
      </c>
      <c r="AF210" s="331" t="s">
        <v>264</v>
      </c>
      <c r="AG210" s="394">
        <v>1.64</v>
      </c>
      <c r="AH210" s="331" t="s">
        <v>262</v>
      </c>
      <c r="AI210" s="394">
        <f>MAX(AI115:AI208)</f>
        <v>721.5</v>
      </c>
    </row>
    <row r="211" spans="2:35" ht="15.75" thickBot="1"/>
    <row r="212" spans="2:35" ht="15.75" thickBot="1">
      <c r="B212" s="185" t="s">
        <v>325</v>
      </c>
      <c r="C212" s="486">
        <f>C210/D108</f>
        <v>0.53333333333333333</v>
      </c>
      <c r="H212" s="185" t="s">
        <v>325</v>
      </c>
      <c r="I212" s="486">
        <f>I210/J108</f>
        <v>0.96</v>
      </c>
      <c r="N212" s="185" t="s">
        <v>325</v>
      </c>
      <c r="O212" s="486">
        <f>O210/P108</f>
        <v>1.2749999999999999</v>
      </c>
      <c r="T212" s="185" t="s">
        <v>325</v>
      </c>
      <c r="U212" s="486">
        <f>U210/V108</f>
        <v>0.6</v>
      </c>
      <c r="Z212" s="185" t="s">
        <v>325</v>
      </c>
      <c r="AA212" s="486">
        <f>AA210/AB108</f>
        <v>1</v>
      </c>
      <c r="AF212" s="185" t="s">
        <v>325</v>
      </c>
      <c r="AG212" s="486">
        <f>AG210/AH108</f>
        <v>2.0499999999999998</v>
      </c>
    </row>
    <row r="216" spans="2:35" ht="15.75" thickBot="1"/>
    <row r="217" spans="2:35">
      <c r="B217" s="667" t="s">
        <v>268</v>
      </c>
      <c r="C217" s="668"/>
      <c r="D217" s="332" t="s">
        <v>271</v>
      </c>
      <c r="E217" s="219" t="s">
        <v>272</v>
      </c>
      <c r="H217" s="667" t="s">
        <v>268</v>
      </c>
      <c r="I217" s="668"/>
      <c r="J217" s="332" t="s">
        <v>271</v>
      </c>
      <c r="K217" s="219" t="s">
        <v>272</v>
      </c>
      <c r="N217" s="667" t="s">
        <v>268</v>
      </c>
      <c r="O217" s="668"/>
      <c r="P217" s="332" t="s">
        <v>271</v>
      </c>
      <c r="Q217" s="219" t="s">
        <v>272</v>
      </c>
      <c r="T217" s="667" t="s">
        <v>268</v>
      </c>
      <c r="U217" s="668"/>
      <c r="V217" s="332" t="s">
        <v>304</v>
      </c>
      <c r="W217" s="219" t="s">
        <v>272</v>
      </c>
      <c r="Z217" s="667" t="s">
        <v>268</v>
      </c>
      <c r="AA217" s="668"/>
      <c r="AB217" s="332" t="s">
        <v>304</v>
      </c>
      <c r="AC217" s="219" t="s">
        <v>272</v>
      </c>
      <c r="AF217" s="667" t="s">
        <v>268</v>
      </c>
      <c r="AG217" s="668"/>
      <c r="AH217" s="332" t="s">
        <v>304</v>
      </c>
      <c r="AI217" s="219" t="s">
        <v>272</v>
      </c>
    </row>
    <row r="218" spans="2:35">
      <c r="B218" s="665" t="s">
        <v>269</v>
      </c>
      <c r="C218" s="666"/>
      <c r="D218" s="8">
        <v>80</v>
      </c>
      <c r="E218" s="221" t="s">
        <v>127</v>
      </c>
      <c r="H218" s="665" t="s">
        <v>269</v>
      </c>
      <c r="I218" s="666"/>
      <c r="J218" s="8">
        <v>80</v>
      </c>
      <c r="K218" s="221" t="s">
        <v>127</v>
      </c>
      <c r="N218" s="665" t="s">
        <v>269</v>
      </c>
      <c r="O218" s="666"/>
      <c r="P218" s="8">
        <v>80</v>
      </c>
      <c r="Q218" s="221" t="s">
        <v>127</v>
      </c>
      <c r="T218" s="665" t="s">
        <v>269</v>
      </c>
      <c r="U218" s="666"/>
      <c r="V218" s="8">
        <v>80</v>
      </c>
      <c r="W218" s="221" t="s">
        <v>127</v>
      </c>
      <c r="Z218" s="665" t="s">
        <v>269</v>
      </c>
      <c r="AA218" s="666"/>
      <c r="AB218" s="8">
        <v>80</v>
      </c>
      <c r="AC218" s="221" t="s">
        <v>127</v>
      </c>
      <c r="AF218" s="665" t="s">
        <v>269</v>
      </c>
      <c r="AG218" s="666"/>
      <c r="AH218" s="8">
        <v>80</v>
      </c>
      <c r="AI218" s="221" t="s">
        <v>127</v>
      </c>
    </row>
    <row r="219" spans="2:35" ht="15.75" thickBot="1">
      <c r="B219" s="663" t="s">
        <v>270</v>
      </c>
      <c r="C219" s="664"/>
      <c r="D219" s="131">
        <v>0.3</v>
      </c>
      <c r="E219" s="224" t="s">
        <v>222</v>
      </c>
      <c r="H219" s="663" t="s">
        <v>270</v>
      </c>
      <c r="I219" s="664"/>
      <c r="J219" s="131">
        <v>0.5</v>
      </c>
      <c r="K219" s="224" t="s">
        <v>222</v>
      </c>
      <c r="N219" s="663" t="s">
        <v>270</v>
      </c>
      <c r="O219" s="664"/>
      <c r="P219" s="131">
        <v>0.8</v>
      </c>
      <c r="Q219" s="224" t="s">
        <v>222</v>
      </c>
      <c r="T219" s="663" t="s">
        <v>270</v>
      </c>
      <c r="U219" s="664"/>
      <c r="V219" s="131">
        <v>0.3</v>
      </c>
      <c r="W219" s="224" t="s">
        <v>222</v>
      </c>
      <c r="Z219" s="663" t="s">
        <v>270</v>
      </c>
      <c r="AA219" s="664"/>
      <c r="AB219" s="131">
        <v>0.5</v>
      </c>
      <c r="AC219" s="224" t="s">
        <v>222</v>
      </c>
      <c r="AF219" s="663" t="s">
        <v>270</v>
      </c>
      <c r="AG219" s="664"/>
      <c r="AH219" s="131">
        <v>0.8</v>
      </c>
      <c r="AI219" s="224" t="s">
        <v>222</v>
      </c>
    </row>
    <row r="220" spans="2:35" ht="15.75" thickBot="1"/>
    <row r="221" spans="2:35">
      <c r="B221" s="217" t="s">
        <v>259</v>
      </c>
      <c r="C221" s="332">
        <v>5.55</v>
      </c>
      <c r="D221" s="219" t="s">
        <v>260</v>
      </c>
      <c r="H221" s="217" t="s">
        <v>259</v>
      </c>
      <c r="I221" s="332">
        <v>5.55</v>
      </c>
      <c r="J221" s="219" t="s">
        <v>260</v>
      </c>
      <c r="N221" s="217" t="s">
        <v>259</v>
      </c>
      <c r="O221" s="332">
        <v>5.55</v>
      </c>
      <c r="P221" s="219" t="s">
        <v>260</v>
      </c>
      <c r="T221" s="217" t="s">
        <v>259</v>
      </c>
      <c r="U221" s="332">
        <v>5.55</v>
      </c>
      <c r="V221" s="219" t="s">
        <v>260</v>
      </c>
      <c r="Z221" s="217" t="s">
        <v>259</v>
      </c>
      <c r="AA221" s="332">
        <v>5.55</v>
      </c>
      <c r="AB221" s="219" t="s">
        <v>260</v>
      </c>
      <c r="AF221" s="217" t="s">
        <v>259</v>
      </c>
      <c r="AG221" s="332">
        <v>5.55</v>
      </c>
      <c r="AH221" s="219" t="s">
        <v>260</v>
      </c>
    </row>
    <row r="222" spans="2:35" ht="15.75" thickBot="1">
      <c r="B222" s="222" t="s">
        <v>261</v>
      </c>
      <c r="C222" s="333">
        <v>1E-3</v>
      </c>
      <c r="D222" s="224" t="s">
        <v>35</v>
      </c>
      <c r="H222" s="222" t="s">
        <v>261</v>
      </c>
      <c r="I222" s="333">
        <v>1E-3</v>
      </c>
      <c r="J222" s="224" t="s">
        <v>35</v>
      </c>
      <c r="N222" s="222" t="s">
        <v>261</v>
      </c>
      <c r="O222" s="333">
        <v>1E-3</v>
      </c>
      <c r="P222" s="224" t="s">
        <v>35</v>
      </c>
      <c r="T222" s="222" t="s">
        <v>261</v>
      </c>
      <c r="U222" s="333">
        <v>1E-3</v>
      </c>
      <c r="V222" s="224" t="s">
        <v>35</v>
      </c>
      <c r="Z222" s="222" t="s">
        <v>261</v>
      </c>
      <c r="AA222" s="333">
        <v>1E-3</v>
      </c>
      <c r="AB222" s="224" t="s">
        <v>35</v>
      </c>
      <c r="AF222" s="222" t="s">
        <v>261</v>
      </c>
      <c r="AG222" s="333">
        <v>1E-3</v>
      </c>
      <c r="AH222" s="224" t="s">
        <v>35</v>
      </c>
    </row>
    <row r="224" spans="2:35" ht="15.75" thickBot="1"/>
    <row r="225" spans="2:35" ht="63.75" customHeight="1" thickBot="1">
      <c r="B225" s="397" t="s">
        <v>178</v>
      </c>
      <c r="C225" s="397" t="s">
        <v>198</v>
      </c>
      <c r="D225" s="397" t="s">
        <v>185</v>
      </c>
      <c r="E225" s="399" t="s">
        <v>263</v>
      </c>
      <c r="H225" s="466" t="s">
        <v>178</v>
      </c>
      <c r="I225" s="466" t="s">
        <v>198</v>
      </c>
      <c r="J225" s="466" t="s">
        <v>185</v>
      </c>
      <c r="K225" s="510" t="s">
        <v>263</v>
      </c>
      <c r="N225" s="466" t="s">
        <v>178</v>
      </c>
      <c r="O225" s="466" t="s">
        <v>198</v>
      </c>
      <c r="P225" s="466" t="s">
        <v>185</v>
      </c>
      <c r="Q225" s="510" t="s">
        <v>263</v>
      </c>
      <c r="T225" s="466" t="s">
        <v>178</v>
      </c>
      <c r="U225" s="466" t="s">
        <v>198</v>
      </c>
      <c r="V225" s="466" t="s">
        <v>185</v>
      </c>
      <c r="W225" s="510" t="s">
        <v>263</v>
      </c>
      <c r="Z225" s="466" t="s">
        <v>178</v>
      </c>
      <c r="AA225" s="466" t="s">
        <v>198</v>
      </c>
      <c r="AB225" s="466" t="s">
        <v>185</v>
      </c>
      <c r="AC225" s="510" t="s">
        <v>263</v>
      </c>
      <c r="AF225" s="397" t="s">
        <v>178</v>
      </c>
      <c r="AG225" s="397" t="s">
        <v>198</v>
      </c>
      <c r="AH225" s="397" t="s">
        <v>185</v>
      </c>
      <c r="AI225" s="399" t="s">
        <v>263</v>
      </c>
    </row>
    <row r="226" spans="2:35">
      <c r="B226" s="422">
        <v>0</v>
      </c>
      <c r="C226" s="325">
        <f t="shared" ref="C226:C237" si="34">B226*$C$10</f>
        <v>0</v>
      </c>
      <c r="D226" s="421">
        <v>0</v>
      </c>
      <c r="E226" s="418">
        <f>D226*$I$9</f>
        <v>0</v>
      </c>
      <c r="H226" s="422">
        <v>0</v>
      </c>
      <c r="I226" s="325">
        <f t="shared" ref="I226:I251" si="35">H226*$C$10</f>
        <v>0</v>
      </c>
      <c r="J226" s="421">
        <v>0</v>
      </c>
      <c r="K226" s="418">
        <f>J226*$I$9</f>
        <v>0</v>
      </c>
      <c r="N226" s="425">
        <v>0</v>
      </c>
      <c r="O226" s="428">
        <f t="shared" ref="O226:O285" si="36">N226*$C$10</f>
        <v>0</v>
      </c>
      <c r="P226" s="434">
        <v>0</v>
      </c>
      <c r="Q226" s="431">
        <f>P226*$I$9</f>
        <v>0</v>
      </c>
      <c r="T226" s="422">
        <v>0</v>
      </c>
      <c r="U226" s="325">
        <f t="shared" ref="U226:U238" si="37">T226*$C$10</f>
        <v>0</v>
      </c>
      <c r="V226" s="421">
        <v>0</v>
      </c>
      <c r="W226" s="418">
        <f>V226*$I$9</f>
        <v>0</v>
      </c>
      <c r="Z226" s="422">
        <v>0</v>
      </c>
      <c r="AA226" s="325">
        <f t="shared" ref="AA226:AA252" si="38">Z226*$C$10</f>
        <v>0</v>
      </c>
      <c r="AB226" s="421">
        <v>0</v>
      </c>
      <c r="AC226" s="418">
        <f>AB226*$I$9</f>
        <v>0</v>
      </c>
      <c r="AF226" s="425">
        <v>0</v>
      </c>
      <c r="AG226" s="428">
        <f t="shared" ref="AG226:AG325" si="39">AF226*$C$10</f>
        <v>0</v>
      </c>
      <c r="AH226" s="434">
        <v>0</v>
      </c>
      <c r="AI226" s="431">
        <f>AH226*$I$9</f>
        <v>0</v>
      </c>
    </row>
    <row r="227" spans="2:35">
      <c r="B227" s="423">
        <v>20</v>
      </c>
      <c r="C227" s="326">
        <f t="shared" si="34"/>
        <v>0.02</v>
      </c>
      <c r="D227" s="366">
        <v>10</v>
      </c>
      <c r="E227" s="419">
        <f t="shared" ref="E227:E237" si="40">D227*$I$9</f>
        <v>55.5</v>
      </c>
      <c r="H227" s="423">
        <v>20</v>
      </c>
      <c r="I227" s="326">
        <f t="shared" si="35"/>
        <v>0.02</v>
      </c>
      <c r="J227" s="366">
        <v>12</v>
      </c>
      <c r="K227" s="419">
        <f t="shared" ref="K227:K251" si="41">J227*$I$9</f>
        <v>66.599999999999994</v>
      </c>
      <c r="N227" s="426">
        <v>20</v>
      </c>
      <c r="O227" s="429">
        <f t="shared" si="36"/>
        <v>0.02</v>
      </c>
      <c r="P227" s="435">
        <v>21</v>
      </c>
      <c r="Q227" s="432">
        <f t="shared" ref="Q227:Q251" si="42">P227*$I$9</f>
        <v>116.55</v>
      </c>
      <c r="T227" s="423">
        <v>20</v>
      </c>
      <c r="U227" s="326">
        <f t="shared" si="37"/>
        <v>0.02</v>
      </c>
      <c r="V227" s="366">
        <v>2</v>
      </c>
      <c r="W227" s="419">
        <f t="shared" ref="W227:W238" si="43">V227*$I$9</f>
        <v>11.1</v>
      </c>
      <c r="Z227" s="423">
        <v>20</v>
      </c>
      <c r="AA227" s="326">
        <f t="shared" si="38"/>
        <v>0.02</v>
      </c>
      <c r="AB227" s="366">
        <v>9</v>
      </c>
      <c r="AC227" s="419">
        <f t="shared" ref="AC227:AC252" si="44">AB227*$I$9</f>
        <v>49.949999999999996</v>
      </c>
      <c r="AF227" s="426">
        <v>20</v>
      </c>
      <c r="AG227" s="429">
        <f t="shared" si="39"/>
        <v>0.02</v>
      </c>
      <c r="AH227" s="435">
        <v>11</v>
      </c>
      <c r="AI227" s="432">
        <f t="shared" ref="AI227:AI251" si="45">AH227*$I$9</f>
        <v>61.05</v>
      </c>
    </row>
    <row r="228" spans="2:35">
      <c r="B228" s="423">
        <v>40</v>
      </c>
      <c r="C228" s="326">
        <f t="shared" si="34"/>
        <v>0.04</v>
      </c>
      <c r="D228" s="366">
        <v>14</v>
      </c>
      <c r="E228" s="419">
        <f t="shared" si="40"/>
        <v>77.7</v>
      </c>
      <c r="H228" s="423">
        <v>40</v>
      </c>
      <c r="I228" s="326">
        <f t="shared" si="35"/>
        <v>0.04</v>
      </c>
      <c r="J228" s="366">
        <v>19</v>
      </c>
      <c r="K228" s="419">
        <f t="shared" si="41"/>
        <v>105.45</v>
      </c>
      <c r="N228" s="426">
        <v>40</v>
      </c>
      <c r="O228" s="429">
        <f t="shared" si="36"/>
        <v>0.04</v>
      </c>
      <c r="P228" s="435">
        <v>62</v>
      </c>
      <c r="Q228" s="432">
        <f t="shared" si="42"/>
        <v>344.09999999999997</v>
      </c>
      <c r="T228" s="423">
        <v>40</v>
      </c>
      <c r="U228" s="326">
        <f t="shared" si="37"/>
        <v>0.04</v>
      </c>
      <c r="V228" s="366">
        <v>6</v>
      </c>
      <c r="W228" s="419">
        <f t="shared" si="43"/>
        <v>33.299999999999997</v>
      </c>
      <c r="Z228" s="423">
        <v>40</v>
      </c>
      <c r="AA228" s="326">
        <f t="shared" si="38"/>
        <v>0.04</v>
      </c>
      <c r="AB228" s="366">
        <v>19</v>
      </c>
      <c r="AC228" s="419">
        <f t="shared" si="44"/>
        <v>105.45</v>
      </c>
      <c r="AF228" s="426">
        <v>40</v>
      </c>
      <c r="AG228" s="429">
        <f t="shared" si="39"/>
        <v>0.04</v>
      </c>
      <c r="AH228" s="435">
        <v>19</v>
      </c>
      <c r="AI228" s="432">
        <f t="shared" si="45"/>
        <v>105.45</v>
      </c>
    </row>
    <row r="229" spans="2:35">
      <c r="B229" s="423">
        <v>60</v>
      </c>
      <c r="C229" s="326">
        <f t="shared" si="34"/>
        <v>0.06</v>
      </c>
      <c r="D229" s="366">
        <v>21</v>
      </c>
      <c r="E229" s="419">
        <f t="shared" si="40"/>
        <v>116.55</v>
      </c>
      <c r="H229" s="423">
        <v>60</v>
      </c>
      <c r="I229" s="326">
        <f t="shared" si="35"/>
        <v>0.06</v>
      </c>
      <c r="J229" s="366">
        <v>31</v>
      </c>
      <c r="K229" s="419">
        <f t="shared" si="41"/>
        <v>172.04999999999998</v>
      </c>
      <c r="N229" s="426">
        <v>60</v>
      </c>
      <c r="O229" s="429">
        <f t="shared" si="36"/>
        <v>0.06</v>
      </c>
      <c r="P229" s="435">
        <v>108</v>
      </c>
      <c r="Q229" s="432">
        <f t="shared" si="42"/>
        <v>599.4</v>
      </c>
      <c r="T229" s="423">
        <v>60</v>
      </c>
      <c r="U229" s="326">
        <f t="shared" si="37"/>
        <v>0.06</v>
      </c>
      <c r="V229" s="366">
        <v>8</v>
      </c>
      <c r="W229" s="419">
        <f t="shared" si="43"/>
        <v>44.4</v>
      </c>
      <c r="Z229" s="423">
        <v>60</v>
      </c>
      <c r="AA229" s="326">
        <f t="shared" si="38"/>
        <v>0.06</v>
      </c>
      <c r="AB229" s="366">
        <v>27</v>
      </c>
      <c r="AC229" s="419">
        <f t="shared" si="44"/>
        <v>149.85</v>
      </c>
      <c r="AF229" s="426">
        <v>60</v>
      </c>
      <c r="AG229" s="429">
        <f t="shared" si="39"/>
        <v>0.06</v>
      </c>
      <c r="AH229" s="435">
        <v>38</v>
      </c>
      <c r="AI229" s="432">
        <f t="shared" si="45"/>
        <v>210.9</v>
      </c>
    </row>
    <row r="230" spans="2:35">
      <c r="B230" s="423">
        <v>80</v>
      </c>
      <c r="C230" s="326">
        <f t="shared" si="34"/>
        <v>0.08</v>
      </c>
      <c r="D230" s="366">
        <v>22</v>
      </c>
      <c r="E230" s="419">
        <f t="shared" si="40"/>
        <v>122.1</v>
      </c>
      <c r="H230" s="423">
        <v>80</v>
      </c>
      <c r="I230" s="326">
        <f t="shared" si="35"/>
        <v>0.08</v>
      </c>
      <c r="J230" s="366">
        <v>40</v>
      </c>
      <c r="K230" s="419">
        <f t="shared" si="41"/>
        <v>222</v>
      </c>
      <c r="N230" s="426">
        <v>80</v>
      </c>
      <c r="O230" s="429">
        <f t="shared" si="36"/>
        <v>0.08</v>
      </c>
      <c r="P230" s="435">
        <v>117</v>
      </c>
      <c r="Q230" s="432">
        <f t="shared" si="42"/>
        <v>649.35</v>
      </c>
      <c r="T230" s="423">
        <v>80</v>
      </c>
      <c r="U230" s="326">
        <f t="shared" si="37"/>
        <v>0.08</v>
      </c>
      <c r="V230" s="366">
        <v>9</v>
      </c>
      <c r="W230" s="419">
        <f t="shared" si="43"/>
        <v>49.949999999999996</v>
      </c>
      <c r="Z230" s="423">
        <v>80</v>
      </c>
      <c r="AA230" s="326">
        <f t="shared" si="38"/>
        <v>0.08</v>
      </c>
      <c r="AB230" s="366">
        <v>29</v>
      </c>
      <c r="AC230" s="419">
        <f t="shared" si="44"/>
        <v>160.94999999999999</v>
      </c>
      <c r="AF230" s="426">
        <v>80</v>
      </c>
      <c r="AG230" s="429">
        <f t="shared" si="39"/>
        <v>0.08</v>
      </c>
      <c r="AH230" s="435">
        <v>44</v>
      </c>
      <c r="AI230" s="432">
        <f t="shared" si="45"/>
        <v>244.2</v>
      </c>
    </row>
    <row r="231" spans="2:35">
      <c r="B231" s="423">
        <v>100</v>
      </c>
      <c r="C231" s="326">
        <f t="shared" si="34"/>
        <v>0.1</v>
      </c>
      <c r="D231" s="366">
        <v>22</v>
      </c>
      <c r="E231" s="419">
        <f t="shared" si="40"/>
        <v>122.1</v>
      </c>
      <c r="H231" s="423">
        <v>100</v>
      </c>
      <c r="I231" s="326">
        <f t="shared" si="35"/>
        <v>0.1</v>
      </c>
      <c r="J231" s="366">
        <v>50</v>
      </c>
      <c r="K231" s="419">
        <f t="shared" si="41"/>
        <v>277.5</v>
      </c>
      <c r="N231" s="426">
        <v>100</v>
      </c>
      <c r="O231" s="429">
        <f t="shared" si="36"/>
        <v>0.1</v>
      </c>
      <c r="P231" s="435">
        <v>139</v>
      </c>
      <c r="Q231" s="432">
        <f t="shared" si="42"/>
        <v>771.44999999999993</v>
      </c>
      <c r="T231" s="423">
        <v>100</v>
      </c>
      <c r="U231" s="326">
        <f t="shared" si="37"/>
        <v>0.1</v>
      </c>
      <c r="V231" s="366">
        <v>10</v>
      </c>
      <c r="W231" s="419">
        <f t="shared" si="43"/>
        <v>55.5</v>
      </c>
      <c r="Z231" s="423">
        <v>100</v>
      </c>
      <c r="AA231" s="326">
        <f t="shared" si="38"/>
        <v>0.1</v>
      </c>
      <c r="AB231" s="366">
        <v>31</v>
      </c>
      <c r="AC231" s="419">
        <f t="shared" si="44"/>
        <v>172.04999999999998</v>
      </c>
      <c r="AF231" s="426">
        <v>100</v>
      </c>
      <c r="AG231" s="429">
        <f t="shared" si="39"/>
        <v>0.1</v>
      </c>
      <c r="AH231" s="435">
        <v>56</v>
      </c>
      <c r="AI231" s="432">
        <f t="shared" si="45"/>
        <v>310.8</v>
      </c>
    </row>
    <row r="232" spans="2:35">
      <c r="B232" s="423">
        <v>120</v>
      </c>
      <c r="C232" s="326">
        <f t="shared" si="34"/>
        <v>0.12</v>
      </c>
      <c r="D232" s="366">
        <v>23</v>
      </c>
      <c r="E232" s="419">
        <f t="shared" si="40"/>
        <v>127.64999999999999</v>
      </c>
      <c r="H232" s="423">
        <v>120</v>
      </c>
      <c r="I232" s="326">
        <f t="shared" si="35"/>
        <v>0.12</v>
      </c>
      <c r="J232" s="366">
        <v>55</v>
      </c>
      <c r="K232" s="419">
        <f t="shared" si="41"/>
        <v>305.25</v>
      </c>
      <c r="N232" s="426">
        <v>120</v>
      </c>
      <c r="O232" s="429">
        <f t="shared" si="36"/>
        <v>0.12</v>
      </c>
      <c r="P232" s="435">
        <v>157</v>
      </c>
      <c r="Q232" s="432">
        <f t="shared" si="42"/>
        <v>871.35</v>
      </c>
      <c r="T232" s="423">
        <v>120</v>
      </c>
      <c r="U232" s="326">
        <f t="shared" si="37"/>
        <v>0.12</v>
      </c>
      <c r="V232" s="366">
        <v>10</v>
      </c>
      <c r="W232" s="419">
        <f t="shared" si="43"/>
        <v>55.5</v>
      </c>
      <c r="Z232" s="423">
        <v>120</v>
      </c>
      <c r="AA232" s="326">
        <f t="shared" si="38"/>
        <v>0.12</v>
      </c>
      <c r="AB232" s="366">
        <v>33</v>
      </c>
      <c r="AC232" s="419">
        <f t="shared" si="44"/>
        <v>183.15</v>
      </c>
      <c r="AF232" s="426">
        <v>120</v>
      </c>
      <c r="AG232" s="429">
        <f t="shared" si="39"/>
        <v>0.12</v>
      </c>
      <c r="AH232" s="435">
        <v>63</v>
      </c>
      <c r="AI232" s="432">
        <f t="shared" si="45"/>
        <v>349.65</v>
      </c>
    </row>
    <row r="233" spans="2:35">
      <c r="B233" s="423">
        <v>140</v>
      </c>
      <c r="C233" s="326">
        <f t="shared" si="34"/>
        <v>0.14000000000000001</v>
      </c>
      <c r="D233" s="366">
        <v>24</v>
      </c>
      <c r="E233" s="419">
        <f t="shared" si="40"/>
        <v>133.19999999999999</v>
      </c>
      <c r="H233" s="423">
        <v>140</v>
      </c>
      <c r="I233" s="326">
        <f t="shared" si="35"/>
        <v>0.14000000000000001</v>
      </c>
      <c r="J233" s="366">
        <v>58</v>
      </c>
      <c r="K233" s="419">
        <f t="shared" si="41"/>
        <v>321.89999999999998</v>
      </c>
      <c r="N233" s="426">
        <v>140</v>
      </c>
      <c r="O233" s="429">
        <f t="shared" si="36"/>
        <v>0.14000000000000001</v>
      </c>
      <c r="P233" s="435">
        <v>165</v>
      </c>
      <c r="Q233" s="432">
        <f t="shared" si="42"/>
        <v>915.75</v>
      </c>
      <c r="T233" s="423">
        <v>140</v>
      </c>
      <c r="U233" s="326">
        <f t="shared" si="37"/>
        <v>0.14000000000000001</v>
      </c>
      <c r="V233" s="366">
        <v>10</v>
      </c>
      <c r="W233" s="419">
        <f t="shared" si="43"/>
        <v>55.5</v>
      </c>
      <c r="Z233" s="423">
        <v>140</v>
      </c>
      <c r="AA233" s="326">
        <f t="shared" si="38"/>
        <v>0.14000000000000001</v>
      </c>
      <c r="AB233" s="366">
        <v>34</v>
      </c>
      <c r="AC233" s="419">
        <f t="shared" si="44"/>
        <v>188.7</v>
      </c>
      <c r="AF233" s="426">
        <v>140</v>
      </c>
      <c r="AG233" s="429">
        <f t="shared" si="39"/>
        <v>0.14000000000000001</v>
      </c>
      <c r="AH233" s="435">
        <v>70</v>
      </c>
      <c r="AI233" s="432">
        <f t="shared" si="45"/>
        <v>388.5</v>
      </c>
    </row>
    <row r="234" spans="2:35">
      <c r="B234" s="423">
        <v>160</v>
      </c>
      <c r="C234" s="326">
        <f t="shared" si="34"/>
        <v>0.16</v>
      </c>
      <c r="D234" s="366">
        <v>25</v>
      </c>
      <c r="E234" s="419">
        <f t="shared" si="40"/>
        <v>138.75</v>
      </c>
      <c r="H234" s="423">
        <v>160</v>
      </c>
      <c r="I234" s="326">
        <f t="shared" si="35"/>
        <v>0.16</v>
      </c>
      <c r="J234" s="366">
        <v>61</v>
      </c>
      <c r="K234" s="419">
        <f t="shared" si="41"/>
        <v>338.55</v>
      </c>
      <c r="N234" s="426">
        <v>160</v>
      </c>
      <c r="O234" s="429">
        <f t="shared" si="36"/>
        <v>0.16</v>
      </c>
      <c r="P234" s="435">
        <v>176</v>
      </c>
      <c r="Q234" s="432">
        <f t="shared" si="42"/>
        <v>976.8</v>
      </c>
      <c r="T234" s="423">
        <v>160</v>
      </c>
      <c r="U234" s="326">
        <f t="shared" si="37"/>
        <v>0.16</v>
      </c>
      <c r="V234" s="366">
        <v>11</v>
      </c>
      <c r="W234" s="419">
        <f t="shared" si="43"/>
        <v>61.05</v>
      </c>
      <c r="Z234" s="423">
        <v>160</v>
      </c>
      <c r="AA234" s="326">
        <f t="shared" si="38"/>
        <v>0.16</v>
      </c>
      <c r="AB234" s="366">
        <v>35</v>
      </c>
      <c r="AC234" s="419">
        <f t="shared" si="44"/>
        <v>194.25</v>
      </c>
      <c r="AF234" s="426">
        <v>160</v>
      </c>
      <c r="AG234" s="429">
        <f t="shared" si="39"/>
        <v>0.16</v>
      </c>
      <c r="AH234" s="435">
        <v>81</v>
      </c>
      <c r="AI234" s="432">
        <f t="shared" si="45"/>
        <v>449.55</v>
      </c>
    </row>
    <row r="235" spans="2:35">
      <c r="B235" s="423">
        <v>180</v>
      </c>
      <c r="C235" s="326">
        <f t="shared" si="34"/>
        <v>0.18</v>
      </c>
      <c r="D235" s="366">
        <v>26</v>
      </c>
      <c r="E235" s="419">
        <f t="shared" si="40"/>
        <v>144.29999999999998</v>
      </c>
      <c r="H235" s="423">
        <v>180</v>
      </c>
      <c r="I235" s="326">
        <f t="shared" si="35"/>
        <v>0.18</v>
      </c>
      <c r="J235" s="366">
        <v>63</v>
      </c>
      <c r="K235" s="419">
        <f t="shared" si="41"/>
        <v>349.65</v>
      </c>
      <c r="N235" s="426">
        <v>180</v>
      </c>
      <c r="O235" s="429">
        <f t="shared" si="36"/>
        <v>0.18</v>
      </c>
      <c r="P235" s="435">
        <v>183</v>
      </c>
      <c r="Q235" s="432">
        <f t="shared" si="42"/>
        <v>1015.65</v>
      </c>
      <c r="T235" s="423">
        <v>180</v>
      </c>
      <c r="U235" s="326">
        <f t="shared" si="37"/>
        <v>0.18</v>
      </c>
      <c r="V235" s="366">
        <v>11</v>
      </c>
      <c r="W235" s="419">
        <f t="shared" si="43"/>
        <v>61.05</v>
      </c>
      <c r="Z235" s="423">
        <v>180</v>
      </c>
      <c r="AA235" s="326">
        <f t="shared" si="38"/>
        <v>0.18</v>
      </c>
      <c r="AB235" s="366">
        <v>36</v>
      </c>
      <c r="AC235" s="419">
        <f t="shared" si="44"/>
        <v>199.79999999999998</v>
      </c>
      <c r="AF235" s="426">
        <v>180</v>
      </c>
      <c r="AG235" s="429">
        <f t="shared" si="39"/>
        <v>0.18</v>
      </c>
      <c r="AH235" s="435">
        <v>87</v>
      </c>
      <c r="AI235" s="432">
        <f t="shared" si="45"/>
        <v>482.84999999999997</v>
      </c>
    </row>
    <row r="236" spans="2:35">
      <c r="B236" s="423">
        <v>200</v>
      </c>
      <c r="C236" s="326">
        <f t="shared" si="34"/>
        <v>0.2</v>
      </c>
      <c r="D236" s="366">
        <v>26</v>
      </c>
      <c r="E236" s="419">
        <f t="shared" si="40"/>
        <v>144.29999999999998</v>
      </c>
      <c r="H236" s="423">
        <v>200</v>
      </c>
      <c r="I236" s="326">
        <f t="shared" si="35"/>
        <v>0.2</v>
      </c>
      <c r="J236" s="366">
        <v>65</v>
      </c>
      <c r="K236" s="419">
        <f t="shared" si="41"/>
        <v>360.75</v>
      </c>
      <c r="N236" s="426">
        <v>200</v>
      </c>
      <c r="O236" s="429">
        <f t="shared" si="36"/>
        <v>0.2</v>
      </c>
      <c r="P236" s="435">
        <v>188</v>
      </c>
      <c r="Q236" s="432">
        <f t="shared" si="42"/>
        <v>1043.3999999999999</v>
      </c>
      <c r="T236" s="423">
        <v>200</v>
      </c>
      <c r="U236" s="326">
        <f t="shared" si="37"/>
        <v>0.2</v>
      </c>
      <c r="V236" s="366">
        <v>12</v>
      </c>
      <c r="W236" s="419">
        <f t="shared" si="43"/>
        <v>66.599999999999994</v>
      </c>
      <c r="Z236" s="423">
        <v>200</v>
      </c>
      <c r="AA236" s="326">
        <f t="shared" si="38"/>
        <v>0.2</v>
      </c>
      <c r="AB236" s="366">
        <v>36</v>
      </c>
      <c r="AC236" s="419">
        <f t="shared" si="44"/>
        <v>199.79999999999998</v>
      </c>
      <c r="AF236" s="426">
        <v>200</v>
      </c>
      <c r="AG236" s="429">
        <f t="shared" si="39"/>
        <v>0.2</v>
      </c>
      <c r="AH236" s="435">
        <v>92</v>
      </c>
      <c r="AI236" s="432">
        <f t="shared" si="45"/>
        <v>510.59999999999997</v>
      </c>
    </row>
    <row r="237" spans="2:35" ht="15.75" thickBot="1">
      <c r="B237" s="424">
        <v>220</v>
      </c>
      <c r="C237" s="327">
        <f t="shared" si="34"/>
        <v>0.22</v>
      </c>
      <c r="D237" s="367">
        <v>26</v>
      </c>
      <c r="E237" s="420">
        <f t="shared" si="40"/>
        <v>144.29999999999998</v>
      </c>
      <c r="H237" s="423">
        <v>220</v>
      </c>
      <c r="I237" s="326">
        <f t="shared" si="35"/>
        <v>0.22</v>
      </c>
      <c r="J237" s="366">
        <v>66</v>
      </c>
      <c r="K237" s="419">
        <f t="shared" si="41"/>
        <v>366.3</v>
      </c>
      <c r="N237" s="426">
        <v>220</v>
      </c>
      <c r="O237" s="429">
        <f t="shared" si="36"/>
        <v>0.22</v>
      </c>
      <c r="P237" s="435">
        <v>191</v>
      </c>
      <c r="Q237" s="432">
        <f t="shared" si="42"/>
        <v>1060.05</v>
      </c>
      <c r="T237" s="423">
        <v>220</v>
      </c>
      <c r="U237" s="326">
        <f t="shared" si="37"/>
        <v>0.22</v>
      </c>
      <c r="V237" s="366">
        <v>12</v>
      </c>
      <c r="W237" s="419">
        <f t="shared" si="43"/>
        <v>66.599999999999994</v>
      </c>
      <c r="Z237" s="423">
        <v>220</v>
      </c>
      <c r="AA237" s="326">
        <f t="shared" si="38"/>
        <v>0.22</v>
      </c>
      <c r="AB237" s="366">
        <v>37</v>
      </c>
      <c r="AC237" s="419">
        <f t="shared" si="44"/>
        <v>205.35</v>
      </c>
      <c r="AF237" s="426">
        <v>220</v>
      </c>
      <c r="AG237" s="429">
        <f t="shared" si="39"/>
        <v>0.22</v>
      </c>
      <c r="AH237" s="435">
        <v>96</v>
      </c>
      <c r="AI237" s="432">
        <f t="shared" si="45"/>
        <v>532.79999999999995</v>
      </c>
    </row>
    <row r="238" spans="2:35" ht="15.75" thickBot="1">
      <c r="H238" s="423">
        <v>240</v>
      </c>
      <c r="I238" s="326">
        <f t="shared" si="35"/>
        <v>0.24</v>
      </c>
      <c r="J238" s="366">
        <v>67</v>
      </c>
      <c r="K238" s="419">
        <f t="shared" si="41"/>
        <v>371.84999999999997</v>
      </c>
      <c r="N238" s="426">
        <v>240</v>
      </c>
      <c r="O238" s="429">
        <f t="shared" si="36"/>
        <v>0.24</v>
      </c>
      <c r="P238" s="435">
        <v>195</v>
      </c>
      <c r="Q238" s="432">
        <f t="shared" si="42"/>
        <v>1082.25</v>
      </c>
      <c r="T238" s="424">
        <v>240</v>
      </c>
      <c r="U238" s="327">
        <f t="shared" si="37"/>
        <v>0.24</v>
      </c>
      <c r="V238" s="367">
        <v>12</v>
      </c>
      <c r="W238" s="420">
        <f t="shared" si="43"/>
        <v>66.599999999999994</v>
      </c>
      <c r="Z238" s="423">
        <v>240</v>
      </c>
      <c r="AA238" s="326">
        <f t="shared" si="38"/>
        <v>0.24</v>
      </c>
      <c r="AB238" s="366">
        <v>38</v>
      </c>
      <c r="AC238" s="419">
        <f t="shared" si="44"/>
        <v>210.9</v>
      </c>
      <c r="AF238" s="426">
        <v>240</v>
      </c>
      <c r="AG238" s="429">
        <f t="shared" si="39"/>
        <v>0.24</v>
      </c>
      <c r="AH238" s="435">
        <v>102</v>
      </c>
      <c r="AI238" s="432">
        <f t="shared" si="45"/>
        <v>566.1</v>
      </c>
    </row>
    <row r="239" spans="2:35">
      <c r="H239" s="423">
        <v>260</v>
      </c>
      <c r="I239" s="326">
        <f t="shared" si="35"/>
        <v>0.26</v>
      </c>
      <c r="J239" s="366">
        <v>69</v>
      </c>
      <c r="K239" s="419">
        <f t="shared" si="41"/>
        <v>382.95</v>
      </c>
      <c r="N239" s="426">
        <v>260</v>
      </c>
      <c r="O239" s="429">
        <f t="shared" si="36"/>
        <v>0.26</v>
      </c>
      <c r="P239" s="435">
        <v>198</v>
      </c>
      <c r="Q239" s="432">
        <f t="shared" si="42"/>
        <v>1098.8999999999999</v>
      </c>
      <c r="Z239" s="423">
        <v>260</v>
      </c>
      <c r="AA239" s="326">
        <f t="shared" si="38"/>
        <v>0.26</v>
      </c>
      <c r="AB239" s="366">
        <v>39</v>
      </c>
      <c r="AC239" s="419">
        <f t="shared" si="44"/>
        <v>216.45</v>
      </c>
      <c r="AF239" s="426">
        <v>260</v>
      </c>
      <c r="AG239" s="429">
        <f t="shared" si="39"/>
        <v>0.26</v>
      </c>
      <c r="AH239" s="435">
        <v>107</v>
      </c>
      <c r="AI239" s="432">
        <f t="shared" si="45"/>
        <v>593.85</v>
      </c>
    </row>
    <row r="240" spans="2:35">
      <c r="H240" s="423">
        <v>280</v>
      </c>
      <c r="I240" s="326">
        <f t="shared" si="35"/>
        <v>0.28000000000000003</v>
      </c>
      <c r="J240" s="366">
        <v>70</v>
      </c>
      <c r="K240" s="419">
        <f t="shared" si="41"/>
        <v>388.5</v>
      </c>
      <c r="N240" s="426">
        <v>280</v>
      </c>
      <c r="O240" s="429">
        <f t="shared" si="36"/>
        <v>0.28000000000000003</v>
      </c>
      <c r="P240" s="435">
        <v>200</v>
      </c>
      <c r="Q240" s="432">
        <f t="shared" si="42"/>
        <v>1110</v>
      </c>
      <c r="Z240" s="423">
        <v>280</v>
      </c>
      <c r="AA240" s="326">
        <f t="shared" si="38"/>
        <v>0.28000000000000003</v>
      </c>
      <c r="AB240" s="366">
        <v>39</v>
      </c>
      <c r="AC240" s="419">
        <f t="shared" si="44"/>
        <v>216.45</v>
      </c>
      <c r="AF240" s="426">
        <v>280</v>
      </c>
      <c r="AG240" s="429">
        <f t="shared" si="39"/>
        <v>0.28000000000000003</v>
      </c>
      <c r="AH240" s="435">
        <v>110</v>
      </c>
      <c r="AI240" s="432">
        <f t="shared" si="45"/>
        <v>610.5</v>
      </c>
    </row>
    <row r="241" spans="8:35">
      <c r="H241" s="423">
        <v>300</v>
      </c>
      <c r="I241" s="326">
        <f t="shared" si="35"/>
        <v>0.3</v>
      </c>
      <c r="J241" s="366">
        <v>70</v>
      </c>
      <c r="K241" s="419">
        <f t="shared" si="41"/>
        <v>388.5</v>
      </c>
      <c r="N241" s="426">
        <v>300</v>
      </c>
      <c r="O241" s="429">
        <f t="shared" si="36"/>
        <v>0.3</v>
      </c>
      <c r="P241" s="435">
        <v>204</v>
      </c>
      <c r="Q241" s="432">
        <f t="shared" si="42"/>
        <v>1132.2</v>
      </c>
      <c r="Z241" s="423">
        <v>300</v>
      </c>
      <c r="AA241" s="326">
        <f t="shared" si="38"/>
        <v>0.3</v>
      </c>
      <c r="AB241" s="366">
        <v>40</v>
      </c>
      <c r="AC241" s="419">
        <f t="shared" si="44"/>
        <v>222</v>
      </c>
      <c r="AF241" s="426">
        <v>300</v>
      </c>
      <c r="AG241" s="429">
        <f t="shared" si="39"/>
        <v>0.3</v>
      </c>
      <c r="AH241" s="435">
        <v>114</v>
      </c>
      <c r="AI241" s="432">
        <f t="shared" si="45"/>
        <v>632.69999999999993</v>
      </c>
    </row>
    <row r="242" spans="8:35">
      <c r="H242" s="423">
        <v>320</v>
      </c>
      <c r="I242" s="326">
        <f t="shared" si="35"/>
        <v>0.32</v>
      </c>
      <c r="J242" s="366">
        <v>71</v>
      </c>
      <c r="K242" s="419">
        <f t="shared" si="41"/>
        <v>394.05</v>
      </c>
      <c r="N242" s="426">
        <v>320</v>
      </c>
      <c r="O242" s="429">
        <f t="shared" si="36"/>
        <v>0.32</v>
      </c>
      <c r="P242" s="435">
        <v>206</v>
      </c>
      <c r="Q242" s="432">
        <f t="shared" si="42"/>
        <v>1143.3</v>
      </c>
      <c r="Z242" s="423">
        <v>320</v>
      </c>
      <c r="AA242" s="326">
        <f t="shared" si="38"/>
        <v>0.32</v>
      </c>
      <c r="AB242" s="366">
        <v>40</v>
      </c>
      <c r="AC242" s="419">
        <f t="shared" si="44"/>
        <v>222</v>
      </c>
      <c r="AF242" s="426">
        <v>320</v>
      </c>
      <c r="AG242" s="429">
        <f t="shared" si="39"/>
        <v>0.32</v>
      </c>
      <c r="AH242" s="435">
        <v>116</v>
      </c>
      <c r="AI242" s="432">
        <f t="shared" si="45"/>
        <v>643.79999999999995</v>
      </c>
    </row>
    <row r="243" spans="8:35">
      <c r="H243" s="423">
        <v>340</v>
      </c>
      <c r="I243" s="326">
        <f t="shared" si="35"/>
        <v>0.34</v>
      </c>
      <c r="J243" s="366">
        <v>71</v>
      </c>
      <c r="K243" s="419">
        <f t="shared" si="41"/>
        <v>394.05</v>
      </c>
      <c r="N243" s="426">
        <v>340</v>
      </c>
      <c r="O243" s="429">
        <f t="shared" si="36"/>
        <v>0.34</v>
      </c>
      <c r="P243" s="435">
        <v>208</v>
      </c>
      <c r="Q243" s="432">
        <f t="shared" si="42"/>
        <v>1154.3999999999999</v>
      </c>
      <c r="Z243" s="423">
        <v>340</v>
      </c>
      <c r="AA243" s="326">
        <f t="shared" si="38"/>
        <v>0.34</v>
      </c>
      <c r="AB243" s="366">
        <v>41</v>
      </c>
      <c r="AC243" s="419">
        <f t="shared" si="44"/>
        <v>227.54999999999998</v>
      </c>
      <c r="AF243" s="426">
        <v>340</v>
      </c>
      <c r="AG243" s="429">
        <f t="shared" si="39"/>
        <v>0.34</v>
      </c>
      <c r="AH243" s="435">
        <v>120</v>
      </c>
      <c r="AI243" s="432">
        <f t="shared" si="45"/>
        <v>666</v>
      </c>
    </row>
    <row r="244" spans="8:35">
      <c r="H244" s="423">
        <v>360</v>
      </c>
      <c r="I244" s="326">
        <f t="shared" si="35"/>
        <v>0.36</v>
      </c>
      <c r="J244" s="366">
        <v>72</v>
      </c>
      <c r="K244" s="419">
        <f t="shared" si="41"/>
        <v>399.59999999999997</v>
      </c>
      <c r="N244" s="426">
        <v>360</v>
      </c>
      <c r="O244" s="429">
        <f t="shared" si="36"/>
        <v>0.36</v>
      </c>
      <c r="P244" s="435">
        <v>210</v>
      </c>
      <c r="Q244" s="432">
        <f t="shared" si="42"/>
        <v>1165.5</v>
      </c>
      <c r="Z244" s="423">
        <v>360</v>
      </c>
      <c r="AA244" s="326">
        <f t="shared" si="38"/>
        <v>0.36</v>
      </c>
      <c r="AB244" s="366">
        <v>41</v>
      </c>
      <c r="AC244" s="419">
        <f t="shared" si="44"/>
        <v>227.54999999999998</v>
      </c>
      <c r="AF244" s="426">
        <v>360</v>
      </c>
      <c r="AG244" s="429">
        <f t="shared" si="39"/>
        <v>0.36</v>
      </c>
      <c r="AH244" s="435">
        <v>123</v>
      </c>
      <c r="AI244" s="432">
        <f t="shared" si="45"/>
        <v>682.65</v>
      </c>
    </row>
    <row r="245" spans="8:35">
      <c r="H245" s="423">
        <v>380</v>
      </c>
      <c r="I245" s="326">
        <f t="shared" si="35"/>
        <v>0.38</v>
      </c>
      <c r="J245" s="366">
        <v>72</v>
      </c>
      <c r="K245" s="419">
        <f t="shared" si="41"/>
        <v>399.59999999999997</v>
      </c>
      <c r="N245" s="426">
        <v>380</v>
      </c>
      <c r="O245" s="429">
        <f t="shared" si="36"/>
        <v>0.38</v>
      </c>
      <c r="P245" s="435">
        <v>211</v>
      </c>
      <c r="Q245" s="432">
        <f t="shared" si="42"/>
        <v>1171.05</v>
      </c>
      <c r="Z245" s="423">
        <v>380</v>
      </c>
      <c r="AA245" s="326">
        <f t="shared" si="38"/>
        <v>0.38</v>
      </c>
      <c r="AB245" s="366">
        <v>42</v>
      </c>
      <c r="AC245" s="419">
        <f t="shared" si="44"/>
        <v>233.1</v>
      </c>
      <c r="AF245" s="426">
        <v>380</v>
      </c>
      <c r="AG245" s="429">
        <f t="shared" si="39"/>
        <v>0.38</v>
      </c>
      <c r="AH245" s="435">
        <v>126</v>
      </c>
      <c r="AI245" s="432">
        <f t="shared" si="45"/>
        <v>699.3</v>
      </c>
    </row>
    <row r="246" spans="8:35">
      <c r="H246" s="423">
        <v>400</v>
      </c>
      <c r="I246" s="326">
        <f t="shared" si="35"/>
        <v>0.4</v>
      </c>
      <c r="J246" s="366">
        <v>72</v>
      </c>
      <c r="K246" s="419">
        <f t="shared" si="41"/>
        <v>399.59999999999997</v>
      </c>
      <c r="N246" s="426">
        <v>400</v>
      </c>
      <c r="O246" s="429">
        <f t="shared" si="36"/>
        <v>0.4</v>
      </c>
      <c r="P246" s="435">
        <v>214</v>
      </c>
      <c r="Q246" s="432">
        <f t="shared" si="42"/>
        <v>1187.7</v>
      </c>
      <c r="Z246" s="423">
        <v>400</v>
      </c>
      <c r="AA246" s="326">
        <f t="shared" si="38"/>
        <v>0.4</v>
      </c>
      <c r="AB246" s="366">
        <v>42</v>
      </c>
      <c r="AC246" s="419">
        <f t="shared" si="44"/>
        <v>233.1</v>
      </c>
      <c r="AF246" s="426">
        <v>400</v>
      </c>
      <c r="AG246" s="429">
        <f t="shared" si="39"/>
        <v>0.4</v>
      </c>
      <c r="AH246" s="435">
        <v>128</v>
      </c>
      <c r="AI246" s="432">
        <f t="shared" si="45"/>
        <v>710.4</v>
      </c>
    </row>
    <row r="247" spans="8:35">
      <c r="H247" s="423">
        <v>420</v>
      </c>
      <c r="I247" s="326">
        <f t="shared" si="35"/>
        <v>0.42</v>
      </c>
      <c r="J247" s="366">
        <v>73</v>
      </c>
      <c r="K247" s="419">
        <f t="shared" si="41"/>
        <v>405.15</v>
      </c>
      <c r="N247" s="426">
        <v>420</v>
      </c>
      <c r="O247" s="429">
        <f t="shared" si="36"/>
        <v>0.42</v>
      </c>
      <c r="P247" s="435">
        <v>215</v>
      </c>
      <c r="Q247" s="432">
        <f t="shared" si="42"/>
        <v>1193.25</v>
      </c>
      <c r="Z247" s="423">
        <v>420</v>
      </c>
      <c r="AA247" s="326">
        <f t="shared" si="38"/>
        <v>0.42</v>
      </c>
      <c r="AB247" s="366">
        <v>42</v>
      </c>
      <c r="AC247" s="419">
        <f t="shared" si="44"/>
        <v>233.1</v>
      </c>
      <c r="AF247" s="426">
        <v>420</v>
      </c>
      <c r="AG247" s="429">
        <f t="shared" si="39"/>
        <v>0.42</v>
      </c>
      <c r="AH247" s="435">
        <v>131</v>
      </c>
      <c r="AI247" s="432">
        <f t="shared" si="45"/>
        <v>727.05</v>
      </c>
    </row>
    <row r="248" spans="8:35">
      <c r="H248" s="423">
        <v>440</v>
      </c>
      <c r="I248" s="326">
        <f t="shared" si="35"/>
        <v>0.44</v>
      </c>
      <c r="J248" s="366">
        <v>73</v>
      </c>
      <c r="K248" s="419">
        <f t="shared" si="41"/>
        <v>405.15</v>
      </c>
      <c r="N248" s="426">
        <v>440</v>
      </c>
      <c r="O248" s="429">
        <f t="shared" si="36"/>
        <v>0.44</v>
      </c>
      <c r="P248" s="435">
        <v>217</v>
      </c>
      <c r="Q248" s="432">
        <f t="shared" si="42"/>
        <v>1204.3499999999999</v>
      </c>
      <c r="Z248" s="423">
        <v>440</v>
      </c>
      <c r="AA248" s="326">
        <f t="shared" si="38"/>
        <v>0.44</v>
      </c>
      <c r="AB248" s="366">
        <v>43</v>
      </c>
      <c r="AC248" s="419">
        <f t="shared" si="44"/>
        <v>238.65</v>
      </c>
      <c r="AF248" s="426">
        <v>440</v>
      </c>
      <c r="AG248" s="429">
        <f t="shared" si="39"/>
        <v>0.44</v>
      </c>
      <c r="AH248" s="435">
        <v>134</v>
      </c>
      <c r="AI248" s="432">
        <f t="shared" si="45"/>
        <v>743.69999999999993</v>
      </c>
    </row>
    <row r="249" spans="8:35">
      <c r="H249" s="423">
        <v>460</v>
      </c>
      <c r="I249" s="326">
        <f t="shared" si="35"/>
        <v>0.46</v>
      </c>
      <c r="J249" s="366">
        <v>74</v>
      </c>
      <c r="K249" s="419">
        <f t="shared" si="41"/>
        <v>410.7</v>
      </c>
      <c r="N249" s="426">
        <v>460</v>
      </c>
      <c r="O249" s="429">
        <f t="shared" si="36"/>
        <v>0.46</v>
      </c>
      <c r="P249" s="435">
        <v>219</v>
      </c>
      <c r="Q249" s="432">
        <f t="shared" si="42"/>
        <v>1215.45</v>
      </c>
      <c r="Z249" s="423">
        <v>460</v>
      </c>
      <c r="AA249" s="326">
        <f t="shared" si="38"/>
        <v>0.46</v>
      </c>
      <c r="AB249" s="366">
        <v>43</v>
      </c>
      <c r="AC249" s="419">
        <f t="shared" si="44"/>
        <v>238.65</v>
      </c>
      <c r="AF249" s="426">
        <v>460</v>
      </c>
      <c r="AG249" s="429">
        <f t="shared" si="39"/>
        <v>0.46</v>
      </c>
      <c r="AH249" s="435">
        <v>136</v>
      </c>
      <c r="AI249" s="432">
        <f t="shared" si="45"/>
        <v>754.8</v>
      </c>
    </row>
    <row r="250" spans="8:35">
      <c r="H250" s="423">
        <v>480</v>
      </c>
      <c r="I250" s="326">
        <f t="shared" si="35"/>
        <v>0.48</v>
      </c>
      <c r="J250" s="366">
        <v>74</v>
      </c>
      <c r="K250" s="419">
        <f t="shared" si="41"/>
        <v>410.7</v>
      </c>
      <c r="N250" s="426">
        <v>480</v>
      </c>
      <c r="O250" s="429">
        <f t="shared" si="36"/>
        <v>0.48</v>
      </c>
      <c r="P250" s="435">
        <v>220</v>
      </c>
      <c r="Q250" s="432">
        <f t="shared" si="42"/>
        <v>1221</v>
      </c>
      <c r="Z250" s="423">
        <v>480</v>
      </c>
      <c r="AA250" s="326">
        <f t="shared" si="38"/>
        <v>0.48</v>
      </c>
      <c r="AB250" s="366">
        <v>44</v>
      </c>
      <c r="AC250" s="419">
        <f t="shared" si="44"/>
        <v>244.2</v>
      </c>
      <c r="AF250" s="426">
        <v>480</v>
      </c>
      <c r="AG250" s="429">
        <f t="shared" si="39"/>
        <v>0.48</v>
      </c>
      <c r="AH250" s="435">
        <v>137</v>
      </c>
      <c r="AI250" s="432">
        <f t="shared" si="45"/>
        <v>760.35</v>
      </c>
    </row>
    <row r="251" spans="8:35" ht="15.75" thickBot="1">
      <c r="H251" s="424">
        <v>500</v>
      </c>
      <c r="I251" s="327">
        <f t="shared" si="35"/>
        <v>0.5</v>
      </c>
      <c r="J251" s="367">
        <v>74</v>
      </c>
      <c r="K251" s="420">
        <f t="shared" si="41"/>
        <v>410.7</v>
      </c>
      <c r="N251" s="426">
        <v>500</v>
      </c>
      <c r="O251" s="429">
        <f t="shared" si="36"/>
        <v>0.5</v>
      </c>
      <c r="P251" s="435">
        <v>221</v>
      </c>
      <c r="Q251" s="432">
        <f t="shared" si="42"/>
        <v>1226.55</v>
      </c>
      <c r="Z251" s="423">
        <v>500</v>
      </c>
      <c r="AA251" s="326">
        <f t="shared" si="38"/>
        <v>0.5</v>
      </c>
      <c r="AB251" s="366">
        <v>44</v>
      </c>
      <c r="AC251" s="419">
        <f t="shared" si="44"/>
        <v>244.2</v>
      </c>
      <c r="AF251" s="426">
        <v>500</v>
      </c>
      <c r="AG251" s="429">
        <f t="shared" si="39"/>
        <v>0.5</v>
      </c>
      <c r="AH251" s="435">
        <v>139</v>
      </c>
      <c r="AI251" s="432">
        <f t="shared" si="45"/>
        <v>771.44999999999993</v>
      </c>
    </row>
    <row r="252" spans="8:35" ht="15.75" thickBot="1">
      <c r="N252" s="426">
        <v>520</v>
      </c>
      <c r="O252" s="429">
        <f t="shared" si="36"/>
        <v>0.52</v>
      </c>
      <c r="P252" s="435">
        <v>222</v>
      </c>
      <c r="Q252" s="432">
        <f>P252*$C$9</f>
        <v>1232.0999999999999</v>
      </c>
      <c r="Z252" s="424">
        <v>520</v>
      </c>
      <c r="AA252" s="327">
        <f t="shared" si="38"/>
        <v>0.52</v>
      </c>
      <c r="AB252" s="367">
        <v>44</v>
      </c>
      <c r="AC252" s="420">
        <f t="shared" si="44"/>
        <v>244.2</v>
      </c>
      <c r="AF252" s="426">
        <v>520</v>
      </c>
      <c r="AG252" s="429">
        <f t="shared" si="39"/>
        <v>0.52</v>
      </c>
      <c r="AH252" s="435">
        <v>141</v>
      </c>
      <c r="AI252" s="432">
        <f>AH252*$C$9</f>
        <v>782.55</v>
      </c>
    </row>
    <row r="253" spans="8:35">
      <c r="N253" s="426">
        <v>540</v>
      </c>
      <c r="O253" s="429">
        <f t="shared" si="36"/>
        <v>0.54</v>
      </c>
      <c r="P253" s="435">
        <v>222</v>
      </c>
      <c r="Q253" s="432">
        <f>P253*$C$9</f>
        <v>1232.0999999999999</v>
      </c>
      <c r="AF253" s="426">
        <v>540</v>
      </c>
      <c r="AG253" s="429">
        <f t="shared" si="39"/>
        <v>0.54</v>
      </c>
      <c r="AH253" s="435">
        <v>143</v>
      </c>
      <c r="AI253" s="432">
        <f>AH253*$C$9</f>
        <v>793.65</v>
      </c>
    </row>
    <row r="254" spans="8:35">
      <c r="N254" s="426">
        <v>550</v>
      </c>
      <c r="O254" s="429">
        <f t="shared" si="36"/>
        <v>0.55000000000000004</v>
      </c>
      <c r="P254" s="435">
        <v>223</v>
      </c>
      <c r="Q254" s="432">
        <f>P254*$C$9</f>
        <v>1237.6499999999999</v>
      </c>
      <c r="AF254" s="426">
        <v>550</v>
      </c>
      <c r="AG254" s="429">
        <f t="shared" si="39"/>
        <v>0.55000000000000004</v>
      </c>
      <c r="AH254" s="435">
        <v>143</v>
      </c>
      <c r="AI254" s="432">
        <f>AH254*$C$9</f>
        <v>793.65</v>
      </c>
    </row>
    <row r="255" spans="8:35">
      <c r="N255" s="426">
        <v>560</v>
      </c>
      <c r="O255" s="429">
        <f t="shared" si="36"/>
        <v>0.56000000000000005</v>
      </c>
      <c r="P255" s="435">
        <v>224</v>
      </c>
      <c r="Q255" s="432">
        <f t="shared" ref="Q255:Q285" si="46">P255*$C$9</f>
        <v>1243.2</v>
      </c>
      <c r="AF255" s="426">
        <v>560</v>
      </c>
      <c r="AG255" s="429">
        <f t="shared" si="39"/>
        <v>0.56000000000000005</v>
      </c>
      <c r="AH255" s="435">
        <v>144</v>
      </c>
      <c r="AI255" s="432">
        <f t="shared" ref="AI255:AI318" si="47">AH255*$C$9</f>
        <v>799.19999999999993</v>
      </c>
    </row>
    <row r="256" spans="8:35">
      <c r="N256" s="426">
        <v>580</v>
      </c>
      <c r="O256" s="429">
        <f t="shared" si="36"/>
        <v>0.57999999999999996</v>
      </c>
      <c r="P256" s="435">
        <v>225</v>
      </c>
      <c r="Q256" s="432">
        <f t="shared" si="46"/>
        <v>1248.75</v>
      </c>
      <c r="AF256" s="426">
        <v>580</v>
      </c>
      <c r="AG256" s="429">
        <f t="shared" si="39"/>
        <v>0.57999999999999996</v>
      </c>
      <c r="AH256" s="435">
        <v>145</v>
      </c>
      <c r="AI256" s="432">
        <f t="shared" si="47"/>
        <v>804.75</v>
      </c>
    </row>
    <row r="257" spans="14:35">
      <c r="N257" s="426">
        <v>600</v>
      </c>
      <c r="O257" s="429">
        <f t="shared" si="36"/>
        <v>0.6</v>
      </c>
      <c r="P257" s="435">
        <v>225</v>
      </c>
      <c r="Q257" s="432">
        <f t="shared" si="46"/>
        <v>1248.75</v>
      </c>
      <c r="AF257" s="426">
        <v>600</v>
      </c>
      <c r="AG257" s="429">
        <f t="shared" si="39"/>
        <v>0.6</v>
      </c>
      <c r="AH257" s="435">
        <v>146</v>
      </c>
      <c r="AI257" s="432">
        <f t="shared" si="47"/>
        <v>810.3</v>
      </c>
    </row>
    <row r="258" spans="14:35">
      <c r="N258" s="426">
        <v>620</v>
      </c>
      <c r="O258" s="429">
        <f t="shared" si="36"/>
        <v>0.62</v>
      </c>
      <c r="P258" s="435">
        <v>226</v>
      </c>
      <c r="Q258" s="432">
        <f t="shared" si="46"/>
        <v>1254.3</v>
      </c>
      <c r="AF258" s="426">
        <v>620</v>
      </c>
      <c r="AG258" s="429">
        <f t="shared" si="39"/>
        <v>0.62</v>
      </c>
      <c r="AH258" s="435">
        <v>148</v>
      </c>
      <c r="AI258" s="432">
        <f t="shared" si="47"/>
        <v>821.4</v>
      </c>
    </row>
    <row r="259" spans="14:35">
      <c r="N259" s="426">
        <v>640</v>
      </c>
      <c r="O259" s="429">
        <f t="shared" si="36"/>
        <v>0.64</v>
      </c>
      <c r="P259" s="435">
        <v>226</v>
      </c>
      <c r="Q259" s="432">
        <f t="shared" si="46"/>
        <v>1254.3</v>
      </c>
      <c r="AF259" s="426">
        <v>640</v>
      </c>
      <c r="AG259" s="429">
        <f t="shared" si="39"/>
        <v>0.64</v>
      </c>
      <c r="AH259" s="435">
        <v>149</v>
      </c>
      <c r="AI259" s="432">
        <f t="shared" si="47"/>
        <v>826.94999999999993</v>
      </c>
    </row>
    <row r="260" spans="14:35">
      <c r="N260" s="426">
        <v>650</v>
      </c>
      <c r="O260" s="429">
        <f t="shared" si="36"/>
        <v>0.65</v>
      </c>
      <c r="P260" s="435">
        <v>227</v>
      </c>
      <c r="Q260" s="432">
        <f t="shared" si="46"/>
        <v>1259.8499999999999</v>
      </c>
      <c r="AF260" s="426">
        <v>650</v>
      </c>
      <c r="AG260" s="429">
        <f t="shared" si="39"/>
        <v>0.65</v>
      </c>
      <c r="AH260" s="435">
        <v>149</v>
      </c>
      <c r="AI260" s="432">
        <f t="shared" si="47"/>
        <v>826.94999999999993</v>
      </c>
    </row>
    <row r="261" spans="14:35">
      <c r="N261" s="426">
        <v>660</v>
      </c>
      <c r="O261" s="429">
        <f t="shared" si="36"/>
        <v>0.66</v>
      </c>
      <c r="P261" s="435">
        <v>227</v>
      </c>
      <c r="Q261" s="432">
        <f t="shared" si="46"/>
        <v>1259.8499999999999</v>
      </c>
      <c r="AF261" s="426">
        <v>660</v>
      </c>
      <c r="AG261" s="429">
        <f t="shared" si="39"/>
        <v>0.66</v>
      </c>
      <c r="AH261" s="435">
        <v>150</v>
      </c>
      <c r="AI261" s="432">
        <f t="shared" si="47"/>
        <v>832.5</v>
      </c>
    </row>
    <row r="262" spans="14:35">
      <c r="N262" s="426">
        <v>680</v>
      </c>
      <c r="O262" s="429">
        <f t="shared" si="36"/>
        <v>0.68</v>
      </c>
      <c r="P262" s="435">
        <v>227</v>
      </c>
      <c r="Q262" s="432">
        <f t="shared" si="46"/>
        <v>1259.8499999999999</v>
      </c>
      <c r="AF262" s="426">
        <v>680</v>
      </c>
      <c r="AG262" s="429">
        <f t="shared" si="39"/>
        <v>0.68</v>
      </c>
      <c r="AH262" s="435">
        <v>152</v>
      </c>
      <c r="AI262" s="432">
        <f t="shared" si="47"/>
        <v>843.6</v>
      </c>
    </row>
    <row r="263" spans="14:35">
      <c r="N263" s="426">
        <v>700</v>
      </c>
      <c r="O263" s="429">
        <f t="shared" si="36"/>
        <v>0.70000000000000007</v>
      </c>
      <c r="P263" s="435">
        <v>228</v>
      </c>
      <c r="Q263" s="432">
        <f t="shared" si="46"/>
        <v>1265.3999999999999</v>
      </c>
      <c r="AF263" s="426">
        <v>700</v>
      </c>
      <c r="AG263" s="429">
        <f t="shared" si="39"/>
        <v>0.70000000000000007</v>
      </c>
      <c r="AH263" s="435">
        <v>154</v>
      </c>
      <c r="AI263" s="432">
        <f t="shared" si="47"/>
        <v>854.69999999999993</v>
      </c>
    </row>
    <row r="264" spans="14:35">
      <c r="N264" s="426">
        <v>720</v>
      </c>
      <c r="O264" s="429">
        <f t="shared" si="36"/>
        <v>0.72</v>
      </c>
      <c r="P264" s="435">
        <v>228</v>
      </c>
      <c r="Q264" s="432">
        <f t="shared" si="46"/>
        <v>1265.3999999999999</v>
      </c>
      <c r="AF264" s="426">
        <v>720</v>
      </c>
      <c r="AG264" s="429">
        <f t="shared" si="39"/>
        <v>0.72</v>
      </c>
      <c r="AH264" s="435">
        <v>154</v>
      </c>
      <c r="AI264" s="432">
        <f t="shared" si="47"/>
        <v>854.69999999999993</v>
      </c>
    </row>
    <row r="265" spans="14:35">
      <c r="N265" s="426">
        <v>740</v>
      </c>
      <c r="O265" s="429">
        <f t="shared" si="36"/>
        <v>0.74</v>
      </c>
      <c r="P265" s="435">
        <v>228</v>
      </c>
      <c r="Q265" s="432">
        <f t="shared" si="46"/>
        <v>1265.3999999999999</v>
      </c>
      <c r="AF265" s="426">
        <v>740</v>
      </c>
      <c r="AG265" s="429">
        <f t="shared" si="39"/>
        <v>0.74</v>
      </c>
      <c r="AH265" s="435">
        <v>155</v>
      </c>
      <c r="AI265" s="432">
        <f t="shared" si="47"/>
        <v>860.25</v>
      </c>
    </row>
    <row r="266" spans="14:35">
      <c r="N266" s="426">
        <v>750</v>
      </c>
      <c r="O266" s="429">
        <f t="shared" si="36"/>
        <v>0.75</v>
      </c>
      <c r="P266" s="435">
        <v>229</v>
      </c>
      <c r="Q266" s="432">
        <f t="shared" si="46"/>
        <v>1270.95</v>
      </c>
      <c r="AF266" s="426">
        <v>750</v>
      </c>
      <c r="AG266" s="429">
        <f t="shared" si="39"/>
        <v>0.75</v>
      </c>
      <c r="AH266" s="435">
        <v>155</v>
      </c>
      <c r="AI266" s="432">
        <f t="shared" si="47"/>
        <v>860.25</v>
      </c>
    </row>
    <row r="267" spans="14:35">
      <c r="N267" s="426">
        <v>760</v>
      </c>
      <c r="O267" s="429">
        <f t="shared" si="36"/>
        <v>0.76</v>
      </c>
      <c r="P267" s="435">
        <v>229</v>
      </c>
      <c r="Q267" s="432">
        <f t="shared" si="46"/>
        <v>1270.95</v>
      </c>
      <c r="AF267" s="426">
        <v>760</v>
      </c>
      <c r="AG267" s="429">
        <f t="shared" si="39"/>
        <v>0.76</v>
      </c>
      <c r="AH267" s="435">
        <v>156</v>
      </c>
      <c r="AI267" s="432">
        <f t="shared" si="47"/>
        <v>865.8</v>
      </c>
    </row>
    <row r="268" spans="14:35">
      <c r="N268" s="426">
        <v>780</v>
      </c>
      <c r="O268" s="429">
        <f t="shared" si="36"/>
        <v>0.78</v>
      </c>
      <c r="P268" s="435">
        <v>229</v>
      </c>
      <c r="Q268" s="432">
        <f t="shared" si="46"/>
        <v>1270.95</v>
      </c>
      <c r="AF268" s="426">
        <v>780</v>
      </c>
      <c r="AG268" s="429">
        <f t="shared" si="39"/>
        <v>0.78</v>
      </c>
      <c r="AH268" s="435">
        <v>157</v>
      </c>
      <c r="AI268" s="432">
        <f t="shared" si="47"/>
        <v>871.35</v>
      </c>
    </row>
    <row r="269" spans="14:35">
      <c r="N269" s="426">
        <v>800</v>
      </c>
      <c r="O269" s="429">
        <f t="shared" si="36"/>
        <v>0.8</v>
      </c>
      <c r="P269" s="435">
        <v>230</v>
      </c>
      <c r="Q269" s="432">
        <f t="shared" si="46"/>
        <v>1276.5</v>
      </c>
      <c r="AF269" s="426">
        <v>800</v>
      </c>
      <c r="AG269" s="429">
        <f t="shared" si="39"/>
        <v>0.8</v>
      </c>
      <c r="AH269" s="435">
        <v>158</v>
      </c>
      <c r="AI269" s="432">
        <f t="shared" si="47"/>
        <v>876.9</v>
      </c>
    </row>
    <row r="270" spans="14:35">
      <c r="N270" s="426">
        <v>820</v>
      </c>
      <c r="O270" s="429">
        <f t="shared" si="36"/>
        <v>0.82000000000000006</v>
      </c>
      <c r="P270" s="435">
        <v>230</v>
      </c>
      <c r="Q270" s="432">
        <f t="shared" si="46"/>
        <v>1276.5</v>
      </c>
      <c r="AF270" s="426">
        <v>820</v>
      </c>
      <c r="AG270" s="429">
        <f t="shared" si="39"/>
        <v>0.82000000000000006</v>
      </c>
      <c r="AH270" s="435">
        <v>158</v>
      </c>
      <c r="AI270" s="432">
        <f t="shared" si="47"/>
        <v>876.9</v>
      </c>
    </row>
    <row r="271" spans="14:35">
      <c r="N271" s="426">
        <v>840</v>
      </c>
      <c r="O271" s="429">
        <f t="shared" si="36"/>
        <v>0.84</v>
      </c>
      <c r="P271" s="435">
        <v>230</v>
      </c>
      <c r="Q271" s="432">
        <f>P271*$C$9</f>
        <v>1276.5</v>
      </c>
      <c r="AF271" s="426">
        <v>840</v>
      </c>
      <c r="AG271" s="429">
        <f t="shared" si="39"/>
        <v>0.84</v>
      </c>
      <c r="AH271" s="435">
        <v>159</v>
      </c>
      <c r="AI271" s="432">
        <f t="shared" si="47"/>
        <v>882.44999999999993</v>
      </c>
    </row>
    <row r="272" spans="14:35">
      <c r="N272" s="426">
        <v>850</v>
      </c>
      <c r="O272" s="429">
        <f t="shared" si="36"/>
        <v>0.85</v>
      </c>
      <c r="P272" s="435">
        <v>231</v>
      </c>
      <c r="Q272" s="432">
        <f t="shared" si="46"/>
        <v>1282.05</v>
      </c>
      <c r="AF272" s="426">
        <v>850</v>
      </c>
      <c r="AG272" s="429">
        <f t="shared" si="39"/>
        <v>0.85</v>
      </c>
      <c r="AH272" s="435">
        <v>159</v>
      </c>
      <c r="AI272" s="432">
        <f t="shared" si="47"/>
        <v>882.44999999999993</v>
      </c>
    </row>
    <row r="273" spans="14:35">
      <c r="N273" s="426">
        <v>860</v>
      </c>
      <c r="O273" s="429">
        <f t="shared" si="36"/>
        <v>0.86</v>
      </c>
      <c r="P273" s="435">
        <v>231</v>
      </c>
      <c r="Q273" s="432">
        <f t="shared" si="46"/>
        <v>1282.05</v>
      </c>
      <c r="AF273" s="426">
        <v>860</v>
      </c>
      <c r="AG273" s="429">
        <f t="shared" si="39"/>
        <v>0.86</v>
      </c>
      <c r="AH273" s="435">
        <v>160</v>
      </c>
      <c r="AI273" s="432">
        <f t="shared" si="47"/>
        <v>888</v>
      </c>
    </row>
    <row r="274" spans="14:35">
      <c r="N274" s="426">
        <v>880</v>
      </c>
      <c r="O274" s="429">
        <f t="shared" si="36"/>
        <v>0.88</v>
      </c>
      <c r="P274" s="435">
        <v>231</v>
      </c>
      <c r="Q274" s="432">
        <f t="shared" si="46"/>
        <v>1282.05</v>
      </c>
      <c r="AF274" s="426">
        <v>880</v>
      </c>
      <c r="AG274" s="429">
        <f t="shared" si="39"/>
        <v>0.88</v>
      </c>
      <c r="AH274" s="435">
        <v>162</v>
      </c>
      <c r="AI274" s="432">
        <f t="shared" si="47"/>
        <v>899.1</v>
      </c>
    </row>
    <row r="275" spans="14:35">
      <c r="N275" s="426">
        <v>900</v>
      </c>
      <c r="O275" s="429">
        <f t="shared" si="36"/>
        <v>0.9</v>
      </c>
      <c r="P275" s="435">
        <v>231</v>
      </c>
      <c r="Q275" s="432">
        <f t="shared" si="46"/>
        <v>1282.05</v>
      </c>
      <c r="AF275" s="426">
        <v>900</v>
      </c>
      <c r="AG275" s="429">
        <f t="shared" si="39"/>
        <v>0.9</v>
      </c>
      <c r="AH275" s="435">
        <v>163</v>
      </c>
      <c r="AI275" s="432">
        <f t="shared" si="47"/>
        <v>904.65</v>
      </c>
    </row>
    <row r="276" spans="14:35">
      <c r="N276" s="426">
        <v>920</v>
      </c>
      <c r="O276" s="429">
        <f t="shared" si="36"/>
        <v>0.92</v>
      </c>
      <c r="P276" s="435">
        <v>232</v>
      </c>
      <c r="Q276" s="432">
        <f t="shared" si="46"/>
        <v>1287.5999999999999</v>
      </c>
      <c r="AF276" s="426">
        <v>920</v>
      </c>
      <c r="AG276" s="429">
        <f t="shared" si="39"/>
        <v>0.92</v>
      </c>
      <c r="AH276" s="435">
        <v>165</v>
      </c>
      <c r="AI276" s="432">
        <f t="shared" si="47"/>
        <v>915.75</v>
      </c>
    </row>
    <row r="277" spans="14:35">
      <c r="N277" s="426">
        <v>940</v>
      </c>
      <c r="O277" s="429">
        <f t="shared" si="36"/>
        <v>0.94000000000000006</v>
      </c>
      <c r="P277" s="435">
        <v>232</v>
      </c>
      <c r="Q277" s="432">
        <f t="shared" si="46"/>
        <v>1287.5999999999999</v>
      </c>
      <c r="AF277" s="426">
        <v>940</v>
      </c>
      <c r="AG277" s="429">
        <f t="shared" si="39"/>
        <v>0.94000000000000006</v>
      </c>
      <c r="AH277" s="435">
        <v>165</v>
      </c>
      <c r="AI277" s="432">
        <f t="shared" si="47"/>
        <v>915.75</v>
      </c>
    </row>
    <row r="278" spans="14:35">
      <c r="N278" s="426">
        <v>960</v>
      </c>
      <c r="O278" s="429">
        <f t="shared" si="36"/>
        <v>0.96</v>
      </c>
      <c r="P278" s="435">
        <v>232</v>
      </c>
      <c r="Q278" s="432">
        <f t="shared" si="46"/>
        <v>1287.5999999999999</v>
      </c>
      <c r="AF278" s="426">
        <v>950</v>
      </c>
      <c r="AG278" s="429">
        <f t="shared" si="39"/>
        <v>0.95000000000000007</v>
      </c>
      <c r="AH278" s="435">
        <v>165</v>
      </c>
      <c r="AI278" s="432">
        <f t="shared" si="47"/>
        <v>915.75</v>
      </c>
    </row>
    <row r="279" spans="14:35">
      <c r="N279" s="426">
        <v>980</v>
      </c>
      <c r="O279" s="429">
        <f t="shared" si="36"/>
        <v>0.98</v>
      </c>
      <c r="P279" s="435">
        <v>233</v>
      </c>
      <c r="Q279" s="432">
        <f t="shared" si="46"/>
        <v>1293.1499999999999</v>
      </c>
      <c r="AF279" s="426">
        <v>960</v>
      </c>
      <c r="AG279" s="429">
        <f t="shared" si="39"/>
        <v>0.96</v>
      </c>
      <c r="AH279" s="435">
        <v>166</v>
      </c>
      <c r="AI279" s="432">
        <f t="shared" si="47"/>
        <v>921.3</v>
      </c>
    </row>
    <row r="280" spans="14:35">
      <c r="N280" s="426">
        <v>1000</v>
      </c>
      <c r="O280" s="429">
        <f t="shared" si="36"/>
        <v>1</v>
      </c>
      <c r="P280" s="435">
        <v>233</v>
      </c>
      <c r="Q280" s="432">
        <f t="shared" si="46"/>
        <v>1293.1499999999999</v>
      </c>
      <c r="AF280" s="426">
        <v>980</v>
      </c>
      <c r="AG280" s="429">
        <f t="shared" si="39"/>
        <v>0.98</v>
      </c>
      <c r="AH280" s="435">
        <v>166</v>
      </c>
      <c r="AI280" s="432">
        <f t="shared" si="47"/>
        <v>921.3</v>
      </c>
    </row>
    <row r="281" spans="14:35">
      <c r="N281" s="426">
        <v>1020</v>
      </c>
      <c r="O281" s="429">
        <f t="shared" si="36"/>
        <v>1.02</v>
      </c>
      <c r="P281" s="435">
        <v>233</v>
      </c>
      <c r="Q281" s="432">
        <f t="shared" si="46"/>
        <v>1293.1499999999999</v>
      </c>
      <c r="AF281" s="426">
        <v>1000</v>
      </c>
      <c r="AG281" s="429">
        <f t="shared" si="39"/>
        <v>1</v>
      </c>
      <c r="AH281" s="435">
        <v>167</v>
      </c>
      <c r="AI281" s="432">
        <f t="shared" si="47"/>
        <v>926.85</v>
      </c>
    </row>
    <row r="282" spans="14:35">
      <c r="N282" s="426">
        <v>1040</v>
      </c>
      <c r="O282" s="429">
        <f t="shared" si="36"/>
        <v>1.04</v>
      </c>
      <c r="P282" s="435">
        <v>233</v>
      </c>
      <c r="Q282" s="432">
        <f t="shared" si="46"/>
        <v>1293.1499999999999</v>
      </c>
      <c r="AF282" s="426">
        <v>1020</v>
      </c>
      <c r="AG282" s="429">
        <f t="shared" si="39"/>
        <v>1.02</v>
      </c>
      <c r="AH282" s="435">
        <v>167</v>
      </c>
      <c r="AI282" s="432">
        <f t="shared" si="47"/>
        <v>926.85</v>
      </c>
    </row>
    <row r="283" spans="14:35">
      <c r="N283" s="426">
        <v>1050</v>
      </c>
      <c r="O283" s="429">
        <f t="shared" si="36"/>
        <v>1.05</v>
      </c>
      <c r="P283" s="435">
        <v>234</v>
      </c>
      <c r="Q283" s="432">
        <f t="shared" si="46"/>
        <v>1298.7</v>
      </c>
      <c r="AF283" s="426">
        <v>1040</v>
      </c>
      <c r="AG283" s="429">
        <f t="shared" si="39"/>
        <v>1.04</v>
      </c>
      <c r="AH283" s="435">
        <v>168</v>
      </c>
      <c r="AI283" s="432">
        <f t="shared" si="47"/>
        <v>932.4</v>
      </c>
    </row>
    <row r="284" spans="14:35">
      <c r="N284" s="426">
        <v>1060</v>
      </c>
      <c r="O284" s="429">
        <f t="shared" si="36"/>
        <v>1.06</v>
      </c>
      <c r="P284" s="435">
        <v>234</v>
      </c>
      <c r="Q284" s="432">
        <f t="shared" si="46"/>
        <v>1298.7</v>
      </c>
      <c r="AF284" s="426">
        <v>1050</v>
      </c>
      <c r="AG284" s="429">
        <f t="shared" si="39"/>
        <v>1.05</v>
      </c>
      <c r="AH284" s="435">
        <v>168</v>
      </c>
      <c r="AI284" s="432">
        <f t="shared" si="47"/>
        <v>932.4</v>
      </c>
    </row>
    <row r="285" spans="14:35" ht="15.75" thickBot="1">
      <c r="N285" s="427">
        <v>1080</v>
      </c>
      <c r="O285" s="430">
        <f t="shared" si="36"/>
        <v>1.08</v>
      </c>
      <c r="P285" s="436">
        <v>234</v>
      </c>
      <c r="Q285" s="433">
        <f t="shared" si="46"/>
        <v>1298.7</v>
      </c>
      <c r="AF285" s="426">
        <v>1060</v>
      </c>
      <c r="AG285" s="429">
        <f t="shared" si="39"/>
        <v>1.06</v>
      </c>
      <c r="AH285" s="435">
        <v>169</v>
      </c>
      <c r="AI285" s="432">
        <f t="shared" si="47"/>
        <v>937.94999999999993</v>
      </c>
    </row>
    <row r="286" spans="14:35">
      <c r="AF286" s="426">
        <v>1080</v>
      </c>
      <c r="AG286" s="429">
        <f t="shared" si="39"/>
        <v>1.08</v>
      </c>
      <c r="AH286" s="435">
        <v>170</v>
      </c>
      <c r="AI286" s="432">
        <f t="shared" si="47"/>
        <v>943.5</v>
      </c>
    </row>
    <row r="287" spans="14:35">
      <c r="AF287" s="426">
        <v>1100</v>
      </c>
      <c r="AG287" s="429">
        <f t="shared" si="39"/>
        <v>1.1000000000000001</v>
      </c>
      <c r="AH287" s="435">
        <v>170</v>
      </c>
      <c r="AI287" s="432">
        <f t="shared" si="47"/>
        <v>943.5</v>
      </c>
    </row>
    <row r="288" spans="14:35" hidden="1">
      <c r="AF288" s="426">
        <v>1120</v>
      </c>
      <c r="AG288" s="429">
        <f t="shared" si="39"/>
        <v>1.1200000000000001</v>
      </c>
      <c r="AH288" s="435">
        <v>171</v>
      </c>
      <c r="AI288" s="432">
        <f t="shared" si="47"/>
        <v>949.05</v>
      </c>
    </row>
    <row r="289" spans="32:35" hidden="1">
      <c r="AF289" s="426">
        <v>1140</v>
      </c>
      <c r="AG289" s="429">
        <f t="shared" si="39"/>
        <v>1.1400000000000001</v>
      </c>
      <c r="AH289" s="435">
        <v>172</v>
      </c>
      <c r="AI289" s="432">
        <f t="shared" si="47"/>
        <v>954.6</v>
      </c>
    </row>
    <row r="290" spans="32:35">
      <c r="AF290" s="426">
        <v>1150</v>
      </c>
      <c r="AG290" s="429">
        <f t="shared" si="39"/>
        <v>1.1500000000000001</v>
      </c>
      <c r="AH290" s="435">
        <v>172</v>
      </c>
      <c r="AI290" s="432">
        <f t="shared" si="47"/>
        <v>954.6</v>
      </c>
    </row>
    <row r="291" spans="32:35" hidden="1">
      <c r="AF291" s="426">
        <v>1160</v>
      </c>
      <c r="AG291" s="429">
        <f t="shared" si="39"/>
        <v>1.1599999999999999</v>
      </c>
      <c r="AH291" s="435">
        <v>172</v>
      </c>
      <c r="AI291" s="432">
        <f t="shared" si="47"/>
        <v>954.6</v>
      </c>
    </row>
    <row r="292" spans="32:35" hidden="1">
      <c r="AF292" s="426">
        <v>1180</v>
      </c>
      <c r="AG292" s="429">
        <f t="shared" si="39"/>
        <v>1.18</v>
      </c>
      <c r="AH292" s="435">
        <v>173</v>
      </c>
      <c r="AI292" s="432">
        <f t="shared" si="47"/>
        <v>960.15</v>
      </c>
    </row>
    <row r="293" spans="32:35">
      <c r="AF293" s="426">
        <v>1200</v>
      </c>
      <c r="AG293" s="429">
        <f t="shared" si="39"/>
        <v>1.2</v>
      </c>
      <c r="AH293" s="435">
        <v>175</v>
      </c>
      <c r="AI293" s="432">
        <f t="shared" si="47"/>
        <v>971.25</v>
      </c>
    </row>
    <row r="294" spans="32:35" hidden="1">
      <c r="AF294" s="426">
        <v>1220</v>
      </c>
      <c r="AG294" s="429">
        <f t="shared" si="39"/>
        <v>1.22</v>
      </c>
      <c r="AH294" s="435">
        <v>175</v>
      </c>
      <c r="AI294" s="432">
        <f t="shared" si="47"/>
        <v>971.25</v>
      </c>
    </row>
    <row r="295" spans="32:35" hidden="1">
      <c r="AF295" s="426">
        <v>1240</v>
      </c>
      <c r="AG295" s="429">
        <f t="shared" si="39"/>
        <v>1.24</v>
      </c>
      <c r="AH295" s="435">
        <v>175</v>
      </c>
      <c r="AI295" s="432">
        <f t="shared" si="47"/>
        <v>971.25</v>
      </c>
    </row>
    <row r="296" spans="32:35">
      <c r="AF296" s="426">
        <v>1250</v>
      </c>
      <c r="AG296" s="429">
        <f t="shared" si="39"/>
        <v>1.25</v>
      </c>
      <c r="AH296" s="435">
        <v>176</v>
      </c>
      <c r="AI296" s="432">
        <f t="shared" si="47"/>
        <v>976.8</v>
      </c>
    </row>
    <row r="297" spans="32:35" hidden="1">
      <c r="AF297" s="426">
        <v>1260</v>
      </c>
      <c r="AG297" s="429">
        <f t="shared" si="39"/>
        <v>1.26</v>
      </c>
      <c r="AH297" s="435">
        <v>176</v>
      </c>
      <c r="AI297" s="432">
        <f t="shared" si="47"/>
        <v>976.8</v>
      </c>
    </row>
    <row r="298" spans="32:35" hidden="1">
      <c r="AF298" s="426">
        <v>1280</v>
      </c>
      <c r="AG298" s="429">
        <f t="shared" si="39"/>
        <v>1.28</v>
      </c>
      <c r="AH298" s="435">
        <v>176</v>
      </c>
      <c r="AI298" s="432">
        <f t="shared" si="47"/>
        <v>976.8</v>
      </c>
    </row>
    <row r="299" spans="32:35">
      <c r="AF299" s="426">
        <v>1300</v>
      </c>
      <c r="AG299" s="429">
        <f t="shared" si="39"/>
        <v>1.3</v>
      </c>
      <c r="AH299" s="435">
        <v>176</v>
      </c>
      <c r="AI299" s="432">
        <f t="shared" si="47"/>
        <v>976.8</v>
      </c>
    </row>
    <row r="300" spans="32:35" hidden="1">
      <c r="AF300" s="426">
        <v>1320</v>
      </c>
      <c r="AG300" s="429">
        <f t="shared" si="39"/>
        <v>1.32</v>
      </c>
      <c r="AH300" s="435">
        <v>177</v>
      </c>
      <c r="AI300" s="432">
        <f t="shared" si="47"/>
        <v>982.35</v>
      </c>
    </row>
    <row r="301" spans="32:35" hidden="1">
      <c r="AF301" s="426">
        <v>1340</v>
      </c>
      <c r="AG301" s="429">
        <f t="shared" si="39"/>
        <v>1.34</v>
      </c>
      <c r="AH301" s="435">
        <v>177</v>
      </c>
      <c r="AI301" s="432">
        <f t="shared" si="47"/>
        <v>982.35</v>
      </c>
    </row>
    <row r="302" spans="32:35">
      <c r="AF302" s="426">
        <v>1350</v>
      </c>
      <c r="AG302" s="429">
        <f t="shared" si="39"/>
        <v>1.35</v>
      </c>
      <c r="AH302" s="435">
        <v>177</v>
      </c>
      <c r="AI302" s="432">
        <f t="shared" si="47"/>
        <v>982.35</v>
      </c>
    </row>
    <row r="303" spans="32:35" hidden="1">
      <c r="AF303" s="426">
        <v>1360</v>
      </c>
      <c r="AG303" s="429">
        <f t="shared" si="39"/>
        <v>1.36</v>
      </c>
      <c r="AH303" s="435">
        <v>177</v>
      </c>
      <c r="AI303" s="432">
        <f t="shared" si="47"/>
        <v>982.35</v>
      </c>
    </row>
    <row r="304" spans="32:35" hidden="1">
      <c r="AF304" s="426">
        <v>1380</v>
      </c>
      <c r="AG304" s="429">
        <f t="shared" si="39"/>
        <v>1.3800000000000001</v>
      </c>
      <c r="AH304" s="435">
        <v>177</v>
      </c>
      <c r="AI304" s="432">
        <f t="shared" si="47"/>
        <v>982.35</v>
      </c>
    </row>
    <row r="305" spans="32:35">
      <c r="AF305" s="426">
        <v>1400</v>
      </c>
      <c r="AG305" s="429">
        <f t="shared" si="39"/>
        <v>1.4000000000000001</v>
      </c>
      <c r="AH305" s="435">
        <v>178</v>
      </c>
      <c r="AI305" s="432">
        <f t="shared" si="47"/>
        <v>987.9</v>
      </c>
    </row>
    <row r="306" spans="32:35" hidden="1">
      <c r="AF306" s="426">
        <v>1420</v>
      </c>
      <c r="AG306" s="429">
        <f t="shared" si="39"/>
        <v>1.42</v>
      </c>
      <c r="AH306" s="435">
        <v>178</v>
      </c>
      <c r="AI306" s="432">
        <f t="shared" si="47"/>
        <v>987.9</v>
      </c>
    </row>
    <row r="307" spans="32:35" hidden="1">
      <c r="AF307" s="426">
        <v>1440</v>
      </c>
      <c r="AG307" s="429">
        <f t="shared" si="39"/>
        <v>1.44</v>
      </c>
      <c r="AH307" s="435">
        <v>178</v>
      </c>
      <c r="AI307" s="432">
        <f t="shared" si="47"/>
        <v>987.9</v>
      </c>
    </row>
    <row r="308" spans="32:35">
      <c r="AF308" s="426">
        <v>1450</v>
      </c>
      <c r="AG308" s="429">
        <f t="shared" si="39"/>
        <v>1.45</v>
      </c>
      <c r="AH308" s="435">
        <v>178</v>
      </c>
      <c r="AI308" s="432">
        <f t="shared" si="47"/>
        <v>987.9</v>
      </c>
    </row>
    <row r="309" spans="32:35" hidden="1">
      <c r="AF309" s="426">
        <v>1460</v>
      </c>
      <c r="AG309" s="429">
        <f t="shared" si="39"/>
        <v>1.46</v>
      </c>
      <c r="AH309" s="435">
        <v>178</v>
      </c>
      <c r="AI309" s="432">
        <f t="shared" si="47"/>
        <v>987.9</v>
      </c>
    </row>
    <row r="310" spans="32:35" hidden="1">
      <c r="AF310" s="426">
        <v>1480</v>
      </c>
      <c r="AG310" s="429">
        <f t="shared" si="39"/>
        <v>1.48</v>
      </c>
      <c r="AH310" s="435">
        <v>179</v>
      </c>
      <c r="AI310" s="432">
        <f t="shared" si="47"/>
        <v>993.44999999999993</v>
      </c>
    </row>
    <row r="311" spans="32:35">
      <c r="AF311" s="426">
        <v>1500</v>
      </c>
      <c r="AG311" s="429">
        <f t="shared" si="39"/>
        <v>1.5</v>
      </c>
      <c r="AH311" s="435">
        <v>179</v>
      </c>
      <c r="AI311" s="432">
        <f t="shared" si="47"/>
        <v>993.44999999999993</v>
      </c>
    </row>
    <row r="312" spans="32:35" hidden="1">
      <c r="AF312" s="426">
        <v>1520</v>
      </c>
      <c r="AG312" s="429">
        <f t="shared" si="39"/>
        <v>1.52</v>
      </c>
      <c r="AH312" s="435">
        <v>179</v>
      </c>
      <c r="AI312" s="432">
        <f t="shared" si="47"/>
        <v>993.44999999999993</v>
      </c>
    </row>
    <row r="313" spans="32:35" hidden="1">
      <c r="AF313" s="426">
        <v>1540</v>
      </c>
      <c r="AG313" s="429">
        <f t="shared" si="39"/>
        <v>1.54</v>
      </c>
      <c r="AH313" s="435">
        <v>179</v>
      </c>
      <c r="AI313" s="432">
        <f t="shared" si="47"/>
        <v>993.44999999999993</v>
      </c>
    </row>
    <row r="314" spans="32:35">
      <c r="AF314" s="426">
        <v>1550</v>
      </c>
      <c r="AG314" s="429">
        <f t="shared" si="39"/>
        <v>1.55</v>
      </c>
      <c r="AH314" s="435">
        <v>179</v>
      </c>
      <c r="AI314" s="432">
        <f t="shared" si="47"/>
        <v>993.44999999999993</v>
      </c>
    </row>
    <row r="315" spans="32:35" hidden="1">
      <c r="AF315" s="426">
        <v>1560</v>
      </c>
      <c r="AG315" s="429">
        <f t="shared" si="39"/>
        <v>1.56</v>
      </c>
      <c r="AH315" s="435">
        <v>180</v>
      </c>
      <c r="AI315" s="432">
        <f t="shared" si="47"/>
        <v>999</v>
      </c>
    </row>
    <row r="316" spans="32:35" hidden="1">
      <c r="AF316" s="426">
        <v>1580</v>
      </c>
      <c r="AG316" s="429">
        <f t="shared" si="39"/>
        <v>1.58</v>
      </c>
      <c r="AH316" s="435">
        <v>180</v>
      </c>
      <c r="AI316" s="432">
        <f t="shared" si="47"/>
        <v>999</v>
      </c>
    </row>
    <row r="317" spans="32:35">
      <c r="AF317" s="426">
        <v>1600</v>
      </c>
      <c r="AG317" s="429">
        <f t="shared" si="39"/>
        <v>1.6</v>
      </c>
      <c r="AH317" s="435">
        <v>180</v>
      </c>
      <c r="AI317" s="432">
        <f t="shared" si="47"/>
        <v>999</v>
      </c>
    </row>
    <row r="318" spans="32:35" hidden="1">
      <c r="AF318" s="426">
        <v>1620</v>
      </c>
      <c r="AG318" s="429">
        <f t="shared" si="39"/>
        <v>1.62</v>
      </c>
      <c r="AH318" s="435">
        <v>180</v>
      </c>
      <c r="AI318" s="432">
        <f t="shared" si="47"/>
        <v>999</v>
      </c>
    </row>
    <row r="319" spans="32:35" hidden="1">
      <c r="AF319" s="426">
        <v>1640</v>
      </c>
      <c r="AG319" s="429">
        <f t="shared" si="39"/>
        <v>1.6400000000000001</v>
      </c>
      <c r="AH319" s="435">
        <v>180</v>
      </c>
      <c r="AI319" s="432">
        <f t="shared" ref="AI319:AI325" si="48">AH319*$C$9</f>
        <v>999</v>
      </c>
    </row>
    <row r="320" spans="32:35">
      <c r="AF320" s="426">
        <v>1650</v>
      </c>
      <c r="AG320" s="429">
        <f t="shared" si="39"/>
        <v>1.6500000000000001</v>
      </c>
      <c r="AH320" s="435">
        <v>181</v>
      </c>
      <c r="AI320" s="432">
        <f t="shared" si="48"/>
        <v>1004.55</v>
      </c>
    </row>
    <row r="321" spans="2:35" hidden="1">
      <c r="AF321" s="426">
        <v>1680</v>
      </c>
      <c r="AG321" s="429">
        <f t="shared" si="39"/>
        <v>1.68</v>
      </c>
      <c r="AH321" s="435">
        <v>181</v>
      </c>
      <c r="AI321" s="432">
        <f t="shared" si="48"/>
        <v>1004.55</v>
      </c>
    </row>
    <row r="322" spans="2:35">
      <c r="AF322" s="426">
        <v>1700</v>
      </c>
      <c r="AG322" s="429">
        <f t="shared" si="39"/>
        <v>1.7</v>
      </c>
      <c r="AH322" s="435">
        <v>181</v>
      </c>
      <c r="AI322" s="432">
        <f t="shared" si="48"/>
        <v>1004.55</v>
      </c>
    </row>
    <row r="323" spans="2:35">
      <c r="AF323" s="426">
        <v>1720</v>
      </c>
      <c r="AG323" s="429">
        <f t="shared" si="39"/>
        <v>1.72</v>
      </c>
      <c r="AH323" s="435">
        <v>182</v>
      </c>
      <c r="AI323" s="432">
        <f t="shared" si="48"/>
        <v>1010.1</v>
      </c>
    </row>
    <row r="324" spans="2:35">
      <c r="AF324" s="426">
        <v>1740</v>
      </c>
      <c r="AG324" s="429">
        <f t="shared" si="39"/>
        <v>1.74</v>
      </c>
      <c r="AH324" s="435">
        <v>182</v>
      </c>
      <c r="AI324" s="432">
        <f t="shared" si="48"/>
        <v>1010.1</v>
      </c>
    </row>
    <row r="325" spans="2:35" ht="15.75" thickBot="1">
      <c r="AF325" s="427">
        <v>1750</v>
      </c>
      <c r="AG325" s="430">
        <f t="shared" si="39"/>
        <v>1.75</v>
      </c>
      <c r="AH325" s="436">
        <v>182</v>
      </c>
      <c r="AI325" s="433">
        <f t="shared" si="48"/>
        <v>1010.1</v>
      </c>
    </row>
    <row r="326" spans="2:35" ht="15.75" thickBot="1"/>
    <row r="327" spans="2:35" ht="15.75" thickBot="1">
      <c r="B327" s="331" t="s">
        <v>264</v>
      </c>
      <c r="C327" s="394">
        <v>0.22</v>
      </c>
      <c r="D327" s="331" t="s">
        <v>262</v>
      </c>
      <c r="E327" s="394">
        <f>MAX(E226:E237)</f>
        <v>144.29999999999998</v>
      </c>
      <c r="H327" s="331" t="s">
        <v>264</v>
      </c>
      <c r="I327" s="394">
        <v>0.5</v>
      </c>
      <c r="J327" s="331" t="s">
        <v>262</v>
      </c>
      <c r="K327" s="394">
        <f>MAX(K226:K251)</f>
        <v>410.7</v>
      </c>
      <c r="N327" s="331" t="s">
        <v>264</v>
      </c>
      <c r="O327" s="394">
        <v>1.08</v>
      </c>
      <c r="P327" s="331" t="s">
        <v>262</v>
      </c>
      <c r="Q327" s="394">
        <f>MAX(Q226:Q285)</f>
        <v>1298.7</v>
      </c>
      <c r="T327" s="331" t="s">
        <v>264</v>
      </c>
      <c r="U327" s="394">
        <v>0.24</v>
      </c>
      <c r="V327" s="331" t="s">
        <v>262</v>
      </c>
      <c r="W327" s="394">
        <f>MAX(W226:W237)</f>
        <v>66.599999999999994</v>
      </c>
      <c r="Z327" s="331" t="s">
        <v>264</v>
      </c>
      <c r="AA327" s="394">
        <v>0.52</v>
      </c>
      <c r="AB327" s="331" t="s">
        <v>262</v>
      </c>
      <c r="AC327" s="394">
        <f>MAX(AC226:AC252)</f>
        <v>244.2</v>
      </c>
      <c r="AF327" s="331" t="s">
        <v>264</v>
      </c>
      <c r="AG327" s="394">
        <v>1.75</v>
      </c>
      <c r="AH327" s="331" t="s">
        <v>262</v>
      </c>
      <c r="AI327" s="394">
        <f>MAX(AI226:AI325)</f>
        <v>1010.1</v>
      </c>
    </row>
    <row r="328" spans="2:35" ht="15.75" thickBot="1"/>
    <row r="329" spans="2:35" ht="15.75" thickBot="1">
      <c r="B329" s="185" t="s">
        <v>325</v>
      </c>
      <c r="C329" s="486">
        <f>C327/D219</f>
        <v>0.73333333333333339</v>
      </c>
      <c r="H329" s="185" t="s">
        <v>325</v>
      </c>
      <c r="I329" s="486">
        <f>I327/J219</f>
        <v>1</v>
      </c>
      <c r="N329" s="185" t="s">
        <v>325</v>
      </c>
      <c r="O329" s="486">
        <f>O327/P219</f>
        <v>1.35</v>
      </c>
      <c r="T329" s="185" t="s">
        <v>325</v>
      </c>
      <c r="U329" s="486">
        <f>U327/V219</f>
        <v>0.8</v>
      </c>
      <c r="Z329" s="185" t="s">
        <v>325</v>
      </c>
      <c r="AA329" s="486">
        <f>AA327/AB219</f>
        <v>1.04</v>
      </c>
      <c r="AF329" s="185" t="s">
        <v>325</v>
      </c>
      <c r="AG329" s="486">
        <f>AG327/AH219</f>
        <v>2.1875</v>
      </c>
    </row>
  </sheetData>
  <mergeCells count="63">
    <mergeCell ref="B107:C107"/>
    <mergeCell ref="B108:C108"/>
    <mergeCell ref="H107:I107"/>
    <mergeCell ref="H108:I108"/>
    <mergeCell ref="B106:C106"/>
    <mergeCell ref="H106:I106"/>
    <mergeCell ref="B219:C219"/>
    <mergeCell ref="B218:C218"/>
    <mergeCell ref="H218:I218"/>
    <mergeCell ref="N218:O218"/>
    <mergeCell ref="B217:C217"/>
    <mergeCell ref="H217:I217"/>
    <mergeCell ref="N217:O217"/>
    <mergeCell ref="N5:O5"/>
    <mergeCell ref="N6:O6"/>
    <mergeCell ref="N7:O7"/>
    <mergeCell ref="T7:U7"/>
    <mergeCell ref="H219:I219"/>
    <mergeCell ref="T217:U217"/>
    <mergeCell ref="N219:O219"/>
    <mergeCell ref="T219:U219"/>
    <mergeCell ref="AF217:AG217"/>
    <mergeCell ref="N107:O107"/>
    <mergeCell ref="N108:O108"/>
    <mergeCell ref="N106:O106"/>
    <mergeCell ref="T106:U106"/>
    <mergeCell ref="Z106:AA106"/>
    <mergeCell ref="Z217:AA217"/>
    <mergeCell ref="E1:G1"/>
    <mergeCell ref="B5:C5"/>
    <mergeCell ref="B6:C6"/>
    <mergeCell ref="B7:C7"/>
    <mergeCell ref="H5:I5"/>
    <mergeCell ref="H6:I6"/>
    <mergeCell ref="H7:I7"/>
    <mergeCell ref="Z7:AA7"/>
    <mergeCell ref="T5:U5"/>
    <mergeCell ref="Z5:AA5"/>
    <mergeCell ref="AF7:AG7"/>
    <mergeCell ref="T108:U108"/>
    <mergeCell ref="Z108:AA108"/>
    <mergeCell ref="AF108:AG108"/>
    <mergeCell ref="T107:U107"/>
    <mergeCell ref="Z107:AA107"/>
    <mergeCell ref="AF107:AG107"/>
    <mergeCell ref="AF5:AG5"/>
    <mergeCell ref="T6:U6"/>
    <mergeCell ref="Z6:AA6"/>
    <mergeCell ref="AF6:AG6"/>
    <mergeCell ref="AF106:AG106"/>
    <mergeCell ref="Z219:AA219"/>
    <mergeCell ref="AF219:AG219"/>
    <mergeCell ref="T218:U218"/>
    <mergeCell ref="Z218:AA218"/>
    <mergeCell ref="AF218:AG218"/>
    <mergeCell ref="AM14:AM22"/>
    <mergeCell ref="AM23:AM31"/>
    <mergeCell ref="AN17:AN19"/>
    <mergeCell ref="AN20:AN22"/>
    <mergeCell ref="AN23:AN25"/>
    <mergeCell ref="AN26:AN28"/>
    <mergeCell ref="AN29:AN31"/>
    <mergeCell ref="AN14:AN16"/>
  </mergeCells>
  <pageMargins left="0.7" right="0.7" top="0.75" bottom="0.75" header="0.3" footer="0.3"/>
  <pageSetup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C164"/>
  <sheetViews>
    <sheetView zoomScale="73" zoomScaleNormal="73" workbookViewId="0"/>
  </sheetViews>
  <sheetFormatPr defaultRowHeight="15"/>
  <sheetData>
    <row r="1" spans="2:27" ht="15.75" thickBot="1"/>
    <row r="2" spans="2:27" ht="21.75" thickBot="1">
      <c r="B2" s="321"/>
      <c r="C2" s="481"/>
      <c r="D2" s="481"/>
      <c r="E2" s="481"/>
      <c r="F2" s="481"/>
      <c r="G2" s="481"/>
      <c r="H2" s="481"/>
      <c r="I2" s="481"/>
      <c r="J2" s="670" t="s">
        <v>320</v>
      </c>
      <c r="K2" s="671"/>
      <c r="L2" s="671"/>
      <c r="M2" s="671"/>
      <c r="N2" s="671"/>
      <c r="O2" s="671"/>
      <c r="P2" s="671"/>
      <c r="Q2" s="672"/>
      <c r="R2" s="481"/>
      <c r="S2" s="481"/>
      <c r="T2" s="481"/>
      <c r="U2" s="481"/>
      <c r="V2" s="481"/>
      <c r="W2" s="481"/>
      <c r="X2" s="481"/>
      <c r="Y2" s="481"/>
      <c r="Z2" s="481"/>
      <c r="AA2" s="482"/>
    </row>
    <row r="3" spans="2:27">
      <c r="B3" s="37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483"/>
    </row>
    <row r="4" spans="2:27">
      <c r="B4" s="37"/>
      <c r="C4" s="10"/>
      <c r="D4" s="10"/>
      <c r="E4" s="10"/>
      <c r="F4" s="10"/>
      <c r="G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483"/>
    </row>
    <row r="5" spans="2:27">
      <c r="B5" s="37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483"/>
    </row>
    <row r="6" spans="2:27">
      <c r="B6" s="37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483"/>
    </row>
    <row r="7" spans="2:27">
      <c r="B7" s="37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483"/>
    </row>
    <row r="8" spans="2:27">
      <c r="B8" s="37"/>
      <c r="C8" s="31" t="s">
        <v>268</v>
      </c>
      <c r="D8" s="31" t="s">
        <v>318</v>
      </c>
      <c r="E8" s="10"/>
      <c r="F8" s="10"/>
      <c r="G8" s="10"/>
      <c r="H8" s="10"/>
      <c r="I8" s="10"/>
      <c r="J8" s="10"/>
      <c r="K8" s="10"/>
      <c r="L8" s="31" t="s">
        <v>268</v>
      </c>
      <c r="M8" s="31" t="s">
        <v>318</v>
      </c>
      <c r="N8" s="10"/>
      <c r="O8" s="10"/>
      <c r="P8" s="10"/>
      <c r="Q8" s="10"/>
      <c r="R8" s="10"/>
      <c r="S8" s="10"/>
      <c r="T8" s="31" t="s">
        <v>268</v>
      </c>
      <c r="U8" s="31" t="s">
        <v>318</v>
      </c>
      <c r="V8" s="10"/>
      <c r="W8" s="10"/>
      <c r="X8" s="10"/>
      <c r="Y8" s="10"/>
      <c r="Z8" s="10"/>
      <c r="AA8" s="483"/>
    </row>
    <row r="9" spans="2:27">
      <c r="B9" s="37"/>
      <c r="C9" s="669">
        <v>0.3</v>
      </c>
      <c r="D9" s="669">
        <v>0.3</v>
      </c>
      <c r="E9" s="10"/>
      <c r="F9" s="10"/>
      <c r="G9" s="10"/>
      <c r="H9" s="10"/>
      <c r="I9" s="10"/>
      <c r="J9" s="10"/>
      <c r="K9" s="10"/>
      <c r="L9" s="669">
        <v>0.3</v>
      </c>
      <c r="M9" s="669">
        <v>0.5</v>
      </c>
      <c r="N9" s="10"/>
      <c r="O9" s="10"/>
      <c r="P9" s="10"/>
      <c r="Q9" s="10"/>
      <c r="R9" s="10"/>
      <c r="S9" s="10"/>
      <c r="T9" s="669">
        <v>0.3</v>
      </c>
      <c r="U9" s="669">
        <v>0.8</v>
      </c>
      <c r="V9" s="10"/>
      <c r="W9" s="10"/>
      <c r="X9" s="10"/>
      <c r="Y9" s="10"/>
      <c r="Z9" s="10"/>
      <c r="AA9" s="483"/>
    </row>
    <row r="10" spans="2:27">
      <c r="B10" s="37"/>
      <c r="C10" s="669"/>
      <c r="D10" s="669"/>
      <c r="E10" s="10"/>
      <c r="F10" s="10"/>
      <c r="G10" s="10"/>
      <c r="H10" s="10"/>
      <c r="I10" s="10"/>
      <c r="J10" s="10"/>
      <c r="K10" s="10"/>
      <c r="L10" s="669"/>
      <c r="M10" s="669"/>
      <c r="N10" s="10"/>
      <c r="O10" s="10"/>
      <c r="P10" s="10"/>
      <c r="Q10" s="10"/>
      <c r="R10" s="10"/>
      <c r="S10" s="10"/>
      <c r="T10" s="669"/>
      <c r="U10" s="669"/>
      <c r="V10" s="10"/>
      <c r="W10" s="10"/>
      <c r="X10" s="10"/>
      <c r="Y10" s="10"/>
      <c r="Z10" s="10"/>
      <c r="AA10" s="483"/>
    </row>
    <row r="11" spans="2:27">
      <c r="B11" s="37"/>
      <c r="C11" s="669"/>
      <c r="D11" s="669"/>
      <c r="E11" s="10"/>
      <c r="F11" s="10"/>
      <c r="G11" s="10"/>
      <c r="H11" s="10"/>
      <c r="I11" s="10"/>
      <c r="J11" s="10"/>
      <c r="K11" s="10"/>
      <c r="L11" s="669"/>
      <c r="M11" s="669"/>
      <c r="N11" s="10"/>
      <c r="O11" s="10"/>
      <c r="P11" s="10"/>
      <c r="Q11" s="10"/>
      <c r="R11" s="10"/>
      <c r="S11" s="10"/>
      <c r="T11" s="669"/>
      <c r="U11" s="669"/>
      <c r="V11" s="10"/>
      <c r="W11" s="10"/>
      <c r="X11" s="10"/>
      <c r="Y11" s="10"/>
      <c r="Z11" s="10"/>
      <c r="AA11" s="483"/>
    </row>
    <row r="12" spans="2:27">
      <c r="B12" s="37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483"/>
    </row>
    <row r="13" spans="2:27">
      <c r="B13" s="37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483"/>
    </row>
    <row r="14" spans="2:27">
      <c r="B14" s="37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483"/>
    </row>
    <row r="15" spans="2:27">
      <c r="B15" s="37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483"/>
    </row>
    <row r="16" spans="2:27">
      <c r="B16" s="37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483"/>
    </row>
    <row r="17" spans="2:27">
      <c r="B17" s="37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483"/>
    </row>
    <row r="18" spans="2:27">
      <c r="B18" s="37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483"/>
    </row>
    <row r="19" spans="2:27">
      <c r="B19" s="37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483"/>
    </row>
    <row r="20" spans="2:27">
      <c r="B20" s="37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483"/>
    </row>
    <row r="21" spans="2:27">
      <c r="B21" s="37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483"/>
    </row>
    <row r="22" spans="2:27">
      <c r="B22" s="37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483"/>
    </row>
    <row r="23" spans="2:27">
      <c r="B23" s="37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483"/>
    </row>
    <row r="24" spans="2:27">
      <c r="B24" s="37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483"/>
    </row>
    <row r="25" spans="2:27">
      <c r="B25" s="37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483"/>
    </row>
    <row r="26" spans="2:27">
      <c r="B26" s="37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483"/>
    </row>
    <row r="27" spans="2:27">
      <c r="B27" s="37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483"/>
    </row>
    <row r="28" spans="2:27">
      <c r="B28" s="37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483"/>
    </row>
    <row r="29" spans="2:27">
      <c r="B29" s="37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483"/>
    </row>
    <row r="30" spans="2:27">
      <c r="B30" s="37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483"/>
    </row>
    <row r="31" spans="2:27">
      <c r="B31" s="30" t="s">
        <v>268</v>
      </c>
      <c r="C31" s="31" t="s">
        <v>318</v>
      </c>
      <c r="D31" s="10"/>
      <c r="E31" s="10"/>
      <c r="F31" s="10"/>
      <c r="G31" s="10"/>
      <c r="H31" s="10"/>
      <c r="I31" s="10"/>
      <c r="J31" s="10"/>
      <c r="K31" s="31" t="s">
        <v>268</v>
      </c>
      <c r="L31" s="31" t="s">
        <v>318</v>
      </c>
      <c r="M31" s="10"/>
      <c r="N31" s="10"/>
      <c r="O31" s="10"/>
      <c r="P31" s="10"/>
      <c r="Q31" s="10"/>
      <c r="R31" s="10"/>
      <c r="S31" s="10"/>
      <c r="T31" s="31" t="s">
        <v>268</v>
      </c>
      <c r="U31" s="31" t="s">
        <v>318</v>
      </c>
      <c r="V31" s="10"/>
      <c r="W31" s="10"/>
      <c r="X31" s="10"/>
      <c r="Y31" s="10"/>
      <c r="Z31" s="10"/>
      <c r="AA31" s="483"/>
    </row>
    <row r="32" spans="2:27">
      <c r="B32" s="680">
        <v>0.15</v>
      </c>
      <c r="C32" s="669">
        <v>0.3</v>
      </c>
      <c r="D32" s="10"/>
      <c r="E32" s="10"/>
      <c r="F32" s="10"/>
      <c r="G32" s="10"/>
      <c r="H32" s="10"/>
      <c r="I32" s="10"/>
      <c r="J32" s="10"/>
      <c r="K32" s="669">
        <v>0.15</v>
      </c>
      <c r="L32" s="669">
        <v>0.5</v>
      </c>
      <c r="M32" s="10"/>
      <c r="N32" s="10"/>
      <c r="O32" s="10"/>
      <c r="P32" s="10"/>
      <c r="Q32" s="10"/>
      <c r="R32" s="10"/>
      <c r="S32" s="10"/>
      <c r="T32" s="669">
        <v>0.15</v>
      </c>
      <c r="U32" s="669">
        <v>0.8</v>
      </c>
      <c r="V32" s="10"/>
      <c r="W32" s="10"/>
      <c r="X32" s="10"/>
      <c r="Y32" s="10"/>
      <c r="Z32" s="10"/>
      <c r="AA32" s="483"/>
    </row>
    <row r="33" spans="2:27">
      <c r="B33" s="680"/>
      <c r="C33" s="669"/>
      <c r="D33" s="10"/>
      <c r="E33" s="10"/>
      <c r="F33" s="10"/>
      <c r="G33" s="10"/>
      <c r="H33" s="10"/>
      <c r="I33" s="10"/>
      <c r="J33" s="10"/>
      <c r="K33" s="669"/>
      <c r="L33" s="669"/>
      <c r="M33" s="10"/>
      <c r="N33" s="10"/>
      <c r="O33" s="10"/>
      <c r="P33" s="10"/>
      <c r="Q33" s="10"/>
      <c r="R33" s="10"/>
      <c r="S33" s="10"/>
      <c r="T33" s="669"/>
      <c r="U33" s="669"/>
      <c r="V33" s="10"/>
      <c r="W33" s="10"/>
      <c r="X33" s="10"/>
      <c r="Y33" s="10"/>
      <c r="Z33" s="10"/>
      <c r="AA33" s="483"/>
    </row>
    <row r="34" spans="2:27">
      <c r="B34" s="680"/>
      <c r="C34" s="669"/>
      <c r="D34" s="10"/>
      <c r="E34" s="10"/>
      <c r="F34" s="10"/>
      <c r="G34" s="10"/>
      <c r="H34" s="10"/>
      <c r="I34" s="10"/>
      <c r="J34" s="10"/>
      <c r="K34" s="669"/>
      <c r="L34" s="669"/>
      <c r="M34" s="10"/>
      <c r="N34" s="10"/>
      <c r="O34" s="10"/>
      <c r="P34" s="10"/>
      <c r="Q34" s="10"/>
      <c r="R34" s="10"/>
      <c r="S34" s="10"/>
      <c r="T34" s="669"/>
      <c r="U34" s="669"/>
      <c r="V34" s="10"/>
      <c r="W34" s="10"/>
      <c r="X34" s="10"/>
      <c r="Y34" s="10"/>
      <c r="Z34" s="10"/>
      <c r="AA34" s="483"/>
    </row>
    <row r="35" spans="2:27">
      <c r="B35" s="37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483"/>
    </row>
    <row r="36" spans="2:27">
      <c r="B36" s="37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483"/>
    </row>
    <row r="37" spans="2:27">
      <c r="B37" s="37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483"/>
    </row>
    <row r="38" spans="2:27">
      <c r="B38" s="37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483"/>
    </row>
    <row r="39" spans="2:27">
      <c r="B39" s="37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483"/>
    </row>
    <row r="40" spans="2:27">
      <c r="B40" s="37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483"/>
    </row>
    <row r="41" spans="2:27">
      <c r="B41" s="37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483"/>
    </row>
    <row r="42" spans="2:27">
      <c r="B42" s="37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483"/>
    </row>
    <row r="43" spans="2:27">
      <c r="B43" s="37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483"/>
    </row>
    <row r="44" spans="2:27">
      <c r="B44" s="37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483"/>
    </row>
    <row r="45" spans="2:27">
      <c r="B45" s="37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483"/>
    </row>
    <row r="46" spans="2:27">
      <c r="B46" s="37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483"/>
    </row>
    <row r="47" spans="2:27">
      <c r="B47" s="37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483"/>
    </row>
    <row r="48" spans="2:27">
      <c r="B48" s="37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483"/>
    </row>
    <row r="49" spans="2:29">
      <c r="B49" s="37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483"/>
    </row>
    <row r="50" spans="2:29">
      <c r="B50" s="37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483"/>
    </row>
    <row r="51" spans="2:29" ht="15.75" thickBot="1">
      <c r="B51" s="136"/>
      <c r="C51" s="137"/>
      <c r="D51" s="137"/>
      <c r="E51" s="137"/>
      <c r="F51" s="137"/>
      <c r="G51" s="137"/>
      <c r="H51" s="137"/>
      <c r="I51" s="137"/>
      <c r="J51" s="137"/>
      <c r="K51" s="137"/>
      <c r="L51" s="137"/>
      <c r="M51" s="137"/>
      <c r="N51" s="137"/>
      <c r="O51" s="137"/>
      <c r="P51" s="137"/>
      <c r="Q51" s="137"/>
      <c r="R51" s="137"/>
      <c r="S51" s="137"/>
      <c r="T51" s="137"/>
      <c r="U51" s="137"/>
      <c r="V51" s="137"/>
      <c r="W51" s="137"/>
      <c r="X51" s="137"/>
      <c r="Y51" s="137"/>
      <c r="Z51" s="137"/>
      <c r="AA51" s="447"/>
    </row>
    <row r="54" spans="2:29" ht="15.75" thickBot="1"/>
    <row r="55" spans="2:29" ht="21">
      <c r="B55" s="321"/>
      <c r="C55" s="481"/>
      <c r="D55" s="481"/>
      <c r="E55" s="481"/>
      <c r="F55" s="481"/>
      <c r="G55" s="481"/>
      <c r="H55" s="481"/>
      <c r="I55" s="481"/>
      <c r="J55" s="481"/>
      <c r="K55" s="673" t="s">
        <v>321</v>
      </c>
      <c r="L55" s="673"/>
      <c r="M55" s="673"/>
      <c r="N55" s="673"/>
      <c r="O55" s="673"/>
      <c r="P55" s="673"/>
      <c r="Q55" s="673"/>
      <c r="R55" s="673"/>
      <c r="S55" s="673"/>
      <c r="T55" s="673"/>
      <c r="U55" s="481"/>
      <c r="V55" s="481"/>
      <c r="W55" s="481"/>
      <c r="X55" s="481"/>
      <c r="Y55" s="481"/>
      <c r="Z55" s="481"/>
      <c r="AA55" s="481"/>
      <c r="AB55" s="481"/>
      <c r="AC55" s="482"/>
    </row>
    <row r="56" spans="2:29">
      <c r="B56" s="37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483"/>
    </row>
    <row r="57" spans="2:29">
      <c r="B57" s="37"/>
      <c r="C57" s="10"/>
      <c r="D57" s="31" t="s">
        <v>273</v>
      </c>
      <c r="E57" s="31" t="s">
        <v>318</v>
      </c>
      <c r="F57" s="10"/>
      <c r="G57" s="10"/>
      <c r="H57" s="10"/>
      <c r="I57" s="10"/>
      <c r="J57" s="10"/>
      <c r="K57" s="10"/>
      <c r="L57" s="10"/>
      <c r="M57" s="31" t="s">
        <v>273</v>
      </c>
      <c r="N57" s="31" t="s">
        <v>318</v>
      </c>
      <c r="O57" s="10"/>
      <c r="P57" s="10"/>
      <c r="Q57" s="10"/>
      <c r="R57" s="10"/>
      <c r="S57" s="10"/>
      <c r="T57" s="10"/>
      <c r="U57" s="10"/>
      <c r="V57" s="31" t="s">
        <v>273</v>
      </c>
      <c r="W57" s="31" t="s">
        <v>318</v>
      </c>
      <c r="X57" s="10"/>
      <c r="Y57" s="10"/>
      <c r="Z57" s="10"/>
      <c r="AA57" s="10"/>
      <c r="AB57" s="10"/>
      <c r="AC57" s="483"/>
    </row>
    <row r="58" spans="2:29">
      <c r="B58" s="37"/>
      <c r="C58" s="10"/>
      <c r="D58" s="677">
        <v>0.3</v>
      </c>
      <c r="E58" s="669">
        <v>0.3</v>
      </c>
      <c r="F58" s="10"/>
      <c r="G58" s="10"/>
      <c r="H58" s="10"/>
      <c r="I58" s="10"/>
      <c r="J58" s="10"/>
      <c r="K58" s="10"/>
      <c r="L58" s="10"/>
      <c r="M58" s="677">
        <v>0.3</v>
      </c>
      <c r="N58" s="669">
        <v>0.5</v>
      </c>
      <c r="O58" s="10"/>
      <c r="P58" s="10"/>
      <c r="Q58" s="10"/>
      <c r="R58" s="10"/>
      <c r="S58" s="10"/>
      <c r="T58" s="10"/>
      <c r="U58" s="10"/>
      <c r="V58" s="677">
        <v>0.3</v>
      </c>
      <c r="W58" s="669">
        <v>0.8</v>
      </c>
      <c r="X58" s="10"/>
      <c r="Y58" s="10"/>
      <c r="Z58" s="10"/>
      <c r="AA58" s="10"/>
      <c r="AB58" s="10"/>
      <c r="AC58" s="483"/>
    </row>
    <row r="59" spans="2:29">
      <c r="B59" s="37"/>
      <c r="C59" s="10"/>
      <c r="D59" s="669"/>
      <c r="E59" s="669"/>
      <c r="F59" s="10"/>
      <c r="G59" s="10"/>
      <c r="H59" s="10"/>
      <c r="I59" s="10"/>
      <c r="J59" s="10"/>
      <c r="K59" s="10"/>
      <c r="L59" s="10"/>
      <c r="M59" s="669"/>
      <c r="N59" s="669"/>
      <c r="O59" s="10"/>
      <c r="P59" s="10"/>
      <c r="Q59" s="10"/>
      <c r="R59" s="10"/>
      <c r="S59" s="10"/>
      <c r="T59" s="10"/>
      <c r="U59" s="10"/>
      <c r="V59" s="669"/>
      <c r="W59" s="669"/>
      <c r="X59" s="10"/>
      <c r="Y59" s="10"/>
      <c r="Z59" s="10"/>
      <c r="AA59" s="10"/>
      <c r="AB59" s="10"/>
      <c r="AC59" s="483"/>
    </row>
    <row r="60" spans="2:29">
      <c r="B60" s="37"/>
      <c r="C60" s="10"/>
      <c r="D60" s="669"/>
      <c r="E60" s="669"/>
      <c r="F60" s="10"/>
      <c r="G60" s="10"/>
      <c r="H60" s="10"/>
      <c r="I60" s="10"/>
      <c r="J60" s="10"/>
      <c r="K60" s="10"/>
      <c r="L60" s="10"/>
      <c r="M60" s="669"/>
      <c r="N60" s="669"/>
      <c r="O60" s="10"/>
      <c r="P60" s="10"/>
      <c r="Q60" s="10"/>
      <c r="R60" s="10"/>
      <c r="S60" s="10"/>
      <c r="T60" s="10"/>
      <c r="U60" s="10"/>
      <c r="V60" s="669"/>
      <c r="W60" s="669"/>
      <c r="X60" s="10"/>
      <c r="Y60" s="10"/>
      <c r="Z60" s="10"/>
      <c r="AA60" s="10"/>
      <c r="AB60" s="10"/>
      <c r="AC60" s="483"/>
    </row>
    <row r="61" spans="2:29">
      <c r="B61" s="37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483"/>
    </row>
    <row r="62" spans="2:29">
      <c r="B62" s="37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483"/>
    </row>
    <row r="63" spans="2:29">
      <c r="B63" s="37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483"/>
    </row>
    <row r="64" spans="2:29">
      <c r="B64" s="37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483"/>
    </row>
    <row r="65" spans="2:29">
      <c r="B65" s="37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483"/>
    </row>
    <row r="66" spans="2:29">
      <c r="B66" s="37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483"/>
    </row>
    <row r="67" spans="2:29">
      <c r="B67" s="37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483"/>
    </row>
    <row r="68" spans="2:29">
      <c r="B68" s="37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483"/>
    </row>
    <row r="69" spans="2:29">
      <c r="B69" s="37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483"/>
    </row>
    <row r="70" spans="2:29">
      <c r="B70" s="37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483"/>
    </row>
    <row r="71" spans="2:29">
      <c r="B71" s="37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483"/>
    </row>
    <row r="72" spans="2:29">
      <c r="B72" s="37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483"/>
    </row>
    <row r="73" spans="2:29">
      <c r="B73" s="37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483"/>
    </row>
    <row r="74" spans="2:29">
      <c r="B74" s="37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483"/>
    </row>
    <row r="75" spans="2:29">
      <c r="B75" s="37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483"/>
    </row>
    <row r="76" spans="2:29">
      <c r="B76" s="37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483"/>
    </row>
    <row r="77" spans="2:29">
      <c r="B77" s="37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483"/>
    </row>
    <row r="78" spans="2:29">
      <c r="B78" s="37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483"/>
    </row>
    <row r="79" spans="2:29">
      <c r="B79" s="37"/>
      <c r="C79" s="498" t="s">
        <v>273</v>
      </c>
      <c r="D79" s="498" t="s">
        <v>318</v>
      </c>
      <c r="E79" s="10"/>
      <c r="F79" s="10"/>
      <c r="G79" s="10"/>
      <c r="H79" s="10"/>
      <c r="I79" s="10"/>
      <c r="J79" s="10"/>
      <c r="K79" s="10"/>
      <c r="L79" s="31" t="s">
        <v>273</v>
      </c>
      <c r="M79" s="31" t="s">
        <v>318</v>
      </c>
      <c r="N79" s="10"/>
      <c r="O79" s="10"/>
      <c r="P79" s="10"/>
      <c r="Q79" s="10"/>
      <c r="R79" s="10"/>
      <c r="S79" s="10"/>
      <c r="T79" s="10"/>
      <c r="U79" s="31" t="s">
        <v>273</v>
      </c>
      <c r="V79" s="31" t="s">
        <v>318</v>
      </c>
      <c r="W79" s="10"/>
      <c r="X79" s="10"/>
      <c r="Y79" s="10"/>
      <c r="Z79" s="10"/>
      <c r="AA79" s="10"/>
      <c r="AB79" s="10"/>
      <c r="AC79" s="483"/>
    </row>
    <row r="80" spans="2:29">
      <c r="B80" s="37"/>
      <c r="C80" s="678">
        <v>0.6</v>
      </c>
      <c r="D80" s="679">
        <v>0.3</v>
      </c>
      <c r="E80" s="10"/>
      <c r="F80" s="10"/>
      <c r="G80" s="10"/>
      <c r="H80" s="10"/>
      <c r="I80" s="10"/>
      <c r="J80" s="10"/>
      <c r="K80" s="10"/>
      <c r="L80" s="677">
        <v>0.6</v>
      </c>
      <c r="M80" s="669">
        <v>0.5</v>
      </c>
      <c r="N80" s="10"/>
      <c r="O80" s="10"/>
      <c r="P80" s="10"/>
      <c r="Q80" s="10"/>
      <c r="R80" s="10"/>
      <c r="S80" s="10"/>
      <c r="T80" s="10"/>
      <c r="U80" s="677">
        <v>0.6</v>
      </c>
      <c r="V80" s="669">
        <v>0.8</v>
      </c>
      <c r="W80" s="10"/>
      <c r="X80" s="10"/>
      <c r="Y80" s="10"/>
      <c r="Z80" s="10"/>
      <c r="AA80" s="10"/>
      <c r="AB80" s="10"/>
      <c r="AC80" s="483"/>
    </row>
    <row r="81" spans="2:29">
      <c r="B81" s="37"/>
      <c r="C81" s="679"/>
      <c r="D81" s="679"/>
      <c r="E81" s="10"/>
      <c r="F81" s="10"/>
      <c r="G81" s="10"/>
      <c r="H81" s="10"/>
      <c r="I81" s="10"/>
      <c r="J81" s="10"/>
      <c r="K81" s="10"/>
      <c r="L81" s="669"/>
      <c r="M81" s="669"/>
      <c r="N81" s="10"/>
      <c r="O81" s="10"/>
      <c r="P81" s="10"/>
      <c r="Q81" s="10"/>
      <c r="R81" s="10"/>
      <c r="S81" s="10"/>
      <c r="T81" s="10"/>
      <c r="U81" s="669"/>
      <c r="V81" s="669"/>
      <c r="W81" s="10"/>
      <c r="X81" s="10"/>
      <c r="Y81" s="10"/>
      <c r="Z81" s="10"/>
      <c r="AA81" s="10"/>
      <c r="AB81" s="10"/>
      <c r="AC81" s="483"/>
    </row>
    <row r="82" spans="2:29">
      <c r="B82" s="37"/>
      <c r="C82" s="679"/>
      <c r="D82" s="679"/>
      <c r="E82" s="10"/>
      <c r="F82" s="10"/>
      <c r="G82" s="10"/>
      <c r="H82" s="10"/>
      <c r="I82" s="10"/>
      <c r="J82" s="10"/>
      <c r="K82" s="10"/>
      <c r="L82" s="669"/>
      <c r="M82" s="669"/>
      <c r="N82" s="10"/>
      <c r="O82" s="10"/>
      <c r="P82" s="10"/>
      <c r="Q82" s="10"/>
      <c r="R82" s="10"/>
      <c r="S82" s="10"/>
      <c r="T82" s="10"/>
      <c r="U82" s="669"/>
      <c r="V82" s="669"/>
      <c r="W82" s="10"/>
      <c r="X82" s="10"/>
      <c r="Y82" s="10"/>
      <c r="Z82" s="10"/>
      <c r="AA82" s="10"/>
      <c r="AB82" s="10"/>
      <c r="AC82" s="483"/>
    </row>
    <row r="83" spans="2:29">
      <c r="B83" s="37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483"/>
    </row>
    <row r="84" spans="2:29">
      <c r="B84" s="37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483"/>
    </row>
    <row r="85" spans="2:29">
      <c r="B85" s="37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483"/>
    </row>
    <row r="86" spans="2:29">
      <c r="B86" s="37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483"/>
    </row>
    <row r="87" spans="2:29">
      <c r="B87" s="37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483"/>
    </row>
    <row r="88" spans="2:29">
      <c r="B88" s="37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483"/>
    </row>
    <row r="89" spans="2:29">
      <c r="B89" s="37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483"/>
    </row>
    <row r="90" spans="2:29">
      <c r="B90" s="37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483"/>
    </row>
    <row r="91" spans="2:29">
      <c r="B91" s="37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483"/>
    </row>
    <row r="92" spans="2:29">
      <c r="B92" s="37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483"/>
    </row>
    <row r="93" spans="2:29">
      <c r="B93" s="37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483"/>
    </row>
    <row r="94" spans="2:29">
      <c r="B94" s="37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483"/>
    </row>
    <row r="95" spans="2:29">
      <c r="B95" s="37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483"/>
    </row>
    <row r="96" spans="2:29">
      <c r="B96" s="37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483"/>
    </row>
    <row r="97" spans="2:29">
      <c r="B97" s="37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483"/>
    </row>
    <row r="98" spans="2:29">
      <c r="B98" s="37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483"/>
    </row>
    <row r="99" spans="2:29">
      <c r="B99" s="37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483"/>
    </row>
    <row r="100" spans="2:29">
      <c r="B100" s="37"/>
      <c r="C100" s="31" t="s">
        <v>273</v>
      </c>
      <c r="D100" s="31" t="s">
        <v>318</v>
      </c>
      <c r="E100" s="10"/>
      <c r="F100" s="10"/>
      <c r="G100" s="10"/>
      <c r="H100" s="10"/>
      <c r="I100" s="10"/>
      <c r="J100" s="10"/>
      <c r="K100" s="10"/>
      <c r="L100" s="31" t="s">
        <v>273</v>
      </c>
      <c r="M100" s="31" t="s">
        <v>318</v>
      </c>
      <c r="N100" s="10"/>
      <c r="O100" s="10"/>
      <c r="P100" s="10"/>
      <c r="Q100" s="10"/>
      <c r="R100" s="10"/>
      <c r="S100" s="10"/>
      <c r="T100" s="10"/>
      <c r="U100" s="31" t="s">
        <v>273</v>
      </c>
      <c r="V100" s="31" t="s">
        <v>318</v>
      </c>
      <c r="W100" s="10"/>
      <c r="X100" s="10"/>
      <c r="Y100" s="10"/>
      <c r="Z100" s="10"/>
      <c r="AA100" s="10"/>
      <c r="AB100" s="10"/>
      <c r="AC100" s="483"/>
    </row>
    <row r="101" spans="2:29">
      <c r="B101" s="37"/>
      <c r="C101" s="677">
        <v>0.8</v>
      </c>
      <c r="D101" s="669">
        <v>0.3</v>
      </c>
      <c r="E101" s="10"/>
      <c r="F101" s="10"/>
      <c r="G101" s="10"/>
      <c r="H101" s="10"/>
      <c r="I101" s="10"/>
      <c r="J101" s="10"/>
      <c r="K101" s="10"/>
      <c r="L101" s="677">
        <v>0.8</v>
      </c>
      <c r="M101" s="669">
        <v>0.5</v>
      </c>
      <c r="N101" s="10"/>
      <c r="O101" s="10"/>
      <c r="P101" s="10"/>
      <c r="Q101" s="10"/>
      <c r="R101" s="10"/>
      <c r="S101" s="10"/>
      <c r="T101" s="10"/>
      <c r="U101" s="677">
        <v>0.8</v>
      </c>
      <c r="V101" s="669">
        <v>0.5</v>
      </c>
      <c r="W101" s="10"/>
      <c r="X101" s="10"/>
      <c r="Y101" s="10"/>
      <c r="Z101" s="10"/>
      <c r="AA101" s="10"/>
      <c r="AB101" s="10"/>
      <c r="AC101" s="483"/>
    </row>
    <row r="102" spans="2:29">
      <c r="B102" s="37"/>
      <c r="C102" s="669"/>
      <c r="D102" s="669"/>
      <c r="E102" s="10"/>
      <c r="F102" s="10"/>
      <c r="G102" s="10"/>
      <c r="H102" s="10"/>
      <c r="I102" s="10"/>
      <c r="J102" s="10"/>
      <c r="K102" s="10"/>
      <c r="L102" s="669"/>
      <c r="M102" s="669"/>
      <c r="N102" s="10"/>
      <c r="O102" s="10"/>
      <c r="P102" s="10"/>
      <c r="Q102" s="10"/>
      <c r="R102" s="10"/>
      <c r="S102" s="10"/>
      <c r="T102" s="10"/>
      <c r="U102" s="669"/>
      <c r="V102" s="669"/>
      <c r="W102" s="10"/>
      <c r="X102" s="10"/>
      <c r="Y102" s="10"/>
      <c r="Z102" s="10"/>
      <c r="AA102" s="10"/>
      <c r="AB102" s="10"/>
      <c r="AC102" s="483"/>
    </row>
    <row r="103" spans="2:29">
      <c r="B103" s="37"/>
      <c r="C103" s="669"/>
      <c r="D103" s="669"/>
      <c r="E103" s="10"/>
      <c r="F103" s="10"/>
      <c r="G103" s="10"/>
      <c r="H103" s="10"/>
      <c r="I103" s="10"/>
      <c r="J103" s="10"/>
      <c r="K103" s="10"/>
      <c r="L103" s="669"/>
      <c r="M103" s="669"/>
      <c r="N103" s="10"/>
      <c r="O103" s="10"/>
      <c r="P103" s="10"/>
      <c r="Q103" s="10"/>
      <c r="R103" s="10"/>
      <c r="S103" s="10"/>
      <c r="T103" s="10"/>
      <c r="U103" s="669"/>
      <c r="V103" s="669"/>
      <c r="W103" s="10"/>
      <c r="X103" s="10"/>
      <c r="Y103" s="10"/>
      <c r="Z103" s="10"/>
      <c r="AA103" s="10"/>
      <c r="AB103" s="10"/>
      <c r="AC103" s="483"/>
    </row>
    <row r="104" spans="2:29">
      <c r="B104" s="37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483"/>
    </row>
    <row r="105" spans="2:29">
      <c r="B105" s="37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483"/>
    </row>
    <row r="106" spans="2:29">
      <c r="B106" s="37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483"/>
    </row>
    <row r="107" spans="2:29">
      <c r="B107" s="37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483"/>
    </row>
    <row r="108" spans="2:29">
      <c r="B108" s="37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483"/>
    </row>
    <row r="109" spans="2:29">
      <c r="B109" s="37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483"/>
    </row>
    <row r="110" spans="2:29">
      <c r="B110" s="37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483"/>
    </row>
    <row r="111" spans="2:29">
      <c r="B111" s="37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483"/>
    </row>
    <row r="112" spans="2:29">
      <c r="B112" s="37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483"/>
    </row>
    <row r="113" spans="2:29">
      <c r="B113" s="37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483"/>
    </row>
    <row r="114" spans="2:29">
      <c r="B114" s="37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483"/>
    </row>
    <row r="115" spans="2:29">
      <c r="B115" s="37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483"/>
    </row>
    <row r="116" spans="2:29">
      <c r="B116" s="37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483"/>
    </row>
    <row r="117" spans="2:29">
      <c r="B117" s="37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483"/>
    </row>
    <row r="118" spans="2:29">
      <c r="B118" s="37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483"/>
    </row>
    <row r="119" spans="2:29">
      <c r="B119" s="37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483"/>
    </row>
    <row r="120" spans="2:29">
      <c r="B120" s="37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483"/>
    </row>
    <row r="121" spans="2:29" ht="15.75" thickBot="1">
      <c r="B121" s="136"/>
      <c r="C121" s="137"/>
      <c r="D121" s="137"/>
      <c r="E121" s="137"/>
      <c r="F121" s="137"/>
      <c r="G121" s="137"/>
      <c r="H121" s="137"/>
      <c r="I121" s="137"/>
      <c r="J121" s="137"/>
      <c r="K121" s="137"/>
      <c r="L121" s="137"/>
      <c r="M121" s="137"/>
      <c r="N121" s="137"/>
      <c r="O121" s="137"/>
      <c r="P121" s="137"/>
      <c r="Q121" s="137"/>
      <c r="R121" s="137"/>
      <c r="S121" s="137"/>
      <c r="T121" s="137"/>
      <c r="U121" s="137"/>
      <c r="V121" s="137"/>
      <c r="W121" s="137"/>
      <c r="X121" s="137"/>
      <c r="Y121" s="137"/>
      <c r="Z121" s="137"/>
      <c r="AA121" s="137"/>
      <c r="AB121" s="137"/>
      <c r="AC121" s="447"/>
    </row>
    <row r="123" spans="2:29" ht="15.75" thickBot="1"/>
    <row r="124" spans="2:29" ht="21.75" thickBot="1">
      <c r="B124" s="321"/>
      <c r="C124" s="481"/>
      <c r="D124" s="481"/>
      <c r="E124" s="481"/>
      <c r="F124" s="481"/>
      <c r="G124" s="481"/>
      <c r="H124" s="674" t="s">
        <v>322</v>
      </c>
      <c r="I124" s="675"/>
      <c r="J124" s="675"/>
      <c r="K124" s="675"/>
      <c r="L124" s="675"/>
      <c r="M124" s="675"/>
      <c r="N124" s="675"/>
      <c r="O124" s="675"/>
      <c r="P124" s="675"/>
      <c r="Q124" s="676"/>
      <c r="R124" s="481"/>
      <c r="S124" s="481"/>
      <c r="T124" s="481"/>
      <c r="U124" s="481"/>
      <c r="V124" s="481"/>
      <c r="W124" s="481"/>
      <c r="X124" s="481"/>
      <c r="Y124" s="482"/>
    </row>
    <row r="125" spans="2:29">
      <c r="B125" s="37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483"/>
    </row>
    <row r="126" spans="2:29">
      <c r="B126" s="37"/>
      <c r="C126" s="10" t="s">
        <v>268</v>
      </c>
      <c r="D126" s="10" t="s">
        <v>323</v>
      </c>
      <c r="E126" s="10" t="s">
        <v>272</v>
      </c>
      <c r="F126" s="10"/>
      <c r="G126" s="10"/>
      <c r="H126" s="10"/>
      <c r="I126" s="10"/>
      <c r="J126" s="10"/>
      <c r="K126" s="10" t="s">
        <v>268</v>
      </c>
      <c r="L126" s="10" t="s">
        <v>323</v>
      </c>
      <c r="M126" s="10" t="s">
        <v>272</v>
      </c>
      <c r="N126" s="10"/>
      <c r="O126" s="10"/>
      <c r="P126" s="10"/>
      <c r="Q126" s="10"/>
      <c r="R126" s="10" t="s">
        <v>268</v>
      </c>
      <c r="S126" s="10" t="s">
        <v>323</v>
      </c>
      <c r="T126" s="10" t="s">
        <v>272</v>
      </c>
      <c r="U126" s="10"/>
      <c r="V126" s="10"/>
      <c r="W126" s="10"/>
      <c r="X126" s="10"/>
      <c r="Y126" s="483"/>
    </row>
    <row r="127" spans="2:29">
      <c r="B127" s="37"/>
      <c r="C127" s="10" t="s">
        <v>273</v>
      </c>
      <c r="D127" s="497">
        <v>0.35</v>
      </c>
      <c r="E127" s="10"/>
      <c r="F127" s="10"/>
      <c r="G127" s="10"/>
      <c r="H127" s="10"/>
      <c r="I127" s="10"/>
      <c r="J127" s="10"/>
      <c r="K127" s="10" t="s">
        <v>273</v>
      </c>
      <c r="L127" s="497">
        <v>0.6</v>
      </c>
      <c r="M127" s="10"/>
      <c r="N127" s="10"/>
      <c r="O127" s="10"/>
      <c r="P127" s="10"/>
      <c r="Q127" s="10"/>
      <c r="R127" s="10" t="s">
        <v>273</v>
      </c>
      <c r="S127" s="497">
        <v>0.8</v>
      </c>
      <c r="T127" s="10"/>
      <c r="U127" s="10"/>
      <c r="V127" s="10"/>
      <c r="W127" s="10"/>
      <c r="X127" s="10"/>
      <c r="Y127" s="483"/>
    </row>
    <row r="128" spans="2:29">
      <c r="B128" s="37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483"/>
    </row>
    <row r="129" spans="2:25">
      <c r="B129" s="37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483"/>
    </row>
    <row r="130" spans="2:25">
      <c r="B130" s="37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483"/>
    </row>
    <row r="131" spans="2:25">
      <c r="B131" s="37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483"/>
    </row>
    <row r="132" spans="2:25">
      <c r="B132" s="37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483"/>
    </row>
    <row r="133" spans="2:25">
      <c r="B133" s="37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483"/>
    </row>
    <row r="134" spans="2:25">
      <c r="B134" s="37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483"/>
    </row>
    <row r="135" spans="2:25">
      <c r="B135" s="37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483"/>
    </row>
    <row r="136" spans="2:25">
      <c r="B136" s="37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483"/>
    </row>
    <row r="137" spans="2:25">
      <c r="B137" s="37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483"/>
    </row>
    <row r="138" spans="2:25">
      <c r="B138" s="37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483"/>
    </row>
    <row r="139" spans="2:25">
      <c r="B139" s="37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483"/>
    </row>
    <row r="140" spans="2:25">
      <c r="B140" s="37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483"/>
    </row>
    <row r="141" spans="2:25">
      <c r="B141" s="37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483"/>
    </row>
    <row r="142" spans="2:25">
      <c r="B142" s="37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483"/>
    </row>
    <row r="143" spans="2:25">
      <c r="B143" s="37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483"/>
    </row>
    <row r="144" spans="2:25">
      <c r="B144" s="37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483"/>
    </row>
    <row r="145" spans="2:25">
      <c r="B145" s="37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483"/>
    </row>
    <row r="146" spans="2:25">
      <c r="B146" s="37"/>
      <c r="C146" s="10" t="s">
        <v>268</v>
      </c>
      <c r="D146" s="10" t="s">
        <v>324</v>
      </c>
      <c r="E146" s="10" t="s">
        <v>272</v>
      </c>
      <c r="F146" s="10"/>
      <c r="G146" s="10"/>
      <c r="H146" s="10"/>
      <c r="I146" s="10"/>
      <c r="J146" s="10" t="s">
        <v>268</v>
      </c>
      <c r="K146" s="10" t="s">
        <v>324</v>
      </c>
      <c r="L146" s="10" t="s">
        <v>272</v>
      </c>
      <c r="M146" s="10"/>
      <c r="N146" s="10"/>
      <c r="O146" s="10"/>
      <c r="P146" s="10"/>
      <c r="Q146" s="10"/>
      <c r="R146" s="10" t="s">
        <v>268</v>
      </c>
      <c r="S146" s="10" t="s">
        <v>324</v>
      </c>
      <c r="T146" s="10" t="s">
        <v>272</v>
      </c>
      <c r="U146" s="10"/>
      <c r="V146" s="10"/>
      <c r="W146" s="10"/>
      <c r="X146" s="10"/>
      <c r="Y146" s="483"/>
    </row>
    <row r="147" spans="2:25">
      <c r="B147" s="37"/>
      <c r="C147" s="10" t="s">
        <v>273</v>
      </c>
      <c r="D147" s="497">
        <v>0.35</v>
      </c>
      <c r="E147" s="10"/>
      <c r="F147" s="10"/>
      <c r="G147" s="10"/>
      <c r="H147" s="10"/>
      <c r="I147" s="10"/>
      <c r="J147" s="10" t="s">
        <v>273</v>
      </c>
      <c r="K147" s="497">
        <v>0.6</v>
      </c>
      <c r="L147" s="10"/>
      <c r="M147" s="10"/>
      <c r="N147" s="10"/>
      <c r="O147" s="10"/>
      <c r="P147" s="10"/>
      <c r="Q147" s="10"/>
      <c r="R147" s="10" t="s">
        <v>273</v>
      </c>
      <c r="S147" s="497">
        <v>0.8</v>
      </c>
      <c r="T147" s="10"/>
      <c r="U147" s="10"/>
      <c r="V147" s="10"/>
      <c r="W147" s="10"/>
      <c r="X147" s="10"/>
      <c r="Y147" s="483"/>
    </row>
    <row r="148" spans="2:25">
      <c r="B148" s="37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483"/>
    </row>
    <row r="149" spans="2:25">
      <c r="B149" s="37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483"/>
    </row>
    <row r="150" spans="2:25">
      <c r="B150" s="37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483"/>
    </row>
    <row r="151" spans="2:25">
      <c r="B151" s="37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483"/>
    </row>
    <row r="152" spans="2:25">
      <c r="B152" s="37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483"/>
    </row>
    <row r="153" spans="2:25">
      <c r="B153" s="37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483"/>
    </row>
    <row r="154" spans="2:25">
      <c r="B154" s="37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483"/>
    </row>
    <row r="155" spans="2:25">
      <c r="B155" s="37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483"/>
    </row>
    <row r="156" spans="2:25">
      <c r="B156" s="37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483"/>
    </row>
    <row r="157" spans="2:25">
      <c r="B157" s="37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483"/>
    </row>
    <row r="158" spans="2:25">
      <c r="B158" s="37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483"/>
    </row>
    <row r="159" spans="2:25">
      <c r="B159" s="37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483"/>
    </row>
    <row r="160" spans="2:25">
      <c r="B160" s="37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483"/>
    </row>
    <row r="161" spans="2:25">
      <c r="B161" s="37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483"/>
    </row>
    <row r="162" spans="2:25">
      <c r="B162" s="37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483"/>
    </row>
    <row r="163" spans="2:25">
      <c r="B163" s="37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483"/>
    </row>
    <row r="164" spans="2:25" ht="15.75" thickBot="1">
      <c r="B164" s="136"/>
      <c r="C164" s="137"/>
      <c r="D164" s="137"/>
      <c r="E164" s="137"/>
      <c r="F164" s="137"/>
      <c r="G164" s="137"/>
      <c r="H164" s="137"/>
      <c r="I164" s="137"/>
      <c r="J164" s="137"/>
      <c r="K164" s="137"/>
      <c r="L164" s="137"/>
      <c r="M164" s="137"/>
      <c r="N164" s="137"/>
      <c r="O164" s="137"/>
      <c r="P164" s="137"/>
      <c r="Q164" s="137"/>
      <c r="R164" s="137"/>
      <c r="S164" s="137"/>
      <c r="T164" s="137"/>
      <c r="U164" s="137"/>
      <c r="V164" s="137"/>
      <c r="W164" s="137"/>
      <c r="X164" s="137"/>
      <c r="Y164" s="447"/>
    </row>
  </sheetData>
  <mergeCells count="33">
    <mergeCell ref="T9:T11"/>
    <mergeCell ref="B32:B34"/>
    <mergeCell ref="C32:C34"/>
    <mergeCell ref="K32:K34"/>
    <mergeCell ref="L32:L34"/>
    <mergeCell ref="T32:T34"/>
    <mergeCell ref="W58:W60"/>
    <mergeCell ref="C80:C82"/>
    <mergeCell ref="D80:D82"/>
    <mergeCell ref="L80:L82"/>
    <mergeCell ref="M80:M82"/>
    <mergeCell ref="U80:U82"/>
    <mergeCell ref="V80:V82"/>
    <mergeCell ref="D58:D60"/>
    <mergeCell ref="E58:E60"/>
    <mergeCell ref="M58:M60"/>
    <mergeCell ref="N58:N60"/>
    <mergeCell ref="V101:V103"/>
    <mergeCell ref="J2:Q2"/>
    <mergeCell ref="K55:T55"/>
    <mergeCell ref="H124:Q124"/>
    <mergeCell ref="C101:C103"/>
    <mergeCell ref="D101:D103"/>
    <mergeCell ref="L101:L103"/>
    <mergeCell ref="M101:M103"/>
    <mergeCell ref="U101:U103"/>
    <mergeCell ref="V58:V60"/>
    <mergeCell ref="U9:U11"/>
    <mergeCell ref="L9:L11"/>
    <mergeCell ref="U32:U34"/>
    <mergeCell ref="D9:D11"/>
    <mergeCell ref="C9:C11"/>
    <mergeCell ref="M9:M11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S85"/>
  <sheetViews>
    <sheetView topLeftCell="A6" zoomScale="71" zoomScaleNormal="71" workbookViewId="0">
      <selection activeCell="K20" sqref="K20:K22"/>
    </sheetView>
  </sheetViews>
  <sheetFormatPr defaultRowHeight="15"/>
  <cols>
    <col min="4" max="4" width="10" bestFit="1" customWidth="1"/>
    <col min="5" max="5" width="10" customWidth="1"/>
    <col min="6" max="7" width="12.7109375" customWidth="1"/>
    <col min="8" max="8" width="10" customWidth="1"/>
    <col min="9" max="9" width="13.42578125" customWidth="1"/>
    <col min="11" max="11" width="9.5703125" bestFit="1" customWidth="1"/>
  </cols>
  <sheetData>
    <row r="2" spans="2:11" ht="21">
      <c r="B2" s="569" t="s">
        <v>341</v>
      </c>
      <c r="C2" s="569"/>
      <c r="D2" s="569"/>
      <c r="E2" s="569"/>
      <c r="F2" s="569"/>
      <c r="G2" s="569"/>
      <c r="H2" s="569"/>
      <c r="I2" s="569"/>
    </row>
    <row r="5" spans="2:11" ht="15.75" thickBot="1"/>
    <row r="6" spans="2:11" ht="45.75" customHeight="1">
      <c r="B6" s="706" t="s">
        <v>221</v>
      </c>
      <c r="C6" s="708" t="s">
        <v>317</v>
      </c>
      <c r="D6" s="685" t="s">
        <v>306</v>
      </c>
      <c r="E6" s="686"/>
      <c r="F6" s="686" t="s">
        <v>313</v>
      </c>
      <c r="G6" s="701" t="s">
        <v>314</v>
      </c>
      <c r="H6" s="701" t="s">
        <v>301</v>
      </c>
      <c r="I6" s="701" t="s">
        <v>302</v>
      </c>
      <c r="K6" s="699" t="s">
        <v>303</v>
      </c>
    </row>
    <row r="7" spans="2:11" ht="15.75" thickBot="1">
      <c r="B7" s="707"/>
      <c r="C7" s="709"/>
      <c r="D7" s="479" t="s">
        <v>153</v>
      </c>
      <c r="E7" s="480" t="s">
        <v>312</v>
      </c>
      <c r="F7" s="710"/>
      <c r="G7" s="702"/>
      <c r="H7" s="702"/>
      <c r="I7" s="702"/>
      <c r="K7" s="700"/>
    </row>
    <row r="8" spans="2:11">
      <c r="B8" s="380">
        <v>1</v>
      </c>
      <c r="C8" s="682">
        <v>35</v>
      </c>
      <c r="D8" s="687">
        <v>0.15</v>
      </c>
      <c r="E8" s="690">
        <v>0.15</v>
      </c>
      <c r="F8" s="468">
        <v>0.3</v>
      </c>
      <c r="G8" s="478">
        <f>F8/$D$8</f>
        <v>2</v>
      </c>
      <c r="H8" s="489">
        <f>'Pull-out(A)'!L27</f>
        <v>0.52042507638601998</v>
      </c>
      <c r="I8" s="458">
        <f>'Pull-out(E)'!W100/100</f>
        <v>0.49949999999999994</v>
      </c>
      <c r="K8" s="395">
        <f>(100*(H8-I8)/H8)</f>
        <v>4.0207663572496797</v>
      </c>
    </row>
    <row r="9" spans="2:11">
      <c r="B9" s="378">
        <v>2</v>
      </c>
      <c r="C9" s="683"/>
      <c r="D9" s="688"/>
      <c r="E9" s="691"/>
      <c r="F9" s="469">
        <v>0.5</v>
      </c>
      <c r="G9" s="476">
        <f>F9/$D$8</f>
        <v>3.3333333333333335</v>
      </c>
      <c r="H9" s="490">
        <f>'Pull-out(A)'!L28</f>
        <v>1.5649119948048364</v>
      </c>
      <c r="I9" s="455">
        <f>'Pull-out(E)'!AC100/100</f>
        <v>1.554</v>
      </c>
      <c r="K9" s="395">
        <f>(100*(H9-I9)/H9)</f>
        <v>0.69729127523220613</v>
      </c>
    </row>
    <row r="10" spans="2:11" ht="15.75" thickBot="1">
      <c r="B10" s="378">
        <v>3</v>
      </c>
      <c r="C10" s="683"/>
      <c r="D10" s="689"/>
      <c r="E10" s="692"/>
      <c r="F10" s="470">
        <v>0.8</v>
      </c>
      <c r="G10" s="477">
        <f>F10/$D$8</f>
        <v>5.3333333333333339</v>
      </c>
      <c r="H10" s="491">
        <f>'Pull-out(A)'!L29</f>
        <v>4.7592559519667388</v>
      </c>
      <c r="I10" s="456">
        <f>'Pull-out(E)'!AI100/100</f>
        <v>4.2734999999999994</v>
      </c>
      <c r="K10" s="395">
        <f t="shared" ref="K10:K25" si="0">(100*(H10-I10)/H10)</f>
        <v>10.206552386954586</v>
      </c>
    </row>
    <row r="11" spans="2:11">
      <c r="B11" s="378">
        <v>4</v>
      </c>
      <c r="C11" s="683"/>
      <c r="D11" s="693">
        <v>0.3</v>
      </c>
      <c r="E11" s="696">
        <v>0.3</v>
      </c>
      <c r="F11" s="468">
        <v>0.3</v>
      </c>
      <c r="G11" s="478">
        <f>F11/$D$11</f>
        <v>1</v>
      </c>
      <c r="H11" s="489">
        <f>'Pull-out(A)'!L30</f>
        <v>1.1313207901564581</v>
      </c>
      <c r="I11" s="458">
        <f>'Pull-out(E)'!E100/100</f>
        <v>1.1100000000000001</v>
      </c>
      <c r="K11" s="395">
        <f>(100*(H11-I11)/H11)</f>
        <v>1.8845928000235412</v>
      </c>
    </row>
    <row r="12" spans="2:11">
      <c r="B12" s="378">
        <v>5</v>
      </c>
      <c r="C12" s="683"/>
      <c r="D12" s="694"/>
      <c r="E12" s="697"/>
      <c r="F12" s="469">
        <v>0.5</v>
      </c>
      <c r="G12" s="476">
        <f>F12/$D$11</f>
        <v>1.6666666666666667</v>
      </c>
      <c r="H12" s="490">
        <f>'Pull-out(A)'!L31</f>
        <v>2.8930695330560545</v>
      </c>
      <c r="I12" s="455">
        <f>'Pull-out(E)'!K100/100</f>
        <v>2.8859999999999997</v>
      </c>
      <c r="K12" s="395">
        <f>(100*(H12-I12)/H12)</f>
        <v>0.24436097975796106</v>
      </c>
    </row>
    <row r="13" spans="2:11" ht="15.75" thickBot="1">
      <c r="B13" s="463">
        <v>6</v>
      </c>
      <c r="C13" s="684"/>
      <c r="D13" s="695"/>
      <c r="E13" s="698"/>
      <c r="F13" s="470">
        <v>0.8</v>
      </c>
      <c r="G13" s="477">
        <f>F13/$D$11</f>
        <v>2.666666666666667</v>
      </c>
      <c r="H13" s="491">
        <f>'Pull-out(A)'!L32</f>
        <v>7.628303249889858</v>
      </c>
      <c r="I13" s="456">
        <f>'Pull-out(E)'!Q100/100</f>
        <v>6.9929999999999994</v>
      </c>
      <c r="K13" s="395">
        <f t="shared" si="0"/>
        <v>8.3282379983914705</v>
      </c>
    </row>
    <row r="14" spans="2:11">
      <c r="B14" s="380">
        <v>7</v>
      </c>
      <c r="C14" s="682">
        <v>60</v>
      </c>
      <c r="D14" s="687">
        <v>0.15</v>
      </c>
      <c r="E14" s="690">
        <v>0.15</v>
      </c>
      <c r="F14" s="468">
        <v>0.3</v>
      </c>
      <c r="G14" s="478">
        <f>F14/$D$14</f>
        <v>2</v>
      </c>
      <c r="H14" s="489">
        <f>'Pull-out(A)'!L10</f>
        <v>0.84657900216368842</v>
      </c>
      <c r="I14" s="458">
        <f>'Pull-out(E)'!W210/100</f>
        <v>0.61049999999999993</v>
      </c>
      <c r="K14" s="395">
        <f t="shared" si="0"/>
        <v>27.886234073880555</v>
      </c>
    </row>
    <row r="15" spans="2:11">
      <c r="B15" s="378">
        <v>8</v>
      </c>
      <c r="C15" s="683"/>
      <c r="D15" s="688"/>
      <c r="E15" s="691"/>
      <c r="F15" s="469">
        <v>0.5</v>
      </c>
      <c r="G15" s="476">
        <f>F15/$D$14</f>
        <v>3.3333333333333335</v>
      </c>
      <c r="H15" s="490">
        <f>'Pull-out(A)'!L11</f>
        <v>2.8342828666779312</v>
      </c>
      <c r="I15" s="455">
        <f>'Pull-out(E)'!AC210/100</f>
        <v>1.9424999999999999</v>
      </c>
      <c r="K15" s="395">
        <f t="shared" si="0"/>
        <v>31.464144851681365</v>
      </c>
    </row>
    <row r="16" spans="2:11" ht="15.75" thickBot="1">
      <c r="B16" s="378">
        <v>9</v>
      </c>
      <c r="C16" s="683"/>
      <c r="D16" s="689"/>
      <c r="E16" s="692"/>
      <c r="F16" s="470">
        <v>0.8</v>
      </c>
      <c r="G16" s="477">
        <f>F16/$D$14</f>
        <v>5.3333333333333339</v>
      </c>
      <c r="H16" s="491">
        <f>'Pull-out(A)'!L12</f>
        <v>9.4188343236594214</v>
      </c>
      <c r="I16" s="456">
        <f>'Pull-out(E)'!AI210/100</f>
        <v>7.2149999999999999</v>
      </c>
      <c r="K16" s="395">
        <f t="shared" si="0"/>
        <v>23.398164230615578</v>
      </c>
    </row>
    <row r="17" spans="2:19">
      <c r="B17" s="378">
        <v>10</v>
      </c>
      <c r="C17" s="683"/>
      <c r="D17" s="693">
        <v>0.3</v>
      </c>
      <c r="E17" s="696">
        <v>0.3</v>
      </c>
      <c r="F17" s="468">
        <v>0.3</v>
      </c>
      <c r="G17" s="478">
        <f>F17/$D$17</f>
        <v>1</v>
      </c>
      <c r="H17" s="489">
        <f>'Pull-out(A)'!L13</f>
        <v>1.5950537595668268</v>
      </c>
      <c r="I17" s="458">
        <f>'Pull-out(E)'!E210/100</f>
        <v>1.3319999999999999</v>
      </c>
      <c r="K17" s="395">
        <f t="shared" si="0"/>
        <v>16.491842860410248</v>
      </c>
    </row>
    <row r="18" spans="2:19">
      <c r="B18" s="378">
        <v>11</v>
      </c>
      <c r="C18" s="683"/>
      <c r="D18" s="694"/>
      <c r="E18" s="697"/>
      <c r="F18" s="469">
        <v>0.5</v>
      </c>
      <c r="G18" s="476">
        <f>F18/$D$17</f>
        <v>1.6666666666666667</v>
      </c>
      <c r="H18" s="490">
        <f>'Pull-out(A)'!L14</f>
        <v>4.5263794150199823</v>
      </c>
      <c r="I18" s="455">
        <f>'Pull-out(E)'!K210/100</f>
        <v>3.2189999999999999</v>
      </c>
      <c r="K18" s="395">
        <f t="shared" si="0"/>
        <v>28.883557809618814</v>
      </c>
    </row>
    <row r="19" spans="2:19" ht="15.75" thickBot="1">
      <c r="B19" s="463">
        <v>12</v>
      </c>
      <c r="C19" s="684"/>
      <c r="D19" s="695"/>
      <c r="E19" s="698"/>
      <c r="F19" s="470">
        <v>0.8</v>
      </c>
      <c r="G19" s="477">
        <f>F19/$D$17</f>
        <v>2.666666666666667</v>
      </c>
      <c r="H19" s="491">
        <f>'Pull-out(A)'!L15</f>
        <v>13.193321487415071</v>
      </c>
      <c r="I19" s="456">
        <f>'Pull-out(E)'!Q210/100</f>
        <v>9.1575000000000006</v>
      </c>
      <c r="K19" s="395">
        <f t="shared" si="0"/>
        <v>30.589882095003787</v>
      </c>
    </row>
    <row r="20" spans="2:19">
      <c r="B20" s="462">
        <v>13</v>
      </c>
      <c r="C20" s="682">
        <v>80</v>
      </c>
      <c r="D20" s="687">
        <v>0.15</v>
      </c>
      <c r="E20" s="690">
        <v>0.15</v>
      </c>
      <c r="F20" s="468">
        <v>0.3</v>
      </c>
      <c r="G20" s="478">
        <f>F20/$D$20</f>
        <v>2</v>
      </c>
      <c r="H20" s="489">
        <f>'Pull-out(A)'!L44</f>
        <v>1.089496816982179</v>
      </c>
      <c r="I20" s="458">
        <f>'Pull-out(E)'!W327/100</f>
        <v>0.66599999999999993</v>
      </c>
      <c r="K20" s="395">
        <f t="shared" si="0"/>
        <v>38.870863171058382</v>
      </c>
    </row>
    <row r="21" spans="2:19">
      <c r="B21" s="460">
        <v>14</v>
      </c>
      <c r="C21" s="683"/>
      <c r="D21" s="688"/>
      <c r="E21" s="691"/>
      <c r="F21" s="469">
        <v>0.5</v>
      </c>
      <c r="G21" s="476">
        <f>F21/$D$20</f>
        <v>3.3333333333333335</v>
      </c>
      <c r="H21" s="490">
        <f>'Pull-out(A)'!L45</f>
        <v>3.7976101750728732</v>
      </c>
      <c r="I21" s="455">
        <f>'Pull-out(E)'!AC327/100</f>
        <v>2.4419999999999997</v>
      </c>
      <c r="K21" s="395">
        <f t="shared" si="0"/>
        <v>35.69640148878262</v>
      </c>
    </row>
    <row r="22" spans="2:19" ht="15.75" thickBot="1">
      <c r="B22" s="460">
        <v>15</v>
      </c>
      <c r="C22" s="683"/>
      <c r="D22" s="689"/>
      <c r="E22" s="692"/>
      <c r="F22" s="470">
        <v>0.8</v>
      </c>
      <c r="G22" s="477">
        <f>F22/$D$20</f>
        <v>5.3333333333333339</v>
      </c>
      <c r="H22" s="491">
        <f>'Pull-out(A)'!L46</f>
        <v>13.008305739323143</v>
      </c>
      <c r="I22" s="456">
        <f>'Pull-out(E)'!AI327/100</f>
        <v>10.101000000000001</v>
      </c>
      <c r="K22" s="395">
        <f t="shared" si="0"/>
        <v>22.349611068369747</v>
      </c>
    </row>
    <row r="23" spans="2:19">
      <c r="B23" s="460">
        <v>16</v>
      </c>
      <c r="C23" s="683"/>
      <c r="D23" s="693">
        <v>0.3</v>
      </c>
      <c r="E23" s="696">
        <v>0.3</v>
      </c>
      <c r="F23" s="468">
        <v>0.3</v>
      </c>
      <c r="G23" s="478">
        <f>F23/$D$23</f>
        <v>1</v>
      </c>
      <c r="H23" s="489">
        <f>'Pull-out(A)'!L47</f>
        <v>1.933101864898275</v>
      </c>
      <c r="I23" s="458">
        <f>'Pull-out(E)'!E327/100</f>
        <v>1.4429999999999998</v>
      </c>
      <c r="K23" s="395">
        <f t="shared" si="0"/>
        <v>25.353131865302174</v>
      </c>
    </row>
    <row r="24" spans="2:19">
      <c r="B24" s="460">
        <v>17</v>
      </c>
      <c r="C24" s="683"/>
      <c r="D24" s="694"/>
      <c r="E24" s="697"/>
      <c r="F24" s="469">
        <v>0.5</v>
      </c>
      <c r="G24" s="476">
        <f>F24/$D$23</f>
        <v>1.6666666666666667</v>
      </c>
      <c r="H24" s="490">
        <f>'Pull-out(A)'!L48</f>
        <v>5.7348325303953631</v>
      </c>
      <c r="I24" s="455">
        <f>'Pull-out(E)'!K327/100</f>
        <v>4.1070000000000002</v>
      </c>
      <c r="K24" s="395">
        <f t="shared" si="0"/>
        <v>28.385005521392955</v>
      </c>
    </row>
    <row r="25" spans="2:19" ht="15.75" thickBot="1">
      <c r="B25" s="461">
        <v>18</v>
      </c>
      <c r="C25" s="684"/>
      <c r="D25" s="695"/>
      <c r="E25" s="698"/>
      <c r="F25" s="470">
        <v>0.8</v>
      </c>
      <c r="G25" s="477">
        <f>F25/$D$23</f>
        <v>2.666666666666667</v>
      </c>
      <c r="H25" s="491">
        <f>'Pull-out(A)'!L49</f>
        <v>17.38277496894872</v>
      </c>
      <c r="I25" s="456">
        <f>'Pull-out(E)'!Q327/100</f>
        <v>12.987</v>
      </c>
      <c r="K25" s="396">
        <f t="shared" si="0"/>
        <v>25.288108353246251</v>
      </c>
    </row>
    <row r="29" spans="2:19" ht="15.75" thickBot="1"/>
    <row r="30" spans="2:19" ht="21">
      <c r="B30" s="321"/>
      <c r="C30" s="481"/>
      <c r="D30" s="481"/>
      <c r="E30" s="681" t="s">
        <v>319</v>
      </c>
      <c r="F30" s="681"/>
      <c r="G30" s="681"/>
      <c r="H30" s="681"/>
      <c r="I30" s="681"/>
      <c r="J30" s="681"/>
      <c r="K30" s="681"/>
      <c r="L30" s="681"/>
      <c r="M30" s="681"/>
      <c r="N30" s="681"/>
      <c r="O30" s="681"/>
      <c r="P30" s="481"/>
      <c r="Q30" s="481"/>
      <c r="R30" s="481"/>
      <c r="S30" s="482"/>
    </row>
    <row r="31" spans="2:19" ht="15.75" thickBot="1">
      <c r="B31" s="37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483"/>
    </row>
    <row r="32" spans="2:19" ht="16.5" thickBot="1">
      <c r="B32" s="37"/>
      <c r="C32" s="10"/>
      <c r="D32" s="703" t="s">
        <v>315</v>
      </c>
      <c r="E32" s="704"/>
      <c r="F32" s="705"/>
      <c r="G32" s="10"/>
      <c r="H32" s="10"/>
      <c r="I32" s="10"/>
      <c r="J32" s="10"/>
      <c r="K32" s="10"/>
      <c r="L32" s="10"/>
      <c r="M32" s="703" t="s">
        <v>316</v>
      </c>
      <c r="N32" s="704"/>
      <c r="O32" s="705"/>
      <c r="P32" s="10"/>
      <c r="Q32" s="10"/>
      <c r="R32" s="10"/>
      <c r="S32" s="483"/>
    </row>
    <row r="33" spans="2:19">
      <c r="B33" s="484" t="s">
        <v>273</v>
      </c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483"/>
    </row>
    <row r="34" spans="2:19">
      <c r="B34" s="37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483"/>
    </row>
    <row r="35" spans="2:19">
      <c r="B35" s="37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483"/>
    </row>
    <row r="36" spans="2:19">
      <c r="B36" s="38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483"/>
    </row>
    <row r="37" spans="2:19">
      <c r="B37" s="38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483"/>
    </row>
    <row r="38" spans="2:19">
      <c r="B38" s="38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483"/>
    </row>
    <row r="39" spans="2:19">
      <c r="B39" s="38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483"/>
    </row>
    <row r="40" spans="2:19">
      <c r="B40" s="38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483"/>
    </row>
    <row r="41" spans="2:19">
      <c r="B41" s="38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483"/>
    </row>
    <row r="42" spans="2:19">
      <c r="B42" s="485">
        <v>0.35</v>
      </c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483"/>
    </row>
    <row r="43" spans="2:19">
      <c r="B43" s="38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483"/>
    </row>
    <row r="44" spans="2:19">
      <c r="B44" s="38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483"/>
    </row>
    <row r="45" spans="2:19">
      <c r="B45" s="38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483"/>
    </row>
    <row r="46" spans="2:19">
      <c r="B46" s="38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483"/>
    </row>
    <row r="47" spans="2:19">
      <c r="B47" s="38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483"/>
    </row>
    <row r="48" spans="2:19">
      <c r="B48" s="38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483"/>
    </row>
    <row r="49" spans="2:19">
      <c r="B49" s="38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483"/>
    </row>
    <row r="50" spans="2:19">
      <c r="B50" s="38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483"/>
    </row>
    <row r="51" spans="2:19">
      <c r="B51" s="38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483"/>
    </row>
    <row r="52" spans="2:19">
      <c r="B52" s="38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483"/>
    </row>
    <row r="53" spans="2:19">
      <c r="B53" s="38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483"/>
    </row>
    <row r="54" spans="2:19">
      <c r="B54" s="38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483"/>
    </row>
    <row r="55" spans="2:19">
      <c r="B55" s="38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483"/>
    </row>
    <row r="56" spans="2:19">
      <c r="B56" s="38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483"/>
    </row>
    <row r="57" spans="2:19">
      <c r="B57" s="38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483"/>
    </row>
    <row r="58" spans="2:19">
      <c r="B58" s="38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483"/>
    </row>
    <row r="59" spans="2:19">
      <c r="B59" s="485">
        <v>0.6</v>
      </c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483"/>
    </row>
    <row r="60" spans="2:19">
      <c r="B60" s="38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483"/>
    </row>
    <row r="61" spans="2:19">
      <c r="B61" s="38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483"/>
    </row>
    <row r="62" spans="2:19">
      <c r="B62" s="38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483"/>
    </row>
    <row r="63" spans="2:19">
      <c r="B63" s="38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483"/>
    </row>
    <row r="64" spans="2:19">
      <c r="B64" s="38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483"/>
    </row>
    <row r="65" spans="2:19">
      <c r="B65" s="38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483"/>
    </row>
    <row r="66" spans="2:19">
      <c r="B66" s="38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483"/>
    </row>
    <row r="67" spans="2:19">
      <c r="B67" s="38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483"/>
    </row>
    <row r="68" spans="2:19">
      <c r="B68" s="38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483"/>
    </row>
    <row r="69" spans="2:19">
      <c r="B69" s="38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483"/>
    </row>
    <row r="70" spans="2:19">
      <c r="B70" s="38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483"/>
    </row>
    <row r="71" spans="2:19">
      <c r="B71" s="38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483"/>
    </row>
    <row r="72" spans="2:19">
      <c r="B72" s="38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483"/>
    </row>
    <row r="73" spans="2:19">
      <c r="B73" s="38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483"/>
    </row>
    <row r="74" spans="2:19">
      <c r="B74" s="38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483"/>
    </row>
    <row r="75" spans="2:19">
      <c r="B75" s="485">
        <v>0.8</v>
      </c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483"/>
    </row>
    <row r="76" spans="2:19">
      <c r="B76" s="38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483"/>
    </row>
    <row r="77" spans="2:19">
      <c r="B77" s="38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483"/>
    </row>
    <row r="78" spans="2:19">
      <c r="B78" s="38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483"/>
    </row>
    <row r="79" spans="2:19">
      <c r="B79" s="38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483"/>
    </row>
    <row r="80" spans="2:19">
      <c r="B80" s="38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483"/>
    </row>
    <row r="81" spans="2:19">
      <c r="B81" s="38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483"/>
    </row>
    <row r="82" spans="2:19">
      <c r="B82" s="38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483"/>
    </row>
    <row r="83" spans="2:19">
      <c r="B83" s="38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483"/>
    </row>
    <row r="84" spans="2:19">
      <c r="B84" s="38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483"/>
    </row>
    <row r="85" spans="2:19" ht="15.75" thickBot="1">
      <c r="B85" s="136"/>
      <c r="C85" s="137"/>
      <c r="D85" s="137"/>
      <c r="E85" s="137"/>
      <c r="F85" s="137"/>
      <c r="G85" s="137"/>
      <c r="H85" s="137"/>
      <c r="I85" s="137"/>
      <c r="J85" s="137"/>
      <c r="K85" s="137"/>
      <c r="L85" s="137"/>
      <c r="M85" s="137"/>
      <c r="N85" s="137"/>
      <c r="O85" s="137"/>
      <c r="P85" s="137"/>
      <c r="Q85" s="137"/>
      <c r="R85" s="137"/>
      <c r="S85" s="447"/>
    </row>
  </sheetData>
  <mergeCells count="27">
    <mergeCell ref="B6:B7"/>
    <mergeCell ref="C6:C7"/>
    <mergeCell ref="F6:F7"/>
    <mergeCell ref="H6:H7"/>
    <mergeCell ref="I6:I7"/>
    <mergeCell ref="D23:D25"/>
    <mergeCell ref="K6:K7"/>
    <mergeCell ref="G6:G7"/>
    <mergeCell ref="D32:F32"/>
    <mergeCell ref="M32:O32"/>
    <mergeCell ref="E23:E25"/>
    <mergeCell ref="B2:I2"/>
    <mergeCell ref="E30:O30"/>
    <mergeCell ref="C8:C13"/>
    <mergeCell ref="C14:C19"/>
    <mergeCell ref="C20:C25"/>
    <mergeCell ref="D6:E6"/>
    <mergeCell ref="D8:D10"/>
    <mergeCell ref="E8:E10"/>
    <mergeCell ref="D11:D13"/>
    <mergeCell ref="E11:E13"/>
    <mergeCell ref="D14:D16"/>
    <mergeCell ref="E14:E16"/>
    <mergeCell ref="D17:D19"/>
    <mergeCell ref="E17:E19"/>
    <mergeCell ref="D20:D22"/>
    <mergeCell ref="E20:E22"/>
  </mergeCells>
  <pageMargins left="0.7" right="0.7" top="0.75" bottom="0.75" header="0.3" footer="0.3"/>
  <pageSetup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AI95"/>
  <sheetViews>
    <sheetView topLeftCell="A7" zoomScale="80" zoomScaleNormal="80" workbookViewId="0">
      <selection activeCell="W32" sqref="W32"/>
    </sheetView>
  </sheetViews>
  <sheetFormatPr defaultRowHeight="15"/>
  <cols>
    <col min="2" max="4" width="9.140625" style="437"/>
    <col min="5" max="5" width="9.140625" style="440"/>
    <col min="6" max="11" width="9.140625" style="437"/>
    <col min="13" max="13" width="9.140625" style="540"/>
    <col min="14" max="14" width="17" customWidth="1"/>
  </cols>
  <sheetData>
    <row r="5" spans="2:25" ht="15.75" thickBot="1"/>
    <row r="6" spans="2:25" ht="60.75" customHeight="1" thickBot="1">
      <c r="B6" s="731" t="s">
        <v>307</v>
      </c>
      <c r="C6" s="728" t="s">
        <v>273</v>
      </c>
      <c r="D6" s="728" t="s">
        <v>337</v>
      </c>
      <c r="E6" s="733" t="s">
        <v>336</v>
      </c>
      <c r="F6" s="726" t="s">
        <v>335</v>
      </c>
      <c r="G6" s="726" t="s">
        <v>334</v>
      </c>
      <c r="H6" s="726" t="s">
        <v>333</v>
      </c>
      <c r="I6" s="728" t="s">
        <v>309</v>
      </c>
      <c r="J6" s="464" t="s">
        <v>308</v>
      </c>
      <c r="K6" s="465" t="s">
        <v>343</v>
      </c>
      <c r="L6" s="464" t="s">
        <v>308</v>
      </c>
      <c r="M6" s="564" t="s">
        <v>343</v>
      </c>
      <c r="N6" s="718" t="s">
        <v>338</v>
      </c>
      <c r="O6" s="720" t="s">
        <v>330</v>
      </c>
      <c r="P6" s="711"/>
      <c r="Q6" s="712"/>
      <c r="R6" s="712"/>
      <c r="S6" s="712"/>
      <c r="T6" s="712"/>
    </row>
    <row r="7" spans="2:25" ht="15.75" thickBot="1">
      <c r="B7" s="732"/>
      <c r="C7" s="727"/>
      <c r="D7" s="727"/>
      <c r="E7" s="734"/>
      <c r="F7" s="727"/>
      <c r="G7" s="727"/>
      <c r="H7" s="727"/>
      <c r="I7" s="727"/>
      <c r="J7" s="736" t="s">
        <v>310</v>
      </c>
      <c r="K7" s="734"/>
      <c r="L7" s="737" t="s">
        <v>311</v>
      </c>
      <c r="M7" s="738"/>
      <c r="N7" s="719"/>
      <c r="O7" s="721"/>
      <c r="P7" s="711"/>
      <c r="Q7" s="712"/>
      <c r="R7" s="712"/>
      <c r="S7" s="712"/>
      <c r="T7" s="712"/>
      <c r="W7" s="712"/>
      <c r="X7" s="712"/>
      <c r="Y7" s="712"/>
    </row>
    <row r="8" spans="2:25">
      <c r="B8" s="459">
        <v>1</v>
      </c>
      <c r="C8" s="687">
        <v>35</v>
      </c>
      <c r="D8" s="690">
        <v>16.39</v>
      </c>
      <c r="E8" s="722">
        <v>34.22</v>
      </c>
      <c r="F8" s="687">
        <v>0.15</v>
      </c>
      <c r="G8" s="690">
        <v>0.15</v>
      </c>
      <c r="H8" s="468">
        <v>0.3</v>
      </c>
      <c r="I8" s="478">
        <f>H8/$F$8</f>
        <v>2</v>
      </c>
      <c r="J8" s="471">
        <f>K8/($D$8*$F$8*$G$8*H8)</f>
        <v>4.7040885488985609</v>
      </c>
      <c r="K8" s="458">
        <f>'Result Comparison'!H8</f>
        <v>0.52042507638601998</v>
      </c>
      <c r="L8" s="471">
        <f>M8/($D$8*$F$8*H8*$G$8)</f>
        <v>4.5149481391092134</v>
      </c>
      <c r="M8" s="565">
        <f>'Result Comparison'!I8</f>
        <v>0.49949999999999994</v>
      </c>
      <c r="N8" s="516">
        <f>'Pull-out(E)'!U100</f>
        <v>0.16</v>
      </c>
      <c r="O8" s="458">
        <f t="shared" ref="O8:O25" si="0">N8/H8</f>
        <v>0.53333333333333333</v>
      </c>
    </row>
    <row r="9" spans="2:25">
      <c r="B9" s="460">
        <v>2</v>
      </c>
      <c r="C9" s="688"/>
      <c r="D9" s="691"/>
      <c r="E9" s="723"/>
      <c r="F9" s="688"/>
      <c r="G9" s="691"/>
      <c r="H9" s="469">
        <v>0.5</v>
      </c>
      <c r="I9" s="476">
        <f>H9/$F$8</f>
        <v>3.3333333333333335</v>
      </c>
      <c r="J9" s="472">
        <f>K9/($D$8*$F$8*$G$8*H9)</f>
        <v>8.4870828814579973</v>
      </c>
      <c r="K9" s="455">
        <f>'Result Comparison'!H9</f>
        <v>1.5649119948048364</v>
      </c>
      <c r="L9" s="472">
        <f>M9/($D$8*$F$8*H9*$G$8)</f>
        <v>8.4279031930038659</v>
      </c>
      <c r="M9" s="566">
        <f>'Result Comparison'!I9</f>
        <v>1.554</v>
      </c>
      <c r="N9" s="488">
        <f>'Pull-out(E)'!AA100</f>
        <v>0.48</v>
      </c>
      <c r="O9" s="455">
        <f t="shared" si="0"/>
        <v>0.96</v>
      </c>
    </row>
    <row r="10" spans="2:25" ht="15.75" thickBot="1">
      <c r="B10" s="460">
        <v>3</v>
      </c>
      <c r="C10" s="688"/>
      <c r="D10" s="691"/>
      <c r="E10" s="723"/>
      <c r="F10" s="689"/>
      <c r="G10" s="692"/>
      <c r="H10" s="470">
        <v>0.8</v>
      </c>
      <c r="I10" s="477">
        <f>H10/$F$8</f>
        <v>5.3333333333333339</v>
      </c>
      <c r="J10" s="473">
        <f>K10/($D$8*$F$8*$G$8*H10)</f>
        <v>16.131977330237742</v>
      </c>
      <c r="K10" s="456">
        <f>'Result Comparison'!H10</f>
        <v>4.7592559519667388</v>
      </c>
      <c r="L10" s="473">
        <f>M10/($D$8*$F$8*H10*$G$8)</f>
        <v>14.485458612975389</v>
      </c>
      <c r="M10" s="567">
        <f>'Result Comparison'!I10</f>
        <v>4.2734999999999994</v>
      </c>
      <c r="N10" s="517">
        <f>'Pull-out(E)'!AG100</f>
        <v>1.46</v>
      </c>
      <c r="O10" s="456">
        <f t="shared" si="0"/>
        <v>1.825</v>
      </c>
    </row>
    <row r="11" spans="2:25">
      <c r="B11" s="460">
        <v>4</v>
      </c>
      <c r="C11" s="688"/>
      <c r="D11" s="691"/>
      <c r="E11" s="723"/>
      <c r="F11" s="693">
        <v>0.3</v>
      </c>
      <c r="G11" s="696">
        <v>0.3</v>
      </c>
      <c r="H11" s="468">
        <v>0.3</v>
      </c>
      <c r="I11" s="478">
        <f>H11/$F$11</f>
        <v>1</v>
      </c>
      <c r="J11" s="471">
        <f>K11/($D$8*$F$11*$G$11*H11)</f>
        <v>2.5564838319581913</v>
      </c>
      <c r="K11" s="458">
        <f>'Result Comparison'!H11</f>
        <v>1.1313207901564581</v>
      </c>
      <c r="L11" s="471">
        <f>M11/($D$8*$F$11*H11*$G$11)</f>
        <v>2.5083045217273412</v>
      </c>
      <c r="M11" s="565">
        <f>'Result Comparison'!I11</f>
        <v>1.1100000000000001</v>
      </c>
      <c r="N11" s="516">
        <f>'Pull-out(E)'!C100</f>
        <v>0.14000000000000001</v>
      </c>
      <c r="O11" s="458">
        <f t="shared" si="0"/>
        <v>0.46666666666666673</v>
      </c>
    </row>
    <row r="12" spans="2:25">
      <c r="B12" s="460">
        <v>5</v>
      </c>
      <c r="C12" s="688"/>
      <c r="D12" s="691"/>
      <c r="E12" s="723"/>
      <c r="F12" s="694"/>
      <c r="G12" s="697"/>
      <c r="H12" s="469">
        <v>0.5</v>
      </c>
      <c r="I12" s="476">
        <f>H12/$F$11</f>
        <v>1.6666666666666667</v>
      </c>
      <c r="J12" s="472">
        <f>K12/($D$8*$F$11*$G$11*H12)</f>
        <v>3.9225402115870853</v>
      </c>
      <c r="K12" s="455">
        <f>'Result Comparison'!H12</f>
        <v>2.8930695330560545</v>
      </c>
      <c r="L12" s="472">
        <f>M12/($D$8*$F$11*H12*$G$11)</f>
        <v>3.9129550538946511</v>
      </c>
      <c r="M12" s="566">
        <f>'Result Comparison'!I12</f>
        <v>2.8859999999999997</v>
      </c>
      <c r="N12" s="488">
        <f>'Pull-out(E)'!I100</f>
        <v>0.46</v>
      </c>
      <c r="O12" s="455">
        <f t="shared" si="0"/>
        <v>0.92</v>
      </c>
    </row>
    <row r="13" spans="2:25" ht="15.75" thickBot="1">
      <c r="B13" s="461">
        <v>6</v>
      </c>
      <c r="C13" s="689"/>
      <c r="D13" s="692"/>
      <c r="E13" s="724"/>
      <c r="F13" s="695"/>
      <c r="G13" s="698"/>
      <c r="H13" s="470">
        <v>0.8</v>
      </c>
      <c r="I13" s="477">
        <f>H13/$F$11</f>
        <v>2.666666666666667</v>
      </c>
      <c r="J13" s="473">
        <f>K13/($D$8*$F$11*$G$11*H13)</f>
        <v>6.4642255185155735</v>
      </c>
      <c r="K13" s="456">
        <f>'Result Comparison'!H13</f>
        <v>7.628303249889858</v>
      </c>
      <c r="L13" s="473">
        <f>M13/($D$8*$F$11*H13*$G$11)</f>
        <v>5.925869432580841</v>
      </c>
      <c r="M13" s="567">
        <f>'Result Comparison'!I13</f>
        <v>6.9929999999999994</v>
      </c>
      <c r="N13" s="517">
        <f>'Pull-out(E)'!O100</f>
        <v>0.98</v>
      </c>
      <c r="O13" s="456">
        <f t="shared" si="0"/>
        <v>1.2249999999999999</v>
      </c>
    </row>
    <row r="14" spans="2:25">
      <c r="B14" s="459">
        <v>7</v>
      </c>
      <c r="C14" s="687">
        <v>60</v>
      </c>
      <c r="D14" s="690">
        <v>17.2</v>
      </c>
      <c r="E14" s="722">
        <v>42.09</v>
      </c>
      <c r="F14" s="687">
        <v>0.15</v>
      </c>
      <c r="G14" s="690">
        <v>0.15</v>
      </c>
      <c r="H14" s="468">
        <v>0.3</v>
      </c>
      <c r="I14" s="478">
        <f>H14/$F$14</f>
        <v>2</v>
      </c>
      <c r="J14" s="471">
        <f>K14/($D$14*$F$14*$G$14*H14)</f>
        <v>7.2918088041661377</v>
      </c>
      <c r="K14" s="458">
        <f>'Result Comparison'!H14</f>
        <v>0.84657900216368842</v>
      </c>
      <c r="L14" s="471">
        <f>M14/($D$14*$F$14*H14*$G$14)</f>
        <v>5.2583979328165373</v>
      </c>
      <c r="M14" s="565">
        <f>'Result Comparison'!I14</f>
        <v>0.61049999999999993</v>
      </c>
      <c r="N14" s="516">
        <f>'Pull-out(E)'!U210</f>
        <v>0.18</v>
      </c>
      <c r="O14" s="458">
        <f t="shared" si="0"/>
        <v>0.6</v>
      </c>
    </row>
    <row r="15" spans="2:25">
      <c r="B15" s="460">
        <v>8</v>
      </c>
      <c r="C15" s="688"/>
      <c r="D15" s="691"/>
      <c r="E15" s="723"/>
      <c r="F15" s="688"/>
      <c r="G15" s="691"/>
      <c r="H15" s="469">
        <v>0.5</v>
      </c>
      <c r="I15" s="476">
        <f>H15/$F$14</f>
        <v>3.3333333333333335</v>
      </c>
      <c r="J15" s="472">
        <f>K15/($D$14*$F$14*$G$14*H15)</f>
        <v>14.647456675338148</v>
      </c>
      <c r="K15" s="455">
        <f>'Result Comparison'!H15</f>
        <v>2.8342828666779312</v>
      </c>
      <c r="L15" s="472">
        <f>M15/($D$14*$F$14*H15*$G$14)</f>
        <v>10.038759689922481</v>
      </c>
      <c r="M15" s="566">
        <f>'Result Comparison'!I15</f>
        <v>1.9424999999999999</v>
      </c>
      <c r="N15" s="488">
        <f>'Pull-out(E)'!AA210</f>
        <v>0.5</v>
      </c>
      <c r="O15" s="455">
        <f t="shared" si="0"/>
        <v>1</v>
      </c>
    </row>
    <row r="16" spans="2:25" ht="15.75" thickBot="1">
      <c r="B16" s="460">
        <v>9</v>
      </c>
      <c r="C16" s="688"/>
      <c r="D16" s="691"/>
      <c r="E16" s="723"/>
      <c r="F16" s="689"/>
      <c r="G16" s="692"/>
      <c r="H16" s="470">
        <v>0.8</v>
      </c>
      <c r="I16" s="477">
        <f>H16/$F$14</f>
        <v>5.3333333333333339</v>
      </c>
      <c r="J16" s="473">
        <f>K16/($D$14*$F$14*$G$14*H16)</f>
        <v>30.422591484688056</v>
      </c>
      <c r="K16" s="456">
        <f>'Result Comparison'!H16</f>
        <v>9.4188343236594214</v>
      </c>
      <c r="L16" s="473">
        <f>M16/($D$14*$F$14*H16*$G$14)</f>
        <v>23.304263565891478</v>
      </c>
      <c r="M16" s="567">
        <f>'Result Comparison'!I16</f>
        <v>7.2149999999999999</v>
      </c>
      <c r="N16" s="517">
        <f>'Pull-out(E)'!AG210</f>
        <v>1.64</v>
      </c>
      <c r="O16" s="456">
        <f t="shared" si="0"/>
        <v>2.0499999999999998</v>
      </c>
    </row>
    <row r="17" spans="2:19">
      <c r="B17" s="460">
        <v>10</v>
      </c>
      <c r="C17" s="688"/>
      <c r="D17" s="691"/>
      <c r="E17" s="723"/>
      <c r="F17" s="729">
        <v>0.3</v>
      </c>
      <c r="G17" s="730">
        <v>0.3</v>
      </c>
      <c r="H17" s="474">
        <v>0.3</v>
      </c>
      <c r="I17" s="475">
        <f>H17/$F$17</f>
        <v>1</v>
      </c>
      <c r="J17" s="457">
        <f>K17/($D$14*$F$17*$G$17*H17)</f>
        <v>3.4346549516942875</v>
      </c>
      <c r="K17" s="454">
        <f>'Result Comparison'!H17</f>
        <v>1.5950537595668268</v>
      </c>
      <c r="L17" s="457">
        <f>M17/($D$14*$F$17*H17*$G$17)</f>
        <v>2.8682170542635661</v>
      </c>
      <c r="M17" s="568">
        <f>'Result Comparison'!I17</f>
        <v>1.3319999999999999</v>
      </c>
      <c r="N17" s="487">
        <f>'Pull-out(E)'!C210</f>
        <v>0.16</v>
      </c>
      <c r="O17" s="454">
        <f t="shared" si="0"/>
        <v>0.53333333333333333</v>
      </c>
    </row>
    <row r="18" spans="2:19">
      <c r="B18" s="460">
        <v>11</v>
      </c>
      <c r="C18" s="688"/>
      <c r="D18" s="691"/>
      <c r="E18" s="723"/>
      <c r="F18" s="694"/>
      <c r="G18" s="697"/>
      <c r="H18" s="469">
        <v>0.5</v>
      </c>
      <c r="I18" s="476">
        <f>H18/$F$17</f>
        <v>1.6666666666666667</v>
      </c>
      <c r="J18" s="472">
        <f>K18/($D$14*$F$17*$G$17*H18)</f>
        <v>5.848035419922458</v>
      </c>
      <c r="K18" s="455">
        <f>'Result Comparison'!H18</f>
        <v>4.5263794150199823</v>
      </c>
      <c r="L18" s="472">
        <f>M18/($D$14*$F$17*H18*$G$17)</f>
        <v>4.1589147286821708</v>
      </c>
      <c r="M18" s="566">
        <f>'Result Comparison'!I18</f>
        <v>3.2189999999999999</v>
      </c>
      <c r="N18" s="488">
        <f>'Pull-out(E)'!I210</f>
        <v>0.48</v>
      </c>
      <c r="O18" s="455">
        <f t="shared" si="0"/>
        <v>0.96</v>
      </c>
      <c r="R18" s="536"/>
    </row>
    <row r="19" spans="2:19" ht="15.75" thickBot="1">
      <c r="B19" s="461">
        <v>12</v>
      </c>
      <c r="C19" s="689"/>
      <c r="D19" s="692"/>
      <c r="E19" s="724"/>
      <c r="F19" s="695"/>
      <c r="G19" s="698"/>
      <c r="H19" s="470">
        <v>0.8</v>
      </c>
      <c r="I19" s="477">
        <f>H19/$F$17</f>
        <v>2.666666666666667</v>
      </c>
      <c r="J19" s="473">
        <f>K19/($D$14*$F$17*$G$17*H19)</f>
        <v>10.653521872912687</v>
      </c>
      <c r="K19" s="456">
        <f>'Result Comparison'!H19</f>
        <v>13.193321487415071</v>
      </c>
      <c r="L19" s="473">
        <f>M19/($D$14*$F$17*H19*$G$17)</f>
        <v>7.3946220930232576</v>
      </c>
      <c r="M19" s="567">
        <f>'Result Comparison'!I19</f>
        <v>9.1575000000000006</v>
      </c>
      <c r="N19" s="517">
        <f>'Pull-out(E)'!O210</f>
        <v>1.02</v>
      </c>
      <c r="O19" s="456">
        <f t="shared" si="0"/>
        <v>1.2749999999999999</v>
      </c>
    </row>
    <row r="20" spans="2:19">
      <c r="B20" s="459">
        <v>13</v>
      </c>
      <c r="C20" s="735">
        <v>80</v>
      </c>
      <c r="D20" s="739">
        <v>18.05</v>
      </c>
      <c r="E20" s="725">
        <v>45.62</v>
      </c>
      <c r="F20" s="687">
        <v>0.15</v>
      </c>
      <c r="G20" s="690">
        <v>0.15</v>
      </c>
      <c r="H20" s="468">
        <v>0.3</v>
      </c>
      <c r="I20" s="478">
        <f>H20/$F$20</f>
        <v>2</v>
      </c>
      <c r="J20" s="471">
        <f>K20/($D$20*$F$20*$G$20*H20)</f>
        <v>8.9422125124217011</v>
      </c>
      <c r="K20" s="458">
        <f>'Result Comparison'!H20</f>
        <v>1.089496816982179</v>
      </c>
      <c r="L20" s="471">
        <f>M20/($D$20*$F$20*H20*$G$20)</f>
        <v>5.4662973222530002</v>
      </c>
      <c r="M20" s="565">
        <f>'Result Comparison'!I20</f>
        <v>0.66599999999999993</v>
      </c>
      <c r="N20" s="516">
        <f>'Pull-out(E)'!U327</f>
        <v>0.24</v>
      </c>
      <c r="O20" s="458">
        <f t="shared" si="0"/>
        <v>0.8</v>
      </c>
    </row>
    <row r="21" spans="2:19">
      <c r="B21" s="460">
        <v>14</v>
      </c>
      <c r="C21" s="688"/>
      <c r="D21" s="691"/>
      <c r="E21" s="723"/>
      <c r="F21" s="688"/>
      <c r="G21" s="691"/>
      <c r="H21" s="469">
        <v>0.5</v>
      </c>
      <c r="I21" s="476">
        <f>H21/$F$20</f>
        <v>3.3333333333333335</v>
      </c>
      <c r="J21" s="472">
        <f>K21/($D$20*$F$20*$G$20*H21)</f>
        <v>18.701681379244683</v>
      </c>
      <c r="K21" s="455">
        <f>'Result Comparison'!H21</f>
        <v>3.7976101750728732</v>
      </c>
      <c r="L21" s="472">
        <f>M21/($D$20*$F$20*H21*$G$20)</f>
        <v>12.025854108956601</v>
      </c>
      <c r="M21" s="566">
        <f>'Result Comparison'!I21</f>
        <v>2.4419999999999997</v>
      </c>
      <c r="N21" s="488">
        <f>'Pull-out(E)'!AA327</f>
        <v>0.52</v>
      </c>
      <c r="O21" s="455">
        <f t="shared" si="0"/>
        <v>1.04</v>
      </c>
    </row>
    <row r="22" spans="2:19" ht="15.75" thickBot="1">
      <c r="B22" s="460">
        <v>15</v>
      </c>
      <c r="C22" s="688"/>
      <c r="D22" s="691"/>
      <c r="E22" s="723"/>
      <c r="F22" s="689"/>
      <c r="G22" s="692"/>
      <c r="H22" s="470">
        <v>0.8</v>
      </c>
      <c r="I22" s="477">
        <f>H22/$F$20</f>
        <v>5.3333333333333339</v>
      </c>
      <c r="J22" s="473">
        <f>K22/($D$20*$F$20*$G$20*H22)</f>
        <v>40.037875467291911</v>
      </c>
      <c r="K22" s="456">
        <f>'Result Comparison'!H22</f>
        <v>13.008305739323143</v>
      </c>
      <c r="L22" s="473">
        <f>M22/($D$20*$F$20*H22*$G$20)</f>
        <v>31.089566020313949</v>
      </c>
      <c r="M22" s="567">
        <f>'Result Comparison'!I22</f>
        <v>10.101000000000001</v>
      </c>
      <c r="N22" s="517">
        <f>'Pull-out(E)'!AG327</f>
        <v>1.75</v>
      </c>
      <c r="O22" s="456">
        <f t="shared" si="0"/>
        <v>2.1875</v>
      </c>
    </row>
    <row r="23" spans="2:19">
      <c r="B23" s="460">
        <v>16</v>
      </c>
      <c r="C23" s="688"/>
      <c r="D23" s="691"/>
      <c r="E23" s="723"/>
      <c r="F23" s="693">
        <v>0.3</v>
      </c>
      <c r="G23" s="696">
        <v>0.3</v>
      </c>
      <c r="H23" s="468">
        <v>0.3</v>
      </c>
      <c r="I23" s="478">
        <f>H23/$F$23</f>
        <v>1</v>
      </c>
      <c r="J23" s="471">
        <f>K23/($D$20*$F$23*$G$23*H23)</f>
        <v>3.9665576380389349</v>
      </c>
      <c r="K23" s="458">
        <f>'Result Comparison'!H23</f>
        <v>1.933101864898275</v>
      </c>
      <c r="L23" s="471">
        <f>M23/($D$20*$F$23*H23*$G$23)</f>
        <v>2.9609110495537085</v>
      </c>
      <c r="M23" s="565">
        <f>'Result Comparison'!I23</f>
        <v>1.4429999999999998</v>
      </c>
      <c r="N23" s="516">
        <f>'Pull-out(E)'!C327</f>
        <v>0.22</v>
      </c>
      <c r="O23" s="458">
        <f t="shared" si="0"/>
        <v>0.73333333333333339</v>
      </c>
    </row>
    <row r="24" spans="2:19">
      <c r="B24" s="460">
        <v>17</v>
      </c>
      <c r="C24" s="688"/>
      <c r="D24" s="691"/>
      <c r="E24" s="723"/>
      <c r="F24" s="694"/>
      <c r="G24" s="697"/>
      <c r="H24" s="469">
        <v>0.5</v>
      </c>
      <c r="I24" s="476">
        <f>H24/$F$23</f>
        <v>1.6666666666666667</v>
      </c>
      <c r="J24" s="472">
        <f>K24/($D$20*$F$23*$G$23*H24)</f>
        <v>7.0604278613670211</v>
      </c>
      <c r="K24" s="455">
        <f>'Result Comparison'!H24</f>
        <v>5.7348325303953631</v>
      </c>
      <c r="L24" s="472">
        <f>M24/($D$20*$F$23*H24*$G$23)</f>
        <v>5.0563250230840255</v>
      </c>
      <c r="M24" s="566">
        <f>'Result Comparison'!I24</f>
        <v>4.1070000000000002</v>
      </c>
      <c r="N24" s="488">
        <f>'Pull-out(E)'!I327</f>
        <v>0.5</v>
      </c>
      <c r="O24" s="455">
        <f t="shared" si="0"/>
        <v>1</v>
      </c>
    </row>
    <row r="25" spans="2:19" ht="15.75" thickBot="1">
      <c r="B25" s="461">
        <v>18</v>
      </c>
      <c r="C25" s="689"/>
      <c r="D25" s="692"/>
      <c r="E25" s="724"/>
      <c r="F25" s="695"/>
      <c r="G25" s="698"/>
      <c r="H25" s="470">
        <v>0.8</v>
      </c>
      <c r="I25" s="477">
        <f>H25/$F$23</f>
        <v>2.666666666666667</v>
      </c>
      <c r="J25" s="473">
        <f>K25/($D$20*$F$23*$G$23*H25)</f>
        <v>13.375480893312341</v>
      </c>
      <c r="K25" s="456">
        <f>'Result Comparison'!H25</f>
        <v>17.38277496894872</v>
      </c>
      <c r="L25" s="473">
        <f>M25/($D$20*$F$23*H25*$G$23)</f>
        <v>9.9930747922437693</v>
      </c>
      <c r="M25" s="567">
        <f>'Result Comparison'!I25</f>
        <v>12.987</v>
      </c>
      <c r="N25" s="517">
        <f>'Pull-out(E)'!O327</f>
        <v>1.08</v>
      </c>
      <c r="O25" s="456">
        <f t="shared" si="0"/>
        <v>1.35</v>
      </c>
    </row>
    <row r="28" spans="2:19" ht="15.75" thickBot="1"/>
    <row r="29" spans="2:19" ht="21.75" thickBot="1">
      <c r="B29" s="321"/>
      <c r="C29" s="481"/>
      <c r="D29" s="481"/>
      <c r="E29" s="481"/>
      <c r="F29" s="713" t="s">
        <v>332</v>
      </c>
      <c r="G29" s="714"/>
      <c r="H29" s="714"/>
      <c r="I29" s="714"/>
      <c r="J29" s="714"/>
      <c r="K29" s="714"/>
      <c r="L29" s="714"/>
      <c r="M29" s="714"/>
      <c r="N29" s="714"/>
      <c r="O29" s="715"/>
      <c r="P29" s="481"/>
      <c r="Q29" s="481"/>
      <c r="R29" s="481"/>
      <c r="S29" s="482"/>
    </row>
    <row r="30" spans="2:19" ht="15.75" thickBot="1">
      <c r="B30" s="37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541"/>
      <c r="N30" s="10"/>
      <c r="O30" s="10"/>
      <c r="P30" s="10"/>
      <c r="Q30" s="10"/>
      <c r="R30" s="10"/>
      <c r="S30" s="483"/>
    </row>
    <row r="31" spans="2:19" ht="15.75" thickBot="1">
      <c r="B31" s="37"/>
      <c r="C31" s="10"/>
      <c r="D31" s="716" t="s">
        <v>310</v>
      </c>
      <c r="E31" s="717"/>
      <c r="F31" s="10"/>
      <c r="G31" s="10"/>
      <c r="H31" s="10"/>
      <c r="I31" s="10"/>
      <c r="J31" s="10"/>
      <c r="K31" s="10"/>
      <c r="L31" s="10"/>
      <c r="M31" s="541"/>
      <c r="N31" s="636" t="s">
        <v>311</v>
      </c>
      <c r="O31" s="638"/>
      <c r="P31" s="10"/>
      <c r="Q31" s="10"/>
      <c r="R31" s="10"/>
      <c r="S31" s="483"/>
    </row>
    <row r="32" spans="2:19">
      <c r="B32" s="37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541"/>
      <c r="N32" s="10"/>
      <c r="O32" s="10"/>
      <c r="P32" s="10"/>
      <c r="Q32" s="10"/>
      <c r="R32" s="10"/>
      <c r="S32" s="483"/>
    </row>
    <row r="33" spans="2:35">
      <c r="B33" s="37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541"/>
      <c r="N33" s="10"/>
      <c r="O33" s="10"/>
      <c r="P33" s="10"/>
      <c r="Q33" s="10"/>
      <c r="R33" s="10"/>
      <c r="S33" s="483"/>
    </row>
    <row r="34" spans="2:35">
      <c r="B34" s="37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541"/>
      <c r="N34" s="10"/>
      <c r="O34" s="10"/>
      <c r="P34" s="10"/>
      <c r="Q34" s="10"/>
      <c r="R34" s="10"/>
      <c r="S34" s="483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</row>
    <row r="35" spans="2:35">
      <c r="B35" s="37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541"/>
      <c r="N35" s="10"/>
      <c r="O35" s="10"/>
      <c r="P35" s="10"/>
      <c r="Q35" s="10"/>
      <c r="R35" s="10"/>
      <c r="S35" s="483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</row>
    <row r="36" spans="2:35">
      <c r="B36" s="37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541"/>
      <c r="N36" s="10"/>
      <c r="O36" s="10"/>
      <c r="P36" s="10"/>
      <c r="Q36" s="10"/>
      <c r="R36" s="10"/>
      <c r="S36" s="483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</row>
    <row r="37" spans="2:35">
      <c r="B37" s="37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541"/>
      <c r="N37" s="10"/>
      <c r="O37" s="10"/>
      <c r="P37" s="10"/>
      <c r="Q37" s="10"/>
      <c r="R37" s="10"/>
      <c r="S37" s="483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</row>
    <row r="38" spans="2:35">
      <c r="B38" s="37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541"/>
      <c r="N38" s="10"/>
      <c r="O38" s="10"/>
      <c r="P38" s="10"/>
      <c r="Q38" s="10"/>
      <c r="R38" s="10"/>
      <c r="S38" s="483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</row>
    <row r="39" spans="2:35">
      <c r="B39" s="37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541"/>
      <c r="N39" s="10"/>
      <c r="O39" s="10"/>
      <c r="P39" s="10"/>
      <c r="Q39" s="10"/>
      <c r="R39" s="10"/>
      <c r="S39" s="483"/>
    </row>
    <row r="40" spans="2:35">
      <c r="B40" s="37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541"/>
      <c r="N40" s="10"/>
      <c r="O40" s="10"/>
      <c r="P40" s="10"/>
      <c r="Q40" s="10"/>
      <c r="R40" s="10"/>
      <c r="S40" s="483"/>
    </row>
    <row r="41" spans="2:35">
      <c r="B41" s="37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541"/>
      <c r="N41" s="10"/>
      <c r="O41" s="10"/>
      <c r="P41" s="10"/>
      <c r="Q41" s="10"/>
      <c r="R41" s="10"/>
      <c r="S41" s="483"/>
    </row>
    <row r="42" spans="2:35">
      <c r="B42" s="37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541"/>
      <c r="N42" s="10"/>
      <c r="O42" s="10"/>
      <c r="P42" s="10"/>
      <c r="Q42" s="10"/>
      <c r="R42" s="10"/>
      <c r="S42" s="483"/>
    </row>
    <row r="43" spans="2:35">
      <c r="B43" s="37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541"/>
      <c r="N43" s="10"/>
      <c r="O43" s="10"/>
      <c r="P43" s="10"/>
      <c r="Q43" s="10"/>
      <c r="R43" s="10"/>
      <c r="S43" s="483"/>
    </row>
    <row r="44" spans="2:35">
      <c r="B44" s="37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541"/>
      <c r="N44" s="10"/>
      <c r="O44" s="10"/>
      <c r="P44" s="10"/>
      <c r="Q44" s="10"/>
      <c r="R44" s="10"/>
      <c r="S44" s="483"/>
    </row>
    <row r="45" spans="2:35">
      <c r="B45" s="37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541"/>
      <c r="N45" s="10"/>
      <c r="O45" s="10"/>
      <c r="P45" s="10"/>
      <c r="Q45" s="10"/>
      <c r="R45" s="10"/>
      <c r="S45" s="483"/>
    </row>
    <row r="46" spans="2:35">
      <c r="B46" s="37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541"/>
      <c r="N46" s="10"/>
      <c r="O46" s="10"/>
      <c r="P46" s="10"/>
      <c r="Q46" s="10"/>
      <c r="R46" s="10"/>
      <c r="S46" s="483"/>
    </row>
    <row r="47" spans="2:35">
      <c r="B47" s="37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541"/>
      <c r="N47" s="10"/>
      <c r="O47" s="10"/>
      <c r="P47" s="10"/>
      <c r="Q47" s="10"/>
      <c r="R47" s="10"/>
      <c r="S47" s="483"/>
    </row>
    <row r="48" spans="2:35">
      <c r="B48" s="37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541"/>
      <c r="N48" s="10"/>
      <c r="O48" s="10"/>
      <c r="P48" s="10"/>
      <c r="Q48" s="10"/>
      <c r="R48" s="10"/>
      <c r="S48" s="483"/>
    </row>
    <row r="49" spans="2:19">
      <c r="B49" s="37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541"/>
      <c r="N49" s="10"/>
      <c r="O49" s="10"/>
      <c r="P49" s="10"/>
      <c r="Q49" s="10"/>
      <c r="R49" s="10"/>
      <c r="S49" s="483"/>
    </row>
    <row r="50" spans="2:19">
      <c r="B50" s="37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541"/>
      <c r="N50" s="10"/>
      <c r="O50" s="10"/>
      <c r="P50" s="10"/>
      <c r="Q50" s="10"/>
      <c r="R50" s="10"/>
      <c r="S50" s="483"/>
    </row>
    <row r="51" spans="2:19">
      <c r="B51" s="37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541"/>
      <c r="N51" s="10"/>
      <c r="O51" s="10"/>
      <c r="P51" s="10"/>
      <c r="Q51" s="10"/>
      <c r="R51" s="10"/>
      <c r="S51" s="483"/>
    </row>
    <row r="52" spans="2:19">
      <c r="B52" s="37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541"/>
      <c r="N52" s="10"/>
      <c r="O52" s="10"/>
      <c r="P52" s="10"/>
      <c r="Q52" s="10"/>
      <c r="R52" s="10"/>
      <c r="S52" s="483"/>
    </row>
    <row r="53" spans="2:19">
      <c r="B53" s="37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541"/>
      <c r="N53" s="10"/>
      <c r="O53" s="10"/>
      <c r="P53" s="10"/>
      <c r="Q53" s="10"/>
      <c r="R53" s="10"/>
      <c r="S53" s="483"/>
    </row>
    <row r="54" spans="2:19">
      <c r="B54" s="37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541"/>
      <c r="N54" s="10"/>
      <c r="O54" s="10"/>
      <c r="P54" s="10"/>
      <c r="Q54" s="10"/>
      <c r="R54" s="10"/>
      <c r="S54" s="483"/>
    </row>
    <row r="55" spans="2:19">
      <c r="B55" s="37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541"/>
      <c r="N55" s="10"/>
      <c r="O55" s="10"/>
      <c r="P55" s="10"/>
      <c r="Q55" s="10"/>
      <c r="R55" s="10"/>
      <c r="S55" s="483"/>
    </row>
    <row r="56" spans="2:19">
      <c r="B56" s="37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541"/>
      <c r="N56" s="10"/>
      <c r="O56" s="10"/>
      <c r="P56" s="10"/>
      <c r="Q56" s="10"/>
      <c r="R56" s="10"/>
      <c r="S56" s="483"/>
    </row>
    <row r="57" spans="2:19">
      <c r="B57" s="37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541"/>
      <c r="N57" s="10"/>
      <c r="O57" s="10"/>
      <c r="P57" s="10"/>
      <c r="Q57" s="10"/>
      <c r="R57" s="10"/>
      <c r="S57" s="483"/>
    </row>
    <row r="58" spans="2:19">
      <c r="B58" s="37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541"/>
      <c r="N58" s="10"/>
      <c r="O58" s="10"/>
      <c r="P58" s="10"/>
      <c r="Q58" s="10"/>
      <c r="R58" s="10"/>
      <c r="S58" s="483"/>
    </row>
    <row r="59" spans="2:19">
      <c r="B59" s="37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541"/>
      <c r="N59" s="10"/>
      <c r="O59" s="10"/>
      <c r="P59" s="10"/>
      <c r="Q59" s="10"/>
      <c r="R59" s="10"/>
      <c r="S59" s="483"/>
    </row>
    <row r="60" spans="2:19" ht="15.75" thickBot="1">
      <c r="B60" s="136"/>
      <c r="C60" s="137"/>
      <c r="D60" s="137"/>
      <c r="E60" s="137"/>
      <c r="F60" s="137"/>
      <c r="G60" s="137"/>
      <c r="H60" s="137"/>
      <c r="I60" s="137"/>
      <c r="J60" s="137"/>
      <c r="K60" s="137"/>
      <c r="L60" s="137"/>
      <c r="M60" s="542"/>
      <c r="N60" s="137"/>
      <c r="O60" s="137"/>
      <c r="P60" s="137"/>
      <c r="Q60" s="137"/>
      <c r="R60" s="137"/>
      <c r="S60" s="447"/>
    </row>
    <row r="63" spans="2:19" ht="15.75" thickBot="1"/>
    <row r="64" spans="2:19" ht="21.75" thickBot="1">
      <c r="B64" s="514"/>
      <c r="C64" s="355"/>
      <c r="D64" s="355"/>
      <c r="E64" s="713" t="s">
        <v>342</v>
      </c>
      <c r="F64" s="714"/>
      <c r="G64" s="714"/>
      <c r="H64" s="714"/>
      <c r="I64" s="714"/>
      <c r="J64" s="714"/>
      <c r="K64" s="714"/>
      <c r="L64" s="714"/>
      <c r="M64" s="714"/>
      <c r="N64" s="714"/>
      <c r="O64" s="714"/>
      <c r="P64" s="715"/>
      <c r="Q64" s="481"/>
      <c r="R64" s="482"/>
    </row>
    <row r="65" spans="2:18" ht="15.75" thickBot="1">
      <c r="B65" s="30"/>
      <c r="C65" s="31"/>
      <c r="D65" s="31"/>
      <c r="E65" s="31"/>
      <c r="F65" s="31"/>
      <c r="G65" s="31"/>
      <c r="H65" s="31"/>
      <c r="I65" s="31"/>
      <c r="J65" s="31"/>
      <c r="K65" s="31"/>
      <c r="L65" s="10"/>
      <c r="M65" s="541"/>
      <c r="N65" s="10"/>
      <c r="O65" s="10"/>
      <c r="P65" s="10"/>
      <c r="Q65" s="10"/>
      <c r="R65" s="483"/>
    </row>
    <row r="66" spans="2:18" ht="15.75" thickBot="1">
      <c r="B66" s="30"/>
      <c r="C66" s="31"/>
      <c r="D66" s="31"/>
      <c r="E66" s="716" t="s">
        <v>310</v>
      </c>
      <c r="F66" s="717"/>
      <c r="G66" s="10"/>
      <c r="H66" s="10"/>
      <c r="I66" s="10"/>
      <c r="J66" s="10"/>
      <c r="K66" s="10"/>
      <c r="L66" s="10"/>
      <c r="M66" s="541"/>
      <c r="N66" s="10"/>
      <c r="O66" s="636" t="s">
        <v>311</v>
      </c>
      <c r="P66" s="638"/>
      <c r="Q66" s="10"/>
      <c r="R66" s="483"/>
    </row>
    <row r="67" spans="2:18">
      <c r="B67" s="30"/>
      <c r="C67" s="31"/>
      <c r="D67" s="31"/>
      <c r="E67" s="31"/>
      <c r="F67" s="31"/>
      <c r="G67" s="31"/>
      <c r="H67" s="31"/>
      <c r="I67" s="31"/>
      <c r="J67" s="31"/>
      <c r="K67" s="31"/>
      <c r="L67" s="10"/>
      <c r="M67" s="541"/>
      <c r="N67" s="10"/>
      <c r="O67" s="10"/>
      <c r="P67" s="10"/>
      <c r="Q67" s="10"/>
      <c r="R67" s="483"/>
    </row>
    <row r="68" spans="2:18">
      <c r="B68" s="30"/>
      <c r="C68" s="31"/>
      <c r="D68" s="31"/>
      <c r="E68" s="31"/>
      <c r="F68" s="31"/>
      <c r="G68" s="31"/>
      <c r="H68" s="31"/>
      <c r="I68" s="31"/>
      <c r="J68" s="31"/>
      <c r="K68" s="31"/>
      <c r="L68" s="10"/>
      <c r="M68" s="541"/>
      <c r="N68" s="10"/>
      <c r="O68" s="10"/>
      <c r="P68" s="10"/>
      <c r="Q68" s="10"/>
      <c r="R68" s="483"/>
    </row>
    <row r="69" spans="2:18">
      <c r="B69" s="30"/>
      <c r="C69" s="31"/>
      <c r="D69" s="31"/>
      <c r="E69" s="31"/>
      <c r="F69" s="31"/>
      <c r="G69" s="31"/>
      <c r="H69" s="31"/>
      <c r="I69" s="31"/>
      <c r="J69" s="31"/>
      <c r="K69" s="31"/>
      <c r="L69" s="10"/>
      <c r="M69" s="541"/>
      <c r="N69" s="10"/>
      <c r="O69" s="10"/>
      <c r="P69" s="10"/>
      <c r="Q69" s="10"/>
      <c r="R69" s="483"/>
    </row>
    <row r="70" spans="2:18">
      <c r="B70" s="30"/>
      <c r="C70" s="31"/>
      <c r="D70" s="31"/>
      <c r="E70" s="31"/>
      <c r="F70" s="31"/>
      <c r="G70" s="31"/>
      <c r="H70" s="31"/>
      <c r="I70" s="31"/>
      <c r="J70" s="31"/>
      <c r="K70" s="31"/>
      <c r="L70" s="10"/>
      <c r="M70" s="541"/>
      <c r="N70" s="10"/>
      <c r="O70" s="10"/>
      <c r="P70" s="10"/>
      <c r="Q70" s="10"/>
      <c r="R70" s="483"/>
    </row>
    <row r="71" spans="2:18">
      <c r="B71" s="30"/>
      <c r="C71" s="31"/>
      <c r="D71" s="31"/>
      <c r="E71" s="31"/>
      <c r="F71" s="31"/>
      <c r="G71" s="31"/>
      <c r="H71" s="31"/>
      <c r="I71" s="31"/>
      <c r="J71" s="31"/>
      <c r="K71" s="31"/>
      <c r="L71" s="10"/>
      <c r="M71" s="541"/>
      <c r="N71" s="10"/>
      <c r="O71" s="10"/>
      <c r="P71" s="10"/>
      <c r="Q71" s="10"/>
      <c r="R71" s="483"/>
    </row>
    <row r="72" spans="2:18">
      <c r="B72" s="30"/>
      <c r="C72" s="31"/>
      <c r="D72" s="31"/>
      <c r="E72" s="31"/>
      <c r="F72" s="31"/>
      <c r="G72" s="31"/>
      <c r="H72" s="31"/>
      <c r="I72" s="31"/>
      <c r="J72" s="31"/>
      <c r="K72" s="31"/>
      <c r="L72" s="10"/>
      <c r="M72" s="541"/>
      <c r="N72" s="10"/>
      <c r="O72" s="10"/>
      <c r="P72" s="10"/>
      <c r="Q72" s="10"/>
      <c r="R72" s="483"/>
    </row>
    <row r="73" spans="2:18">
      <c r="B73" s="30"/>
      <c r="C73" s="31"/>
      <c r="D73" s="31"/>
      <c r="E73" s="31"/>
      <c r="F73" s="31"/>
      <c r="G73" s="31"/>
      <c r="H73" s="31"/>
      <c r="I73" s="31"/>
      <c r="J73" s="31"/>
      <c r="K73" s="31"/>
      <c r="L73" s="10"/>
      <c r="M73" s="541"/>
      <c r="N73" s="10"/>
      <c r="O73" s="10"/>
      <c r="P73" s="10"/>
      <c r="Q73" s="10"/>
      <c r="R73" s="483"/>
    </row>
    <row r="74" spans="2:18">
      <c r="B74" s="30"/>
      <c r="C74" s="31"/>
      <c r="D74" s="31"/>
      <c r="E74" s="31"/>
      <c r="F74" s="31"/>
      <c r="G74" s="31"/>
      <c r="H74" s="31"/>
      <c r="I74" s="31"/>
      <c r="J74" s="31"/>
      <c r="K74" s="31"/>
      <c r="L74" s="10"/>
      <c r="M74" s="541"/>
      <c r="N74" s="10"/>
      <c r="O74" s="10"/>
      <c r="P74" s="10"/>
      <c r="Q74" s="10"/>
      <c r="R74" s="483"/>
    </row>
    <row r="75" spans="2:18">
      <c r="B75" s="30"/>
      <c r="C75" s="31"/>
      <c r="D75" s="31"/>
      <c r="E75" s="31"/>
      <c r="F75" s="31"/>
      <c r="G75" s="31"/>
      <c r="H75" s="31"/>
      <c r="I75" s="31"/>
      <c r="J75" s="31"/>
      <c r="K75" s="31"/>
      <c r="L75" s="10"/>
      <c r="M75" s="541"/>
      <c r="N75" s="10"/>
      <c r="O75" s="10"/>
      <c r="P75" s="10"/>
      <c r="Q75" s="10"/>
      <c r="R75" s="483"/>
    </row>
    <row r="76" spans="2:18">
      <c r="B76" s="30"/>
      <c r="C76" s="31"/>
      <c r="D76" s="31"/>
      <c r="E76" s="31"/>
      <c r="F76" s="31"/>
      <c r="G76" s="31"/>
      <c r="H76" s="31"/>
      <c r="I76" s="31"/>
      <c r="J76" s="31"/>
      <c r="K76" s="31"/>
      <c r="L76" s="10"/>
      <c r="M76" s="541"/>
      <c r="N76" s="10"/>
      <c r="O76" s="10"/>
      <c r="P76" s="10"/>
      <c r="Q76" s="10"/>
      <c r="R76" s="483"/>
    </row>
    <row r="77" spans="2:18">
      <c r="B77" s="30"/>
      <c r="C77" s="31"/>
      <c r="D77" s="31"/>
      <c r="E77" s="31"/>
      <c r="F77" s="31"/>
      <c r="G77" s="31"/>
      <c r="H77" s="31"/>
      <c r="I77" s="31"/>
      <c r="J77" s="31"/>
      <c r="K77" s="31"/>
      <c r="L77" s="10"/>
      <c r="M77" s="541"/>
      <c r="N77" s="10"/>
      <c r="O77" s="10"/>
      <c r="P77" s="10"/>
      <c r="Q77" s="10"/>
      <c r="R77" s="483"/>
    </row>
    <row r="78" spans="2:18">
      <c r="B78" s="30"/>
      <c r="C78" s="31"/>
      <c r="D78" s="31"/>
      <c r="E78" s="31"/>
      <c r="F78" s="31"/>
      <c r="G78" s="31"/>
      <c r="H78" s="31"/>
      <c r="I78" s="31"/>
      <c r="J78" s="31"/>
      <c r="K78" s="31"/>
      <c r="L78" s="10"/>
      <c r="M78" s="541"/>
      <c r="N78" s="10"/>
      <c r="O78" s="10"/>
      <c r="P78" s="10"/>
      <c r="Q78" s="10"/>
      <c r="R78" s="483"/>
    </row>
    <row r="79" spans="2:18">
      <c r="B79" s="30"/>
      <c r="C79" s="31"/>
      <c r="D79" s="31"/>
      <c r="E79" s="31"/>
      <c r="F79" s="31"/>
      <c r="G79" s="31"/>
      <c r="H79" s="31"/>
      <c r="I79" s="31"/>
      <c r="J79" s="31"/>
      <c r="K79" s="31"/>
      <c r="L79" s="10"/>
      <c r="M79" s="541"/>
      <c r="N79" s="10"/>
      <c r="O79" s="10"/>
      <c r="P79" s="10"/>
      <c r="Q79" s="10"/>
      <c r="R79" s="483"/>
    </row>
    <row r="80" spans="2:18">
      <c r="B80" s="30"/>
      <c r="C80" s="31"/>
      <c r="D80" s="31"/>
      <c r="E80" s="31"/>
      <c r="F80" s="31"/>
      <c r="G80" s="31"/>
      <c r="H80" s="31"/>
      <c r="I80" s="31"/>
      <c r="J80" s="31"/>
      <c r="K80" s="31"/>
      <c r="L80" s="10"/>
      <c r="M80" s="541"/>
      <c r="N80" s="10"/>
      <c r="O80" s="10"/>
      <c r="P80" s="10"/>
      <c r="Q80" s="10"/>
      <c r="R80" s="483"/>
    </row>
    <row r="81" spans="2:18">
      <c r="B81" s="30"/>
      <c r="C81" s="31"/>
      <c r="D81" s="31"/>
      <c r="E81" s="31"/>
      <c r="F81" s="31"/>
      <c r="G81" s="31"/>
      <c r="H81" s="31"/>
      <c r="I81" s="31"/>
      <c r="J81" s="31"/>
      <c r="K81" s="31"/>
      <c r="L81" s="10"/>
      <c r="M81" s="541"/>
      <c r="N81" s="10"/>
      <c r="O81" s="10"/>
      <c r="P81" s="10"/>
      <c r="Q81" s="10"/>
      <c r="R81" s="483"/>
    </row>
    <row r="82" spans="2:18">
      <c r="B82" s="30"/>
      <c r="C82" s="31"/>
      <c r="D82" s="31"/>
      <c r="E82" s="31"/>
      <c r="F82" s="31"/>
      <c r="G82" s="31"/>
      <c r="H82" s="31"/>
      <c r="I82" s="31"/>
      <c r="J82" s="31"/>
      <c r="K82" s="31"/>
      <c r="L82" s="10"/>
      <c r="M82" s="541"/>
      <c r="N82" s="10"/>
      <c r="O82" s="10"/>
      <c r="P82" s="10"/>
      <c r="Q82" s="10"/>
      <c r="R82" s="483"/>
    </row>
    <row r="83" spans="2:18">
      <c r="B83" s="30"/>
      <c r="C83" s="31"/>
      <c r="D83" s="31"/>
      <c r="E83" s="31"/>
      <c r="F83" s="31"/>
      <c r="G83" s="31"/>
      <c r="H83" s="31"/>
      <c r="I83" s="31"/>
      <c r="J83" s="31"/>
      <c r="K83" s="31"/>
      <c r="L83" s="10"/>
      <c r="M83" s="541"/>
      <c r="N83" s="10"/>
      <c r="O83" s="10"/>
      <c r="P83" s="10"/>
      <c r="Q83" s="10"/>
      <c r="R83" s="483"/>
    </row>
    <row r="84" spans="2:18">
      <c r="B84" s="30"/>
      <c r="C84" s="31"/>
      <c r="D84" s="31"/>
      <c r="E84" s="31"/>
      <c r="F84" s="31"/>
      <c r="G84" s="31"/>
      <c r="H84" s="31"/>
      <c r="I84" s="31"/>
      <c r="J84" s="31"/>
      <c r="K84" s="31"/>
      <c r="L84" s="10"/>
      <c r="M84" s="541"/>
      <c r="N84" s="10"/>
      <c r="O84" s="10"/>
      <c r="P84" s="10"/>
      <c r="Q84" s="10"/>
      <c r="R84" s="483"/>
    </row>
    <row r="85" spans="2:18">
      <c r="B85" s="30"/>
      <c r="C85" s="31"/>
      <c r="D85" s="31"/>
      <c r="E85" s="31"/>
      <c r="F85" s="31"/>
      <c r="G85" s="31"/>
      <c r="H85" s="31"/>
      <c r="I85" s="31"/>
      <c r="J85" s="31"/>
      <c r="K85" s="31"/>
      <c r="L85" s="10"/>
      <c r="M85" s="541"/>
      <c r="N85" s="10"/>
      <c r="O85" s="10"/>
      <c r="P85" s="10"/>
      <c r="Q85" s="10"/>
      <c r="R85" s="483"/>
    </row>
    <row r="86" spans="2:18">
      <c r="B86" s="30"/>
      <c r="C86" s="31"/>
      <c r="D86" s="31"/>
      <c r="E86" s="31"/>
      <c r="F86" s="31"/>
      <c r="G86" s="31"/>
      <c r="H86" s="31"/>
      <c r="I86" s="31"/>
      <c r="J86" s="31"/>
      <c r="K86" s="31"/>
      <c r="L86" s="10"/>
      <c r="M86" s="541"/>
      <c r="N86" s="10"/>
      <c r="O86" s="10"/>
      <c r="P86" s="10"/>
      <c r="Q86" s="10"/>
      <c r="R86" s="483"/>
    </row>
    <row r="87" spans="2:18">
      <c r="B87" s="30"/>
      <c r="C87" s="31"/>
      <c r="D87" s="31"/>
      <c r="E87" s="31"/>
      <c r="F87" s="31"/>
      <c r="G87" s="31"/>
      <c r="H87" s="31"/>
      <c r="I87" s="31"/>
      <c r="J87" s="31"/>
      <c r="K87" s="31"/>
      <c r="L87" s="10"/>
      <c r="M87" s="541"/>
      <c r="N87" s="10"/>
      <c r="O87" s="10"/>
      <c r="P87" s="10"/>
      <c r="Q87" s="10"/>
      <c r="R87" s="483"/>
    </row>
    <row r="88" spans="2:18">
      <c r="B88" s="30"/>
      <c r="C88" s="31"/>
      <c r="D88" s="31"/>
      <c r="E88" s="31"/>
      <c r="F88" s="31"/>
      <c r="G88" s="31"/>
      <c r="H88" s="31"/>
      <c r="I88" s="31"/>
      <c r="J88" s="31"/>
      <c r="K88" s="31"/>
      <c r="L88" s="10"/>
      <c r="M88" s="541"/>
      <c r="N88" s="10"/>
      <c r="O88" s="10"/>
      <c r="P88" s="10"/>
      <c r="Q88" s="10"/>
      <c r="R88" s="483"/>
    </row>
    <row r="89" spans="2:18">
      <c r="B89" s="30"/>
      <c r="C89" s="31"/>
      <c r="D89" s="31"/>
      <c r="E89" s="31"/>
      <c r="F89" s="31"/>
      <c r="G89" s="31"/>
      <c r="H89" s="31"/>
      <c r="I89" s="31"/>
      <c r="J89" s="31"/>
      <c r="K89" s="31"/>
      <c r="L89" s="10"/>
      <c r="M89" s="541"/>
      <c r="N89" s="10"/>
      <c r="O89" s="10"/>
      <c r="P89" s="10"/>
      <c r="Q89" s="10"/>
      <c r="R89" s="483"/>
    </row>
    <row r="90" spans="2:18">
      <c r="B90" s="30"/>
      <c r="C90" s="31"/>
      <c r="D90" s="31"/>
      <c r="E90" s="31"/>
      <c r="F90" s="31"/>
      <c r="G90" s="31"/>
      <c r="H90" s="31"/>
      <c r="I90" s="31"/>
      <c r="J90" s="31"/>
      <c r="K90" s="31"/>
      <c r="L90" s="10"/>
      <c r="M90" s="541"/>
      <c r="N90" s="10"/>
      <c r="O90" s="10"/>
      <c r="P90" s="10"/>
      <c r="Q90" s="10"/>
      <c r="R90" s="483"/>
    </row>
    <row r="91" spans="2:18">
      <c r="B91" s="30"/>
      <c r="C91" s="31"/>
      <c r="D91" s="31"/>
      <c r="E91" s="31"/>
      <c r="F91" s="31"/>
      <c r="G91" s="31"/>
      <c r="H91" s="31"/>
      <c r="I91" s="31"/>
      <c r="J91" s="31"/>
      <c r="K91" s="31"/>
      <c r="L91" s="10"/>
      <c r="M91" s="541"/>
      <c r="N91" s="10"/>
      <c r="O91" s="10"/>
      <c r="P91" s="10"/>
      <c r="Q91" s="10"/>
      <c r="R91" s="483"/>
    </row>
    <row r="92" spans="2:18">
      <c r="B92" s="30"/>
      <c r="C92" s="31"/>
      <c r="D92" s="31"/>
      <c r="E92" s="31"/>
      <c r="F92" s="31"/>
      <c r="G92" s="31"/>
      <c r="H92" s="31"/>
      <c r="I92" s="31"/>
      <c r="J92" s="31"/>
      <c r="K92" s="31"/>
      <c r="L92" s="10"/>
      <c r="M92" s="541"/>
      <c r="N92" s="10"/>
      <c r="O92" s="10"/>
      <c r="P92" s="10"/>
      <c r="Q92" s="10"/>
      <c r="R92" s="483"/>
    </row>
    <row r="93" spans="2:18">
      <c r="B93" s="30"/>
      <c r="C93" s="31"/>
      <c r="D93" s="31"/>
      <c r="E93" s="31"/>
      <c r="F93" s="31"/>
      <c r="G93" s="31"/>
      <c r="H93" s="31"/>
      <c r="I93" s="31"/>
      <c r="J93" s="31"/>
      <c r="K93" s="31"/>
      <c r="L93" s="10"/>
      <c r="M93" s="541"/>
      <c r="N93" s="10"/>
      <c r="O93" s="10"/>
      <c r="P93" s="10"/>
      <c r="Q93" s="10"/>
      <c r="R93" s="483"/>
    </row>
    <row r="94" spans="2:18">
      <c r="B94" s="30"/>
      <c r="C94" s="31"/>
      <c r="D94" s="31"/>
      <c r="E94" s="31"/>
      <c r="F94" s="31"/>
      <c r="G94" s="31"/>
      <c r="H94" s="31"/>
      <c r="I94" s="31"/>
      <c r="J94" s="31"/>
      <c r="K94" s="31"/>
      <c r="L94" s="10"/>
      <c r="M94" s="541"/>
      <c r="N94" s="10"/>
      <c r="O94" s="10"/>
      <c r="P94" s="10"/>
      <c r="Q94" s="10"/>
      <c r="R94" s="483"/>
    </row>
    <row r="95" spans="2:18" ht="15.75" thickBot="1">
      <c r="B95" s="515"/>
      <c r="C95" s="390"/>
      <c r="D95" s="390"/>
      <c r="E95" s="390"/>
      <c r="F95" s="390"/>
      <c r="G95" s="390"/>
      <c r="H95" s="390"/>
      <c r="I95" s="390"/>
      <c r="J95" s="390"/>
      <c r="K95" s="390"/>
      <c r="L95" s="137"/>
      <c r="M95" s="542"/>
      <c r="N95" s="137"/>
      <c r="O95" s="137"/>
      <c r="P95" s="137"/>
      <c r="Q95" s="137"/>
      <c r="R95" s="447"/>
    </row>
  </sheetData>
  <mergeCells count="45">
    <mergeCell ref="J7:K7"/>
    <mergeCell ref="L7:M7"/>
    <mergeCell ref="D8:D13"/>
    <mergeCell ref="D14:D19"/>
    <mergeCell ref="D20:D25"/>
    <mergeCell ref="F8:F10"/>
    <mergeCell ref="G8:G10"/>
    <mergeCell ref="F14:F16"/>
    <mergeCell ref="G14:G16"/>
    <mergeCell ref="F20:F22"/>
    <mergeCell ref="G20:G22"/>
    <mergeCell ref="F23:F25"/>
    <mergeCell ref="G23:G25"/>
    <mergeCell ref="D31:E31"/>
    <mergeCell ref="N31:O31"/>
    <mergeCell ref="C8:C13"/>
    <mergeCell ref="C14:C19"/>
    <mergeCell ref="C20:C25"/>
    <mergeCell ref="B6:B7"/>
    <mergeCell ref="C6:C7"/>
    <mergeCell ref="D6:D7"/>
    <mergeCell ref="F6:F7"/>
    <mergeCell ref="G6:G7"/>
    <mergeCell ref="E6:E7"/>
    <mergeCell ref="E64:P64"/>
    <mergeCell ref="W7:Y7"/>
    <mergeCell ref="E66:F66"/>
    <mergeCell ref="O66:P66"/>
    <mergeCell ref="F29:O29"/>
    <mergeCell ref="N6:N7"/>
    <mergeCell ref="O6:O7"/>
    <mergeCell ref="E8:E13"/>
    <mergeCell ref="E14:E19"/>
    <mergeCell ref="E20:E25"/>
    <mergeCell ref="H6:H7"/>
    <mergeCell ref="I6:I7"/>
    <mergeCell ref="F11:F13"/>
    <mergeCell ref="G11:G13"/>
    <mergeCell ref="F17:F19"/>
    <mergeCell ref="G17:G19"/>
    <mergeCell ref="P6:P7"/>
    <mergeCell ref="Q6:Q7"/>
    <mergeCell ref="R6:R7"/>
    <mergeCell ref="S6:S7"/>
    <mergeCell ref="T6:T7"/>
  </mergeCells>
  <pageMargins left="0.7" right="0.7" top="0.75" bottom="0.75" header="0.3" footer="0.3"/>
  <pageSetup orientation="portrait" r:id="rId1"/>
  <ignoredErrors>
    <ignoredError sqref="J20" formula="1"/>
  </ignoredError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58"/>
  <sheetViews>
    <sheetView tabSelected="1" topLeftCell="A13" zoomScale="90" zoomScaleNormal="90" workbookViewId="0">
      <selection activeCell="K34" sqref="K34"/>
    </sheetView>
  </sheetViews>
  <sheetFormatPr defaultRowHeight="15"/>
  <cols>
    <col min="2" max="2" width="9.140625" style="540"/>
    <col min="3" max="3" width="12.7109375" customWidth="1"/>
    <col min="4" max="4" width="11.7109375" customWidth="1"/>
    <col min="10" max="10" width="9.5703125" bestFit="1" customWidth="1"/>
    <col min="11" max="11" width="9.140625" style="539"/>
    <col min="14" max="14" width="10.28515625" bestFit="1" customWidth="1"/>
    <col min="15" max="15" width="10.85546875" style="540" bestFit="1" customWidth="1"/>
    <col min="16" max="16" width="9.140625" style="540"/>
    <col min="18" max="18" width="9.140625" style="548"/>
  </cols>
  <sheetData>
    <row r="2" spans="2:19" ht="18.75">
      <c r="E2" s="748" t="s">
        <v>344</v>
      </c>
      <c r="F2" s="748"/>
      <c r="G2" s="748"/>
      <c r="H2" s="748"/>
      <c r="I2" s="748"/>
      <c r="J2" s="748"/>
      <c r="K2" s="748"/>
    </row>
    <row r="12" spans="2:19" ht="15.75" thickBot="1"/>
    <row r="13" spans="2:19" ht="60.75" thickBot="1">
      <c r="B13" s="319" t="s">
        <v>354</v>
      </c>
      <c r="C13" s="546" t="s">
        <v>349</v>
      </c>
      <c r="D13" s="537" t="s">
        <v>348</v>
      </c>
      <c r="E13" s="538" t="s">
        <v>347</v>
      </c>
      <c r="F13" s="547" t="s">
        <v>350</v>
      </c>
      <c r="G13" s="538" t="s">
        <v>346</v>
      </c>
      <c r="H13" s="538" t="s">
        <v>345</v>
      </c>
      <c r="I13" s="537" t="s">
        <v>351</v>
      </c>
      <c r="J13" s="537" t="s">
        <v>352</v>
      </c>
      <c r="K13" s="319" t="s">
        <v>353</v>
      </c>
      <c r="L13" s="539"/>
      <c r="M13" s="539"/>
      <c r="N13" s="539"/>
      <c r="O13" s="548"/>
      <c r="P13" s="548"/>
      <c r="Q13" s="550"/>
      <c r="R13" s="549"/>
    </row>
    <row r="14" spans="2:19">
      <c r="B14" s="745">
        <v>34.22</v>
      </c>
      <c r="C14" s="749">
        <v>16.39</v>
      </c>
      <c r="D14" s="543">
        <v>0.3</v>
      </c>
      <c r="E14" s="753">
        <v>0.15</v>
      </c>
      <c r="F14" s="555">
        <v>27.456689645994288</v>
      </c>
      <c r="G14" s="558">
        <f>($E$14+(D14*TAN(RADIANS(F14))*2))</f>
        <v>0.4617640058245861</v>
      </c>
      <c r="H14" s="753">
        <f>E14</f>
        <v>0.15</v>
      </c>
      <c r="I14" s="561">
        <f>((G14*G14)+($H$14*$H$14)+(G14*$H$14))*D14/3</f>
        <v>3.0499059794885628E-2</v>
      </c>
      <c r="J14" s="551">
        <f>I14*$C$14</f>
        <v>0.49987959003817545</v>
      </c>
      <c r="K14" s="742">
        <f>AVERAGE(F14:F16)</f>
        <v>26.683785813896268</v>
      </c>
      <c r="M14" s="741"/>
      <c r="N14" s="741"/>
      <c r="O14" s="740"/>
      <c r="P14" s="740"/>
      <c r="Q14" s="740"/>
      <c r="R14" s="740"/>
      <c r="S14" s="740"/>
    </row>
    <row r="15" spans="2:19">
      <c r="B15" s="746"/>
      <c r="C15" s="750"/>
      <c r="D15" s="544">
        <v>0.5</v>
      </c>
      <c r="E15" s="754"/>
      <c r="F15" s="556">
        <v>27.337923112538697</v>
      </c>
      <c r="G15" s="559">
        <f t="shared" ref="G15:G31" si="0">($E$14+(D15*TAN(RADIANS(F15))*2))</f>
        <v>0.66697698228604652</v>
      </c>
      <c r="H15" s="754"/>
      <c r="I15" s="562">
        <f t="shared" ref="I15:I22" si="1">((G15*G15)+($H$14*$H$14)+(G15*$H$14))*D15/3</f>
        <v>9.4567473707051375E-2</v>
      </c>
      <c r="J15" s="552">
        <f>I15*$C$14</f>
        <v>1.5499608940585721</v>
      </c>
      <c r="K15" s="743"/>
      <c r="L15" s="10"/>
      <c r="M15" s="741"/>
      <c r="N15" s="741"/>
      <c r="O15" s="740"/>
      <c r="P15" s="740"/>
      <c r="Q15" s="740"/>
      <c r="R15" s="740"/>
      <c r="S15" s="740"/>
    </row>
    <row r="16" spans="2:19" ht="15.75" thickBot="1">
      <c r="B16" s="747"/>
      <c r="C16" s="751"/>
      <c r="D16" s="545">
        <v>0.8</v>
      </c>
      <c r="E16" s="754"/>
      <c r="F16" s="557">
        <v>25.256744683155819</v>
      </c>
      <c r="G16" s="560">
        <f t="shared" si="0"/>
        <v>0.90483924497024859</v>
      </c>
      <c r="H16" s="754"/>
      <c r="I16" s="563">
        <f t="shared" si="1"/>
        <v>0.26052265226236448</v>
      </c>
      <c r="J16" s="553">
        <f>I16*$C$14</f>
        <v>4.269966270580154</v>
      </c>
      <c r="K16" s="744"/>
      <c r="M16" s="741"/>
      <c r="N16" s="741"/>
      <c r="O16" s="740"/>
      <c r="P16" s="740"/>
      <c r="Q16" s="740"/>
      <c r="R16" s="740"/>
      <c r="S16" s="740"/>
    </row>
    <row r="17" spans="1:19">
      <c r="B17" s="752">
        <v>42.09</v>
      </c>
      <c r="C17" s="749">
        <v>17.2</v>
      </c>
      <c r="D17" s="543">
        <v>0.3</v>
      </c>
      <c r="E17" s="754"/>
      <c r="F17" s="555">
        <v>30.687287211671869</v>
      </c>
      <c r="G17" s="558">
        <f t="shared" si="0"/>
        <v>0.506073891582972</v>
      </c>
      <c r="H17" s="754"/>
      <c r="I17" s="561">
        <f t="shared" si="1"/>
        <v>3.5452186747937951E-2</v>
      </c>
      <c r="J17" s="551">
        <f>I17*$C$17</f>
        <v>0.60977761206453274</v>
      </c>
      <c r="K17" s="742">
        <f>AVERAGE(F17:F19)</f>
        <v>31.234840506639529</v>
      </c>
      <c r="M17" s="741"/>
      <c r="N17" s="741"/>
      <c r="O17" s="740"/>
      <c r="P17" s="740"/>
      <c r="Q17" s="740"/>
      <c r="R17" s="740"/>
      <c r="S17" s="740"/>
    </row>
    <row r="18" spans="1:19">
      <c r="B18" s="746"/>
      <c r="C18" s="750"/>
      <c r="D18" s="544">
        <v>0.5</v>
      </c>
      <c r="E18" s="754"/>
      <c r="F18" s="556">
        <v>30.426215940590339</v>
      </c>
      <c r="G18" s="559">
        <f t="shared" si="0"/>
        <v>0.73731173108229109</v>
      </c>
      <c r="H18" s="754"/>
      <c r="I18" s="562">
        <f t="shared" si="1"/>
        <v>0.11278755807565138</v>
      </c>
      <c r="J18" s="552">
        <f>I18*$C$17</f>
        <v>1.9399459989012038</v>
      </c>
      <c r="K18" s="743"/>
      <c r="M18" s="741"/>
      <c r="N18" s="741"/>
      <c r="O18" s="740"/>
      <c r="P18" s="740"/>
      <c r="Q18" s="740"/>
      <c r="R18" s="740"/>
      <c r="S18" s="740"/>
    </row>
    <row r="19" spans="1:19" ht="15.75" thickBot="1">
      <c r="B19" s="747"/>
      <c r="C19" s="751"/>
      <c r="D19" s="545">
        <v>0.8</v>
      </c>
      <c r="E19" s="754"/>
      <c r="F19" s="557">
        <v>32.591018367656382</v>
      </c>
      <c r="G19" s="560">
        <f t="shared" si="0"/>
        <v>1.1728893281478898</v>
      </c>
      <c r="H19" s="754"/>
      <c r="I19" s="563">
        <f t="shared" si="1"/>
        <v>0.41976074008143782</v>
      </c>
      <c r="J19" s="553">
        <f>I19*$C$17</f>
        <v>7.2198847294007304</v>
      </c>
      <c r="K19" s="744"/>
      <c r="M19" s="741"/>
      <c r="N19" s="741"/>
      <c r="O19" s="740"/>
      <c r="P19" s="740"/>
      <c r="Q19" s="740"/>
      <c r="R19" s="740"/>
      <c r="S19" s="740"/>
    </row>
    <row r="20" spans="1:19">
      <c r="B20" s="752">
        <v>45.62</v>
      </c>
      <c r="C20" s="749">
        <v>18.05</v>
      </c>
      <c r="D20" s="543">
        <v>0.3</v>
      </c>
      <c r="E20" s="754"/>
      <c r="F20" s="555">
        <v>31.668866110036873</v>
      </c>
      <c r="G20" s="558">
        <f t="shared" si="0"/>
        <v>0.52011730655786581</v>
      </c>
      <c r="H20" s="754"/>
      <c r="I20" s="561">
        <f t="shared" si="1"/>
        <v>3.710396085646888E-2</v>
      </c>
      <c r="J20" s="551">
        <f>I20*$C$20</f>
        <v>0.66972649345926327</v>
      </c>
      <c r="K20" s="742">
        <f>AVERAGE(F20:F22)</f>
        <v>34.20430763276434</v>
      </c>
      <c r="M20" s="741"/>
      <c r="N20" s="741"/>
      <c r="O20" s="740"/>
      <c r="P20" s="740"/>
      <c r="Q20" s="740"/>
      <c r="R20" s="740"/>
      <c r="S20" s="740"/>
    </row>
    <row r="21" spans="1:19">
      <c r="B21" s="746"/>
      <c r="C21" s="750"/>
      <c r="D21" s="544">
        <v>0.5</v>
      </c>
      <c r="E21" s="754"/>
      <c r="F21" s="556">
        <v>33.670383899801216</v>
      </c>
      <c r="G21" s="559">
        <f t="shared" si="0"/>
        <v>0.81617054992667215</v>
      </c>
      <c r="H21" s="754"/>
      <c r="I21" s="562">
        <f t="shared" si="1"/>
        <v>0.13517665817610119</v>
      </c>
      <c r="J21" s="552">
        <f>I21*$C$20</f>
        <v>2.4399386800786265</v>
      </c>
      <c r="K21" s="743"/>
      <c r="M21" s="741"/>
      <c r="N21" s="741"/>
      <c r="O21" s="740"/>
      <c r="P21" s="740"/>
      <c r="Q21" s="740"/>
      <c r="R21" s="740"/>
      <c r="S21" s="740"/>
    </row>
    <row r="22" spans="1:19" ht="15.75" thickBot="1">
      <c r="B22" s="747"/>
      <c r="C22" s="751"/>
      <c r="D22" s="545">
        <v>0.8</v>
      </c>
      <c r="E22" s="755"/>
      <c r="F22" s="557">
        <v>37.273672888454946</v>
      </c>
      <c r="G22" s="560">
        <f t="shared" si="0"/>
        <v>1.3677119264796904</v>
      </c>
      <c r="H22" s="755"/>
      <c r="I22" s="563">
        <f t="shared" si="1"/>
        <v>0.55954472074846395</v>
      </c>
      <c r="J22" s="553">
        <f>I22*$C$20</f>
        <v>10.099782209509774</v>
      </c>
      <c r="K22" s="744"/>
      <c r="M22" s="741"/>
      <c r="N22" s="741"/>
      <c r="O22" s="740"/>
      <c r="P22" s="740"/>
      <c r="Q22" s="740"/>
      <c r="R22" s="740"/>
      <c r="S22" s="740"/>
    </row>
    <row r="23" spans="1:19">
      <c r="B23" s="752">
        <v>34.22</v>
      </c>
      <c r="C23" s="749">
        <v>16.39</v>
      </c>
      <c r="D23" s="543">
        <v>0.3</v>
      </c>
      <c r="E23" s="753">
        <v>0.3</v>
      </c>
      <c r="F23" s="555">
        <v>38.709775149012593</v>
      </c>
      <c r="G23" s="558">
        <f t="shared" si="0"/>
        <v>0.63085873277339621</v>
      </c>
      <c r="H23" s="753">
        <f>E23</f>
        <v>0.3</v>
      </c>
      <c r="I23" s="561">
        <f>((G23*G23)+($H$23*$H$23)+(G23*$H$23))*D23/3</f>
        <v>6.7724036054847406E-2</v>
      </c>
      <c r="J23" s="551">
        <f>I23*$C$23</f>
        <v>1.1099969509389491</v>
      </c>
      <c r="K23" s="742">
        <f>AVERAGE(F23:F25)</f>
        <v>34.630168095660025</v>
      </c>
      <c r="M23" s="741"/>
      <c r="N23" s="741"/>
      <c r="O23" s="740"/>
      <c r="P23" s="740"/>
      <c r="Q23" s="740"/>
      <c r="R23" s="740"/>
      <c r="S23" s="740"/>
    </row>
    <row r="24" spans="1:19">
      <c r="B24" s="746"/>
      <c r="C24" s="750"/>
      <c r="D24" s="544">
        <v>0.5</v>
      </c>
      <c r="E24" s="754"/>
      <c r="F24" s="556">
        <v>34.809080777198382</v>
      </c>
      <c r="G24" s="559">
        <f t="shared" si="0"/>
        <v>0.84525317924103949</v>
      </c>
      <c r="H24" s="754"/>
      <c r="I24" s="562">
        <f t="shared" ref="I24:I31" si="2">((G24*G24)+($H$23*$H$23)+(G24*$H$23))*D24/3</f>
        <v>0.17633814846489945</v>
      </c>
      <c r="J24" s="552">
        <f>I24*$C$23</f>
        <v>2.8901822533397019</v>
      </c>
      <c r="K24" s="743"/>
      <c r="M24" s="741"/>
      <c r="N24" s="741"/>
      <c r="O24" s="740"/>
      <c r="P24" s="740"/>
      <c r="Q24" s="740"/>
      <c r="R24" s="740"/>
      <c r="S24" s="740"/>
    </row>
    <row r="25" spans="1:19" ht="15.75" thickBot="1">
      <c r="B25" s="756"/>
      <c r="C25" s="751"/>
      <c r="D25" s="545">
        <v>0.8</v>
      </c>
      <c r="E25" s="754"/>
      <c r="F25" s="557">
        <v>30.371648360769107</v>
      </c>
      <c r="G25" s="560">
        <f t="shared" si="0"/>
        <v>1.087650483532443</v>
      </c>
      <c r="H25" s="754"/>
      <c r="I25" s="563">
        <f t="shared" si="2"/>
        <v>0.42647432517015732</v>
      </c>
      <c r="J25" s="553">
        <f>I25*$C$23</f>
        <v>6.9899141895388786</v>
      </c>
      <c r="K25" s="744"/>
      <c r="M25" s="741"/>
      <c r="N25" s="741"/>
      <c r="O25" s="740"/>
      <c r="P25" s="740"/>
      <c r="Q25" s="740"/>
      <c r="R25" s="740"/>
      <c r="S25" s="740"/>
    </row>
    <row r="26" spans="1:19">
      <c r="B26" s="745">
        <v>42.09</v>
      </c>
      <c r="C26" s="749">
        <v>17.2</v>
      </c>
      <c r="D26" s="543">
        <v>0.3</v>
      </c>
      <c r="E26" s="754"/>
      <c r="F26" s="555">
        <v>41.996370715358829</v>
      </c>
      <c r="G26" s="558">
        <f t="shared" si="0"/>
        <v>0.69017361239474229</v>
      </c>
      <c r="H26" s="754"/>
      <c r="I26" s="561">
        <f t="shared" si="2"/>
        <v>7.7339169896443058E-2</v>
      </c>
      <c r="J26" s="551">
        <f>I26*$C$26</f>
        <v>1.3302337222188205</v>
      </c>
      <c r="K26" s="742">
        <f>AVERAGE(F26:F28)</f>
        <v>37.425388086784878</v>
      </c>
      <c r="M26" s="741"/>
      <c r="N26" s="741"/>
      <c r="O26" s="740"/>
      <c r="P26" s="740"/>
      <c r="Q26" s="740"/>
      <c r="R26" s="740"/>
      <c r="S26" s="740"/>
    </row>
    <row r="27" spans="1:19">
      <c r="B27" s="746"/>
      <c r="C27" s="750"/>
      <c r="D27" s="544">
        <v>0.5</v>
      </c>
      <c r="E27" s="754"/>
      <c r="F27" s="556">
        <v>36.037261717466819</v>
      </c>
      <c r="G27" s="559">
        <f t="shared" si="0"/>
        <v>0.87753662843290325</v>
      </c>
      <c r="H27" s="754"/>
      <c r="I27" s="562">
        <f t="shared" si="2"/>
        <v>0.18722192046187636</v>
      </c>
      <c r="J27" s="552">
        <f>I27*$C$26</f>
        <v>3.2202170319442733</v>
      </c>
      <c r="K27" s="743"/>
      <c r="M27" s="741"/>
      <c r="N27" s="741"/>
      <c r="O27" s="740"/>
      <c r="P27" s="740"/>
      <c r="Q27" s="740"/>
      <c r="R27" s="740"/>
      <c r="S27" s="740"/>
    </row>
    <row r="28" spans="1:19" ht="15.75" thickBot="1">
      <c r="A28" s="10"/>
      <c r="B28" s="747"/>
      <c r="C28" s="751"/>
      <c r="D28" s="545">
        <v>0.8</v>
      </c>
      <c r="E28" s="754"/>
      <c r="F28" s="557">
        <v>34.242531827528992</v>
      </c>
      <c r="G28" s="560">
        <f t="shared" si="0"/>
        <v>1.2390960178017758</v>
      </c>
      <c r="H28" s="754"/>
      <c r="I28" s="563">
        <f t="shared" si="2"/>
        <v>0.53255673244606705</v>
      </c>
      <c r="J28" s="553">
        <f>I28*$C$26</f>
        <v>9.1599757980723524</v>
      </c>
      <c r="K28" s="744"/>
      <c r="M28" s="741"/>
      <c r="N28" s="741"/>
      <c r="O28" s="740"/>
      <c r="P28" s="740"/>
      <c r="Q28" s="740"/>
      <c r="R28" s="740"/>
      <c r="S28" s="740"/>
    </row>
    <row r="29" spans="1:19">
      <c r="A29" s="10"/>
      <c r="B29" s="752">
        <v>45.62</v>
      </c>
      <c r="C29" s="749">
        <v>18.05</v>
      </c>
      <c r="D29" s="543">
        <v>0.3</v>
      </c>
      <c r="E29" s="754"/>
      <c r="F29" s="555">
        <v>42.755381731202824</v>
      </c>
      <c r="G29" s="558">
        <f t="shared" si="0"/>
        <v>0.70473881866489507</v>
      </c>
      <c r="H29" s="754"/>
      <c r="I29" s="561">
        <f t="shared" si="2"/>
        <v>7.9807844813266041E-2</v>
      </c>
      <c r="J29" s="551">
        <f>I29*$C$29</f>
        <v>1.440531598879452</v>
      </c>
      <c r="K29" s="742">
        <f>AVERAGE(F29:F31)</f>
        <v>40.78036319439763</v>
      </c>
      <c r="M29" s="741"/>
      <c r="N29" s="741"/>
      <c r="O29" s="740"/>
      <c r="P29" s="740"/>
      <c r="Q29" s="740"/>
      <c r="R29" s="740"/>
      <c r="S29" s="740"/>
    </row>
    <row r="30" spans="1:19">
      <c r="A30" s="10"/>
      <c r="B30" s="746"/>
      <c r="C30" s="750"/>
      <c r="D30" s="544">
        <v>0.5</v>
      </c>
      <c r="E30" s="754"/>
      <c r="F30" s="556">
        <v>40.018307291869263</v>
      </c>
      <c r="G30" s="559">
        <f t="shared" si="0"/>
        <v>0.98964427177359127</v>
      </c>
      <c r="H30" s="754"/>
      <c r="I30" s="562">
        <f t="shared" si="2"/>
        <v>0.22771484436439318</v>
      </c>
      <c r="J30" s="552">
        <f>I30*$C$29</f>
        <v>4.110252940777297</v>
      </c>
      <c r="K30" s="743"/>
      <c r="M30" s="741"/>
      <c r="N30" s="741"/>
      <c r="O30" s="740"/>
      <c r="P30" s="740"/>
      <c r="Q30" s="740"/>
      <c r="R30" s="740"/>
      <c r="S30" s="740"/>
    </row>
    <row r="31" spans="1:19" ht="15.75" thickBot="1">
      <c r="A31" s="10"/>
      <c r="B31" s="747"/>
      <c r="C31" s="751"/>
      <c r="D31" s="545">
        <v>0.8</v>
      </c>
      <c r="E31" s="755"/>
      <c r="F31" s="557">
        <v>39.567400560120795</v>
      </c>
      <c r="G31" s="560">
        <f t="shared" si="0"/>
        <v>1.4721024636947779</v>
      </c>
      <c r="H31" s="755"/>
      <c r="I31" s="563">
        <f t="shared" si="2"/>
        <v>0.71965770739324497</v>
      </c>
      <c r="J31" s="553">
        <f>I31*$C$29</f>
        <v>12.989821618448072</v>
      </c>
      <c r="K31" s="744"/>
      <c r="M31" s="741"/>
      <c r="N31" s="741"/>
      <c r="O31" s="740"/>
      <c r="P31" s="740"/>
      <c r="Q31" s="740"/>
      <c r="R31" s="740"/>
      <c r="S31" s="740"/>
    </row>
    <row r="32" spans="1:19">
      <c r="C32" s="535"/>
      <c r="D32" s="535"/>
      <c r="E32" s="535"/>
      <c r="F32" s="535"/>
      <c r="G32" s="535"/>
      <c r="H32" s="535"/>
      <c r="I32" s="535"/>
      <c r="J32" s="535"/>
      <c r="K32"/>
    </row>
    <row r="33" spans="2:10">
      <c r="C33" s="535"/>
      <c r="D33" s="535"/>
      <c r="E33" s="535"/>
      <c r="F33" s="535"/>
      <c r="G33" s="535"/>
      <c r="H33" s="535"/>
      <c r="I33" s="535"/>
      <c r="J33" s="535"/>
    </row>
    <row r="34" spans="2:10" ht="15.75" thickBot="1">
      <c r="C34" s="535"/>
      <c r="D34" s="535"/>
      <c r="E34" s="535"/>
      <c r="F34" s="535"/>
      <c r="G34" s="535"/>
      <c r="H34" s="535"/>
      <c r="I34" s="535"/>
      <c r="J34" s="535"/>
    </row>
    <row r="35" spans="2:10" ht="15.75" thickBot="1">
      <c r="C35" s="535"/>
      <c r="D35" s="554" t="s">
        <v>355</v>
      </c>
      <c r="E35" s="391" t="s">
        <v>356</v>
      </c>
      <c r="F35" s="391"/>
      <c r="G35" s="391" t="s">
        <v>357</v>
      </c>
      <c r="H35" s="391"/>
      <c r="I35" s="391"/>
      <c r="J35" s="354" t="s">
        <v>358</v>
      </c>
    </row>
    <row r="36" spans="2:10">
      <c r="C36" s="535"/>
      <c r="D36" s="535">
        <v>0.64610000000000001</v>
      </c>
      <c r="E36" s="535">
        <v>4.4485000000000001</v>
      </c>
      <c r="F36" s="535"/>
      <c r="G36" s="535">
        <f>AVERAGE(D36:D37)</f>
        <v>0.57740000000000002</v>
      </c>
      <c r="H36" s="535"/>
      <c r="I36" s="535"/>
      <c r="J36" s="548">
        <f>0.5774*45.62+10.69</f>
        <v>37.030988000000001</v>
      </c>
    </row>
    <row r="37" spans="2:10">
      <c r="C37" s="535"/>
      <c r="D37" s="535">
        <v>0.50870000000000004</v>
      </c>
      <c r="E37" s="535">
        <v>16.937000000000001</v>
      </c>
      <c r="F37" s="535"/>
      <c r="G37" s="535">
        <f>AVERAGE(E36:E37)</f>
        <v>10.69275</v>
      </c>
      <c r="H37" s="535"/>
      <c r="I37" s="535"/>
      <c r="J37" s="535"/>
    </row>
    <row r="38" spans="2:10">
      <c r="C38" s="535"/>
      <c r="D38" s="535"/>
      <c r="E38" s="535"/>
      <c r="F38" s="535"/>
      <c r="G38" s="535"/>
      <c r="H38" s="535"/>
      <c r="I38" s="535"/>
      <c r="J38" s="535"/>
    </row>
    <row r="40" spans="2:10">
      <c r="B40"/>
    </row>
    <row r="41" spans="2:10">
      <c r="B41"/>
    </row>
    <row r="42" spans="2:10">
      <c r="B42"/>
    </row>
    <row r="43" spans="2:10">
      <c r="B43"/>
    </row>
    <row r="44" spans="2:10">
      <c r="B44"/>
    </row>
    <row r="45" spans="2:10">
      <c r="B45"/>
    </row>
    <row r="46" spans="2:10">
      <c r="B46"/>
    </row>
    <row r="47" spans="2:10">
      <c r="B47"/>
    </row>
    <row r="48" spans="2:10">
      <c r="B48"/>
    </row>
    <row r="49" spans="2:2">
      <c r="B49"/>
    </row>
    <row r="50" spans="2:2">
      <c r="B50"/>
    </row>
    <row r="51" spans="2:2">
      <c r="B51"/>
    </row>
    <row r="52" spans="2:2">
      <c r="B52"/>
    </row>
    <row r="53" spans="2:2">
      <c r="B53"/>
    </row>
    <row r="54" spans="2:2">
      <c r="B54"/>
    </row>
    <row r="55" spans="2:2">
      <c r="B55"/>
    </row>
    <row r="56" spans="2:2">
      <c r="B56"/>
    </row>
    <row r="57" spans="2:2">
      <c r="B57"/>
    </row>
    <row r="58" spans="2:2">
      <c r="B58"/>
    </row>
  </sheetData>
  <mergeCells count="50">
    <mergeCell ref="E2:K2"/>
    <mergeCell ref="C14:C16"/>
    <mergeCell ref="C17:C19"/>
    <mergeCell ref="B29:B31"/>
    <mergeCell ref="C20:C22"/>
    <mergeCell ref="H14:H22"/>
    <mergeCell ref="E14:E22"/>
    <mergeCell ref="E23:E31"/>
    <mergeCell ref="H23:H31"/>
    <mergeCell ref="C23:C25"/>
    <mergeCell ref="C26:C28"/>
    <mergeCell ref="C29:C31"/>
    <mergeCell ref="B14:B16"/>
    <mergeCell ref="B17:B19"/>
    <mergeCell ref="B20:B22"/>
    <mergeCell ref="B23:B25"/>
    <mergeCell ref="B26:B28"/>
    <mergeCell ref="K14:K16"/>
    <mergeCell ref="K17:K19"/>
    <mergeCell ref="K20:K22"/>
    <mergeCell ref="K23:K25"/>
    <mergeCell ref="K26:K28"/>
    <mergeCell ref="K29:K31"/>
    <mergeCell ref="O14:O16"/>
    <mergeCell ref="O17:O19"/>
    <mergeCell ref="O20:O22"/>
    <mergeCell ref="O23:O25"/>
    <mergeCell ref="O26:O28"/>
    <mergeCell ref="O29:O31"/>
    <mergeCell ref="P14:P16"/>
    <mergeCell ref="P17:P19"/>
    <mergeCell ref="P20:P22"/>
    <mergeCell ref="P23:P25"/>
    <mergeCell ref="P26:P28"/>
    <mergeCell ref="S14:S31"/>
    <mergeCell ref="M14:M31"/>
    <mergeCell ref="R14:R16"/>
    <mergeCell ref="R17:R19"/>
    <mergeCell ref="R20:R22"/>
    <mergeCell ref="R23:R25"/>
    <mergeCell ref="R26:R28"/>
    <mergeCell ref="R29:R31"/>
    <mergeCell ref="Q14:Q31"/>
    <mergeCell ref="P29:P31"/>
    <mergeCell ref="N14:N16"/>
    <mergeCell ref="N17:N19"/>
    <mergeCell ref="N20:N22"/>
    <mergeCell ref="N23:N25"/>
    <mergeCell ref="N26:N28"/>
    <mergeCell ref="N29:N31"/>
  </mergeCells>
  <pageMargins left="0.7" right="0.7" top="0.75" bottom="0.75" header="0.3" footer="0.3"/>
  <pageSetup orientation="portrait" r:id="rId1"/>
  <ignoredErrors>
    <ignoredError sqref="J17" formula="1"/>
    <ignoredError sqref="K14 K17 K20 K23 K26 K29" formulaRange="1"/>
  </ignoredErrors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topLeftCell="A2" workbookViewId="0"/>
  </sheetViews>
  <sheetFormatPr defaultRowHeight="15"/>
  <cols>
    <col min="1" max="1" width="46.140625" customWidth="1"/>
  </cols>
  <sheetData>
    <row r="1" spans="1:2">
      <c r="A1" t="s">
        <v>0</v>
      </c>
    </row>
    <row r="3" spans="1:2">
      <c r="A3" s="2" t="s">
        <v>18</v>
      </c>
      <c r="B3">
        <v>64.5</v>
      </c>
    </row>
    <row r="4" spans="1:2" ht="30">
      <c r="A4" s="2" t="s">
        <v>19</v>
      </c>
      <c r="B4">
        <v>101.4</v>
      </c>
    </row>
    <row r="5" spans="1:2" s="14" customFormat="1" ht="30">
      <c r="A5" s="1" t="s">
        <v>20</v>
      </c>
      <c r="B5" s="14">
        <v>85.7</v>
      </c>
    </row>
    <row r="6" spans="1:2">
      <c r="A6" s="1" t="s">
        <v>25</v>
      </c>
      <c r="B6" s="14">
        <v>386.2</v>
      </c>
    </row>
    <row r="7" spans="1:2">
      <c r="A7" s="1" t="s">
        <v>26</v>
      </c>
      <c r="B7" s="15">
        <f>B6-B3</f>
        <v>321.7</v>
      </c>
    </row>
    <row r="8" spans="1:2">
      <c r="A8" s="2" t="s">
        <v>21</v>
      </c>
      <c r="B8" s="16">
        <f>B7/13.6</f>
        <v>23.65441176470588</v>
      </c>
    </row>
    <row r="9" spans="1:2">
      <c r="A9" s="2" t="s">
        <v>23</v>
      </c>
      <c r="B9">
        <v>135.9</v>
      </c>
    </row>
    <row r="10" spans="1:2">
      <c r="A10" s="3" t="s">
        <v>22</v>
      </c>
      <c r="B10" s="16">
        <f>B9/13.6</f>
        <v>9.9926470588235308</v>
      </c>
    </row>
    <row r="12" spans="1:2">
      <c r="A12" t="s">
        <v>24</v>
      </c>
      <c r="B12" s="17">
        <f>(((B4-B5)-(B8-B10))/(B5-B3))*1*100</f>
        <v>9.6143174250832679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30"/>
  <sheetViews>
    <sheetView workbookViewId="0"/>
  </sheetViews>
  <sheetFormatPr defaultRowHeight="20.100000000000001" customHeight="1"/>
  <cols>
    <col min="1" max="1" width="13" style="59" customWidth="1"/>
    <col min="2" max="4" width="9.140625" style="59"/>
    <col min="5" max="5" width="9.140625" style="78"/>
    <col min="6" max="11" width="9.140625" style="59"/>
    <col min="12" max="12" width="9.7109375" style="59" customWidth="1"/>
    <col min="13" max="256" width="9.140625" style="59"/>
    <col min="257" max="257" width="13" style="59" customWidth="1"/>
    <col min="258" max="267" width="9.140625" style="59"/>
    <col min="268" max="268" width="9.7109375" style="59" customWidth="1"/>
    <col min="269" max="512" width="9.140625" style="59"/>
    <col min="513" max="513" width="13" style="59" customWidth="1"/>
    <col min="514" max="523" width="9.140625" style="59"/>
    <col min="524" max="524" width="9.7109375" style="59" customWidth="1"/>
    <col min="525" max="768" width="9.140625" style="59"/>
    <col min="769" max="769" width="13" style="59" customWidth="1"/>
    <col min="770" max="779" width="9.140625" style="59"/>
    <col min="780" max="780" width="9.7109375" style="59" customWidth="1"/>
    <col min="781" max="1024" width="9.140625" style="59"/>
    <col min="1025" max="1025" width="13" style="59" customWidth="1"/>
    <col min="1026" max="1035" width="9.140625" style="59"/>
    <col min="1036" max="1036" width="9.7109375" style="59" customWidth="1"/>
    <col min="1037" max="1280" width="9.140625" style="59"/>
    <col min="1281" max="1281" width="13" style="59" customWidth="1"/>
    <col min="1282" max="1291" width="9.140625" style="59"/>
    <col min="1292" max="1292" width="9.7109375" style="59" customWidth="1"/>
    <col min="1293" max="1536" width="9.140625" style="59"/>
    <col min="1537" max="1537" width="13" style="59" customWidth="1"/>
    <col min="1538" max="1547" width="9.140625" style="59"/>
    <col min="1548" max="1548" width="9.7109375" style="59" customWidth="1"/>
    <col min="1549" max="1792" width="9.140625" style="59"/>
    <col min="1793" max="1793" width="13" style="59" customWidth="1"/>
    <col min="1794" max="1803" width="9.140625" style="59"/>
    <col min="1804" max="1804" width="9.7109375" style="59" customWidth="1"/>
    <col min="1805" max="2048" width="9.140625" style="59"/>
    <col min="2049" max="2049" width="13" style="59" customWidth="1"/>
    <col min="2050" max="2059" width="9.140625" style="59"/>
    <col min="2060" max="2060" width="9.7109375" style="59" customWidth="1"/>
    <col min="2061" max="2304" width="9.140625" style="59"/>
    <col min="2305" max="2305" width="13" style="59" customWidth="1"/>
    <col min="2306" max="2315" width="9.140625" style="59"/>
    <col min="2316" max="2316" width="9.7109375" style="59" customWidth="1"/>
    <col min="2317" max="2560" width="9.140625" style="59"/>
    <col min="2561" max="2561" width="13" style="59" customWidth="1"/>
    <col min="2562" max="2571" width="9.140625" style="59"/>
    <col min="2572" max="2572" width="9.7109375" style="59" customWidth="1"/>
    <col min="2573" max="2816" width="9.140625" style="59"/>
    <col min="2817" max="2817" width="13" style="59" customWidth="1"/>
    <col min="2818" max="2827" width="9.140625" style="59"/>
    <col min="2828" max="2828" width="9.7109375" style="59" customWidth="1"/>
    <col min="2829" max="3072" width="9.140625" style="59"/>
    <col min="3073" max="3073" width="13" style="59" customWidth="1"/>
    <col min="3074" max="3083" width="9.140625" style="59"/>
    <col min="3084" max="3084" width="9.7109375" style="59" customWidth="1"/>
    <col min="3085" max="3328" width="9.140625" style="59"/>
    <col min="3329" max="3329" width="13" style="59" customWidth="1"/>
    <col min="3330" max="3339" width="9.140625" style="59"/>
    <col min="3340" max="3340" width="9.7109375" style="59" customWidth="1"/>
    <col min="3341" max="3584" width="9.140625" style="59"/>
    <col min="3585" max="3585" width="13" style="59" customWidth="1"/>
    <col min="3586" max="3595" width="9.140625" style="59"/>
    <col min="3596" max="3596" width="9.7109375" style="59" customWidth="1"/>
    <col min="3597" max="3840" width="9.140625" style="59"/>
    <col min="3841" max="3841" width="13" style="59" customWidth="1"/>
    <col min="3842" max="3851" width="9.140625" style="59"/>
    <col min="3852" max="3852" width="9.7109375" style="59" customWidth="1"/>
    <col min="3853" max="4096" width="9.140625" style="59"/>
    <col min="4097" max="4097" width="13" style="59" customWidth="1"/>
    <col min="4098" max="4107" width="9.140625" style="59"/>
    <col min="4108" max="4108" width="9.7109375" style="59" customWidth="1"/>
    <col min="4109" max="4352" width="9.140625" style="59"/>
    <col min="4353" max="4353" width="13" style="59" customWidth="1"/>
    <col min="4354" max="4363" width="9.140625" style="59"/>
    <col min="4364" max="4364" width="9.7109375" style="59" customWidth="1"/>
    <col min="4365" max="4608" width="9.140625" style="59"/>
    <col min="4609" max="4609" width="13" style="59" customWidth="1"/>
    <col min="4610" max="4619" width="9.140625" style="59"/>
    <col min="4620" max="4620" width="9.7109375" style="59" customWidth="1"/>
    <col min="4621" max="4864" width="9.140625" style="59"/>
    <col min="4865" max="4865" width="13" style="59" customWidth="1"/>
    <col min="4866" max="4875" width="9.140625" style="59"/>
    <col min="4876" max="4876" width="9.7109375" style="59" customWidth="1"/>
    <col min="4877" max="5120" width="9.140625" style="59"/>
    <col min="5121" max="5121" width="13" style="59" customWidth="1"/>
    <col min="5122" max="5131" width="9.140625" style="59"/>
    <col min="5132" max="5132" width="9.7109375" style="59" customWidth="1"/>
    <col min="5133" max="5376" width="9.140625" style="59"/>
    <col min="5377" max="5377" width="13" style="59" customWidth="1"/>
    <col min="5378" max="5387" width="9.140625" style="59"/>
    <col min="5388" max="5388" width="9.7109375" style="59" customWidth="1"/>
    <col min="5389" max="5632" width="9.140625" style="59"/>
    <col min="5633" max="5633" width="13" style="59" customWidth="1"/>
    <col min="5634" max="5643" width="9.140625" style="59"/>
    <col min="5644" max="5644" width="9.7109375" style="59" customWidth="1"/>
    <col min="5645" max="5888" width="9.140625" style="59"/>
    <col min="5889" max="5889" width="13" style="59" customWidth="1"/>
    <col min="5890" max="5899" width="9.140625" style="59"/>
    <col min="5900" max="5900" width="9.7109375" style="59" customWidth="1"/>
    <col min="5901" max="6144" width="9.140625" style="59"/>
    <col min="6145" max="6145" width="13" style="59" customWidth="1"/>
    <col min="6146" max="6155" width="9.140625" style="59"/>
    <col min="6156" max="6156" width="9.7109375" style="59" customWidth="1"/>
    <col min="6157" max="6400" width="9.140625" style="59"/>
    <col min="6401" max="6401" width="13" style="59" customWidth="1"/>
    <col min="6402" max="6411" width="9.140625" style="59"/>
    <col min="6412" max="6412" width="9.7109375" style="59" customWidth="1"/>
    <col min="6413" max="6656" width="9.140625" style="59"/>
    <col min="6657" max="6657" width="13" style="59" customWidth="1"/>
    <col min="6658" max="6667" width="9.140625" style="59"/>
    <col min="6668" max="6668" width="9.7109375" style="59" customWidth="1"/>
    <col min="6669" max="6912" width="9.140625" style="59"/>
    <col min="6913" max="6913" width="13" style="59" customWidth="1"/>
    <col min="6914" max="6923" width="9.140625" style="59"/>
    <col min="6924" max="6924" width="9.7109375" style="59" customWidth="1"/>
    <col min="6925" max="7168" width="9.140625" style="59"/>
    <col min="7169" max="7169" width="13" style="59" customWidth="1"/>
    <col min="7170" max="7179" width="9.140625" style="59"/>
    <col min="7180" max="7180" width="9.7109375" style="59" customWidth="1"/>
    <col min="7181" max="7424" width="9.140625" style="59"/>
    <col min="7425" max="7425" width="13" style="59" customWidth="1"/>
    <col min="7426" max="7435" width="9.140625" style="59"/>
    <col min="7436" max="7436" width="9.7109375" style="59" customWidth="1"/>
    <col min="7437" max="7680" width="9.140625" style="59"/>
    <col min="7681" max="7681" width="13" style="59" customWidth="1"/>
    <col min="7682" max="7691" width="9.140625" style="59"/>
    <col min="7692" max="7692" width="9.7109375" style="59" customWidth="1"/>
    <col min="7693" max="7936" width="9.140625" style="59"/>
    <col min="7937" max="7937" width="13" style="59" customWidth="1"/>
    <col min="7938" max="7947" width="9.140625" style="59"/>
    <col min="7948" max="7948" width="9.7109375" style="59" customWidth="1"/>
    <col min="7949" max="8192" width="9.140625" style="59"/>
    <col min="8193" max="8193" width="13" style="59" customWidth="1"/>
    <col min="8194" max="8203" width="9.140625" style="59"/>
    <col min="8204" max="8204" width="9.7109375" style="59" customWidth="1"/>
    <col min="8205" max="8448" width="9.140625" style="59"/>
    <col min="8449" max="8449" width="13" style="59" customWidth="1"/>
    <col min="8450" max="8459" width="9.140625" style="59"/>
    <col min="8460" max="8460" width="9.7109375" style="59" customWidth="1"/>
    <col min="8461" max="8704" width="9.140625" style="59"/>
    <col min="8705" max="8705" width="13" style="59" customWidth="1"/>
    <col min="8706" max="8715" width="9.140625" style="59"/>
    <col min="8716" max="8716" width="9.7109375" style="59" customWidth="1"/>
    <col min="8717" max="8960" width="9.140625" style="59"/>
    <col min="8961" max="8961" width="13" style="59" customWidth="1"/>
    <col min="8962" max="8971" width="9.140625" style="59"/>
    <col min="8972" max="8972" width="9.7109375" style="59" customWidth="1"/>
    <col min="8973" max="9216" width="9.140625" style="59"/>
    <col min="9217" max="9217" width="13" style="59" customWidth="1"/>
    <col min="9218" max="9227" width="9.140625" style="59"/>
    <col min="9228" max="9228" width="9.7109375" style="59" customWidth="1"/>
    <col min="9229" max="9472" width="9.140625" style="59"/>
    <col min="9473" max="9473" width="13" style="59" customWidth="1"/>
    <col min="9474" max="9483" width="9.140625" style="59"/>
    <col min="9484" max="9484" width="9.7109375" style="59" customWidth="1"/>
    <col min="9485" max="9728" width="9.140625" style="59"/>
    <col min="9729" max="9729" width="13" style="59" customWidth="1"/>
    <col min="9730" max="9739" width="9.140625" style="59"/>
    <col min="9740" max="9740" width="9.7109375" style="59" customWidth="1"/>
    <col min="9741" max="9984" width="9.140625" style="59"/>
    <col min="9985" max="9985" width="13" style="59" customWidth="1"/>
    <col min="9986" max="9995" width="9.140625" style="59"/>
    <col min="9996" max="9996" width="9.7109375" style="59" customWidth="1"/>
    <col min="9997" max="10240" width="9.140625" style="59"/>
    <col min="10241" max="10241" width="13" style="59" customWidth="1"/>
    <col min="10242" max="10251" width="9.140625" style="59"/>
    <col min="10252" max="10252" width="9.7109375" style="59" customWidth="1"/>
    <col min="10253" max="10496" width="9.140625" style="59"/>
    <col min="10497" max="10497" width="13" style="59" customWidth="1"/>
    <col min="10498" max="10507" width="9.140625" style="59"/>
    <col min="10508" max="10508" width="9.7109375" style="59" customWidth="1"/>
    <col min="10509" max="10752" width="9.140625" style="59"/>
    <col min="10753" max="10753" width="13" style="59" customWidth="1"/>
    <col min="10754" max="10763" width="9.140625" style="59"/>
    <col min="10764" max="10764" width="9.7109375" style="59" customWidth="1"/>
    <col min="10765" max="11008" width="9.140625" style="59"/>
    <col min="11009" max="11009" width="13" style="59" customWidth="1"/>
    <col min="11010" max="11019" width="9.140625" style="59"/>
    <col min="11020" max="11020" width="9.7109375" style="59" customWidth="1"/>
    <col min="11021" max="11264" width="9.140625" style="59"/>
    <col min="11265" max="11265" width="13" style="59" customWidth="1"/>
    <col min="11266" max="11275" width="9.140625" style="59"/>
    <col min="11276" max="11276" width="9.7109375" style="59" customWidth="1"/>
    <col min="11277" max="11520" width="9.140625" style="59"/>
    <col min="11521" max="11521" width="13" style="59" customWidth="1"/>
    <col min="11522" max="11531" width="9.140625" style="59"/>
    <col min="11532" max="11532" width="9.7109375" style="59" customWidth="1"/>
    <col min="11533" max="11776" width="9.140625" style="59"/>
    <col min="11777" max="11777" width="13" style="59" customWidth="1"/>
    <col min="11778" max="11787" width="9.140625" style="59"/>
    <col min="11788" max="11788" width="9.7109375" style="59" customWidth="1"/>
    <col min="11789" max="12032" width="9.140625" style="59"/>
    <col min="12033" max="12033" width="13" style="59" customWidth="1"/>
    <col min="12034" max="12043" width="9.140625" style="59"/>
    <col min="12044" max="12044" width="9.7109375" style="59" customWidth="1"/>
    <col min="12045" max="12288" width="9.140625" style="59"/>
    <col min="12289" max="12289" width="13" style="59" customWidth="1"/>
    <col min="12290" max="12299" width="9.140625" style="59"/>
    <col min="12300" max="12300" width="9.7109375" style="59" customWidth="1"/>
    <col min="12301" max="12544" width="9.140625" style="59"/>
    <col min="12545" max="12545" width="13" style="59" customWidth="1"/>
    <col min="12546" max="12555" width="9.140625" style="59"/>
    <col min="12556" max="12556" width="9.7109375" style="59" customWidth="1"/>
    <col min="12557" max="12800" width="9.140625" style="59"/>
    <col min="12801" max="12801" width="13" style="59" customWidth="1"/>
    <col min="12802" max="12811" width="9.140625" style="59"/>
    <col min="12812" max="12812" width="9.7109375" style="59" customWidth="1"/>
    <col min="12813" max="13056" width="9.140625" style="59"/>
    <col min="13057" max="13057" width="13" style="59" customWidth="1"/>
    <col min="13058" max="13067" width="9.140625" style="59"/>
    <col min="13068" max="13068" width="9.7109375" style="59" customWidth="1"/>
    <col min="13069" max="13312" width="9.140625" style="59"/>
    <col min="13313" max="13313" width="13" style="59" customWidth="1"/>
    <col min="13314" max="13323" width="9.140625" style="59"/>
    <col min="13324" max="13324" width="9.7109375" style="59" customWidth="1"/>
    <col min="13325" max="13568" width="9.140625" style="59"/>
    <col min="13569" max="13569" width="13" style="59" customWidth="1"/>
    <col min="13570" max="13579" width="9.140625" style="59"/>
    <col min="13580" max="13580" width="9.7109375" style="59" customWidth="1"/>
    <col min="13581" max="13824" width="9.140625" style="59"/>
    <col min="13825" max="13825" width="13" style="59" customWidth="1"/>
    <col min="13826" max="13835" width="9.140625" style="59"/>
    <col min="13836" max="13836" width="9.7109375" style="59" customWidth="1"/>
    <col min="13837" max="14080" width="9.140625" style="59"/>
    <col min="14081" max="14081" width="13" style="59" customWidth="1"/>
    <col min="14082" max="14091" width="9.140625" style="59"/>
    <col min="14092" max="14092" width="9.7109375" style="59" customWidth="1"/>
    <col min="14093" max="14336" width="9.140625" style="59"/>
    <col min="14337" max="14337" width="13" style="59" customWidth="1"/>
    <col min="14338" max="14347" width="9.140625" style="59"/>
    <col min="14348" max="14348" width="9.7109375" style="59" customWidth="1"/>
    <col min="14349" max="14592" width="9.140625" style="59"/>
    <col min="14593" max="14593" width="13" style="59" customWidth="1"/>
    <col min="14594" max="14603" width="9.140625" style="59"/>
    <col min="14604" max="14604" width="9.7109375" style="59" customWidth="1"/>
    <col min="14605" max="14848" width="9.140625" style="59"/>
    <col min="14849" max="14849" width="13" style="59" customWidth="1"/>
    <col min="14850" max="14859" width="9.140625" style="59"/>
    <col min="14860" max="14860" width="9.7109375" style="59" customWidth="1"/>
    <col min="14861" max="15104" width="9.140625" style="59"/>
    <col min="15105" max="15105" width="13" style="59" customWidth="1"/>
    <col min="15106" max="15115" width="9.140625" style="59"/>
    <col min="15116" max="15116" width="9.7109375" style="59" customWidth="1"/>
    <col min="15117" max="15360" width="9.140625" style="59"/>
    <col min="15361" max="15361" width="13" style="59" customWidth="1"/>
    <col min="15362" max="15371" width="9.140625" style="59"/>
    <col min="15372" max="15372" width="9.7109375" style="59" customWidth="1"/>
    <col min="15373" max="15616" width="9.140625" style="59"/>
    <col min="15617" max="15617" width="13" style="59" customWidth="1"/>
    <col min="15618" max="15627" width="9.140625" style="59"/>
    <col min="15628" max="15628" width="9.7109375" style="59" customWidth="1"/>
    <col min="15629" max="15872" width="9.140625" style="59"/>
    <col min="15873" max="15873" width="13" style="59" customWidth="1"/>
    <col min="15874" max="15883" width="9.140625" style="59"/>
    <col min="15884" max="15884" width="9.7109375" style="59" customWidth="1"/>
    <col min="15885" max="16128" width="9.140625" style="59"/>
    <col min="16129" max="16129" width="13" style="59" customWidth="1"/>
    <col min="16130" max="16139" width="9.140625" style="59"/>
    <col min="16140" max="16140" width="9.7109375" style="59" customWidth="1"/>
    <col min="16141" max="16384" width="9.140625" style="59"/>
  </cols>
  <sheetData>
    <row r="2" spans="2:12" ht="15">
      <c r="B2" s="760" t="s">
        <v>79</v>
      </c>
      <c r="C2" s="760"/>
      <c r="D2" s="760"/>
      <c r="E2" s="60" t="s">
        <v>80</v>
      </c>
      <c r="G2" s="761" t="s">
        <v>81</v>
      </c>
      <c r="H2" s="761" t="s">
        <v>82</v>
      </c>
      <c r="I2" s="61"/>
    </row>
    <row r="3" spans="2:12" ht="15">
      <c r="B3" s="760" t="s">
        <v>83</v>
      </c>
      <c r="C3" s="760"/>
      <c r="D3" s="760"/>
      <c r="E3" s="62">
        <v>3.75</v>
      </c>
      <c r="G3" s="761"/>
      <c r="H3" s="761"/>
      <c r="I3" s="61"/>
    </row>
    <row r="4" spans="2:12" ht="15">
      <c r="B4" s="760" t="s">
        <v>84</v>
      </c>
      <c r="C4" s="760"/>
      <c r="D4" s="760"/>
      <c r="E4" s="60">
        <v>2.66</v>
      </c>
      <c r="G4" s="63">
        <f>C15</f>
        <v>0.1</v>
      </c>
      <c r="H4" s="64">
        <f>I15</f>
        <v>0.60317425242718437</v>
      </c>
      <c r="I4" s="65"/>
    </row>
    <row r="5" spans="2:12" ht="15">
      <c r="B5" s="760" t="s">
        <v>85</v>
      </c>
      <c r="C5" s="760"/>
      <c r="D5" s="760"/>
      <c r="E5" s="66">
        <v>60</v>
      </c>
      <c r="G5" s="63">
        <f t="shared" ref="G5:G11" si="0">C16</f>
        <v>0.25</v>
      </c>
      <c r="H5" s="64">
        <f t="shared" ref="H5:H11" si="1">I16</f>
        <v>0.59425421359223285</v>
      </c>
      <c r="I5" s="65"/>
    </row>
    <row r="6" spans="2:12" ht="15">
      <c r="B6" s="760" t="s">
        <v>86</v>
      </c>
      <c r="C6" s="760"/>
      <c r="D6" s="760"/>
      <c r="E6" s="66">
        <v>20</v>
      </c>
      <c r="G6" s="63">
        <f t="shared" si="0"/>
        <v>0.5</v>
      </c>
      <c r="H6" s="64">
        <f t="shared" si="1"/>
        <v>0.58290143689320373</v>
      </c>
      <c r="I6" s="65"/>
    </row>
    <row r="7" spans="2:12" ht="15">
      <c r="B7" s="760" t="s">
        <v>87</v>
      </c>
      <c r="C7" s="760"/>
      <c r="D7" s="760"/>
      <c r="E7" s="67"/>
      <c r="G7" s="63">
        <f t="shared" si="0"/>
        <v>1</v>
      </c>
      <c r="H7" s="64">
        <f t="shared" si="1"/>
        <v>0.56749409708737852</v>
      </c>
      <c r="I7" s="65"/>
    </row>
    <row r="8" spans="2:12" ht="15">
      <c r="B8" s="760" t="s">
        <v>88</v>
      </c>
      <c r="C8" s="760"/>
      <c r="D8" s="760"/>
      <c r="E8" s="68">
        <v>92.7</v>
      </c>
      <c r="G8" s="63">
        <f t="shared" si="0"/>
        <v>2</v>
      </c>
      <c r="H8" s="64">
        <f t="shared" si="1"/>
        <v>0.54641036893203854</v>
      </c>
      <c r="I8" s="65"/>
    </row>
    <row r="9" spans="2:12" ht="15">
      <c r="B9" s="760" t="s">
        <v>89</v>
      </c>
      <c r="C9" s="760"/>
      <c r="D9" s="760"/>
      <c r="E9" s="69"/>
      <c r="G9" s="63">
        <f t="shared" si="0"/>
        <v>4</v>
      </c>
      <c r="H9" s="64">
        <f t="shared" si="1"/>
        <v>0.52159644271844607</v>
      </c>
      <c r="I9" s="65"/>
    </row>
    <row r="10" spans="2:12" ht="15">
      <c r="B10" s="760" t="s">
        <v>90</v>
      </c>
      <c r="C10" s="760"/>
      <c r="D10" s="760"/>
      <c r="E10" s="70">
        <f>E8/E4/(0.785*E5*E5)*1000</f>
        <v>12.331784876203248</v>
      </c>
      <c r="G10" s="63">
        <f t="shared" si="0"/>
        <v>8</v>
      </c>
      <c r="H10" s="64">
        <f t="shared" si="1"/>
        <v>0.49532287378640727</v>
      </c>
      <c r="I10" s="65"/>
    </row>
    <row r="11" spans="2:12" ht="15">
      <c r="B11" s="760" t="s">
        <v>91</v>
      </c>
      <c r="C11" s="760"/>
      <c r="D11" s="760"/>
      <c r="E11" s="66">
        <v>2E-3</v>
      </c>
      <c r="G11" s="63">
        <f t="shared" si="0"/>
        <v>0.1</v>
      </c>
      <c r="H11" s="64">
        <f t="shared" si="1"/>
        <v>0.53019211650485376</v>
      </c>
      <c r="I11" s="65"/>
    </row>
    <row r="12" spans="2:12" ht="15">
      <c r="E12" s="59"/>
    </row>
    <row r="13" spans="2:12" ht="15">
      <c r="B13" s="761" t="s">
        <v>81</v>
      </c>
      <c r="C13" s="761" t="s">
        <v>92</v>
      </c>
      <c r="D13" s="766" t="s">
        <v>93</v>
      </c>
      <c r="E13" s="761" t="s">
        <v>94</v>
      </c>
      <c r="F13" s="761" t="s">
        <v>95</v>
      </c>
      <c r="G13" s="761" t="s">
        <v>96</v>
      </c>
      <c r="H13" s="761" t="s">
        <v>97</v>
      </c>
      <c r="I13" s="761" t="s">
        <v>98</v>
      </c>
      <c r="J13" s="761" t="s">
        <v>99</v>
      </c>
      <c r="K13" s="761" t="s">
        <v>100</v>
      </c>
      <c r="L13" s="761" t="s">
        <v>101</v>
      </c>
    </row>
    <row r="14" spans="2:12" ht="15">
      <c r="B14" s="761"/>
      <c r="C14" s="761"/>
      <c r="D14" s="766"/>
      <c r="E14" s="761"/>
      <c r="F14" s="761"/>
      <c r="G14" s="761"/>
      <c r="H14" s="761"/>
      <c r="I14" s="761"/>
      <c r="J14" s="761"/>
      <c r="K14" s="761"/>
      <c r="L14" s="761"/>
    </row>
    <row r="15" spans="2:12" ht="15">
      <c r="B15" s="71">
        <v>0</v>
      </c>
      <c r="C15" s="69">
        <f>B16</f>
        <v>0.1</v>
      </c>
      <c r="D15" s="69">
        <f>C15-B15</f>
        <v>0.1</v>
      </c>
      <c r="E15" s="72">
        <v>2500</v>
      </c>
      <c r="F15" s="73">
        <f>E16</f>
        <v>2385</v>
      </c>
      <c r="G15" s="69">
        <f>E6</f>
        <v>20</v>
      </c>
      <c r="H15" s="69">
        <f>G15-(E15-F15)*E$11</f>
        <v>19.77</v>
      </c>
      <c r="I15" s="74">
        <f t="shared" ref="I15:I22" si="2">H15/E$10-1</f>
        <v>0.60317425242718437</v>
      </c>
      <c r="J15" s="74">
        <f t="shared" ref="J15:J22" si="3">-(G15-H15)/E$10</f>
        <v>-1.865099029126217E-2</v>
      </c>
      <c r="K15" s="74">
        <f>G15/E10-1</f>
        <v>0.62182524271844652</v>
      </c>
      <c r="L15" s="75"/>
    </row>
    <row r="16" spans="2:12" ht="15">
      <c r="B16" s="71">
        <v>0.1</v>
      </c>
      <c r="C16" s="69">
        <f t="shared" ref="C16:C21" si="4">B17</f>
        <v>0.25</v>
      </c>
      <c r="D16" s="69">
        <f t="shared" ref="D16:D22" si="5">C16-B16</f>
        <v>0.15</v>
      </c>
      <c r="E16" s="72">
        <v>2385</v>
      </c>
      <c r="F16" s="73">
        <f t="shared" ref="F16:F21" si="6">E17</f>
        <v>2330</v>
      </c>
      <c r="G16" s="69">
        <f>H15</f>
        <v>19.77</v>
      </c>
      <c r="H16" s="69">
        <f t="shared" ref="H16:H22" si="7">G16-(E16-F16)*E$11</f>
        <v>19.66</v>
      </c>
      <c r="I16" s="74">
        <f t="shared" si="2"/>
        <v>0.59425421359223285</v>
      </c>
      <c r="J16" s="74">
        <f t="shared" si="3"/>
        <v>-8.92003883495141E-3</v>
      </c>
      <c r="K16" s="74">
        <f t="shared" ref="K16:K21" si="8">I16-J16</f>
        <v>0.60317425242718425</v>
      </c>
      <c r="L16" s="76">
        <f>-J16/LOG10(C16/B16)</f>
        <v>2.2415536614974703E-2</v>
      </c>
    </row>
    <row r="17" spans="2:12" ht="15">
      <c r="B17" s="71">
        <v>0.25</v>
      </c>
      <c r="C17" s="69">
        <f t="shared" si="4"/>
        <v>0.5</v>
      </c>
      <c r="D17" s="69">
        <f t="shared" si="5"/>
        <v>0.25</v>
      </c>
      <c r="E17" s="72">
        <v>2330</v>
      </c>
      <c r="F17" s="73">
        <f t="shared" si="6"/>
        <v>2260</v>
      </c>
      <c r="G17" s="69">
        <f t="shared" ref="G17:G22" si="9">H16</f>
        <v>19.66</v>
      </c>
      <c r="H17" s="69">
        <f t="shared" si="7"/>
        <v>19.52</v>
      </c>
      <c r="I17" s="74">
        <f t="shared" si="2"/>
        <v>0.58290143689320373</v>
      </c>
      <c r="J17" s="74">
        <f t="shared" si="3"/>
        <v>-1.1352776699029172E-2</v>
      </c>
      <c r="K17" s="74">
        <f t="shared" si="8"/>
        <v>0.59425421359223285</v>
      </c>
      <c r="L17" s="76">
        <f t="shared" ref="L17:L22" si="10">-J17/LOG10(C17/B17)</f>
        <v>3.7713107871487614E-2</v>
      </c>
    </row>
    <row r="18" spans="2:12" ht="15">
      <c r="B18" s="71">
        <v>0.5</v>
      </c>
      <c r="C18" s="69">
        <f t="shared" si="4"/>
        <v>1</v>
      </c>
      <c r="D18" s="69">
        <f t="shared" si="5"/>
        <v>0.5</v>
      </c>
      <c r="E18" s="72">
        <v>2260</v>
      </c>
      <c r="F18" s="73">
        <f t="shared" si="6"/>
        <v>2165</v>
      </c>
      <c r="G18" s="69">
        <f t="shared" si="9"/>
        <v>19.52</v>
      </c>
      <c r="H18" s="69">
        <f t="shared" si="7"/>
        <v>19.329999999999998</v>
      </c>
      <c r="I18" s="74">
        <f t="shared" si="2"/>
        <v>0.56749409708737852</v>
      </c>
      <c r="J18" s="74">
        <f t="shared" si="3"/>
        <v>-1.5407339805825346E-2</v>
      </c>
      <c r="K18" s="74">
        <f t="shared" si="8"/>
        <v>0.58290143689320384</v>
      </c>
      <c r="L18" s="76">
        <f t="shared" si="10"/>
        <v>5.1182074968447615E-2</v>
      </c>
    </row>
    <row r="19" spans="2:12" ht="15">
      <c r="B19" s="71">
        <v>1</v>
      </c>
      <c r="C19" s="69">
        <f t="shared" si="4"/>
        <v>2</v>
      </c>
      <c r="D19" s="69">
        <f t="shared" si="5"/>
        <v>1</v>
      </c>
      <c r="E19" s="72">
        <v>2165</v>
      </c>
      <c r="F19" s="73">
        <f t="shared" si="6"/>
        <v>2035</v>
      </c>
      <c r="G19" s="69">
        <f t="shared" si="9"/>
        <v>19.329999999999998</v>
      </c>
      <c r="H19" s="69">
        <f t="shared" si="7"/>
        <v>19.069999999999997</v>
      </c>
      <c r="I19" s="74">
        <f t="shared" si="2"/>
        <v>0.54641036893203854</v>
      </c>
      <c r="J19" s="74">
        <f t="shared" si="3"/>
        <v>-2.1083728155339931E-2</v>
      </c>
      <c r="K19" s="74">
        <f t="shared" si="8"/>
        <v>0.56749409708737852</v>
      </c>
      <c r="L19" s="76">
        <f t="shared" si="10"/>
        <v>7.0038628904191422E-2</v>
      </c>
    </row>
    <row r="20" spans="2:12" ht="15">
      <c r="B20" s="71">
        <v>2</v>
      </c>
      <c r="C20" s="69">
        <f t="shared" si="4"/>
        <v>4</v>
      </c>
      <c r="D20" s="69">
        <f t="shared" si="5"/>
        <v>2</v>
      </c>
      <c r="E20" s="72">
        <v>2035</v>
      </c>
      <c r="F20" s="73">
        <f t="shared" si="6"/>
        <v>1882</v>
      </c>
      <c r="G20" s="69">
        <f t="shared" si="9"/>
        <v>19.069999999999997</v>
      </c>
      <c r="H20" s="69">
        <f t="shared" si="7"/>
        <v>18.763999999999996</v>
      </c>
      <c r="I20" s="74">
        <f t="shared" si="2"/>
        <v>0.52159644271844607</v>
      </c>
      <c r="J20" s="74">
        <f t="shared" si="3"/>
        <v>-2.4813926213592307E-2</v>
      </c>
      <c r="K20" s="74">
        <f t="shared" si="8"/>
        <v>0.54641036893203843</v>
      </c>
      <c r="L20" s="76">
        <f t="shared" si="10"/>
        <v>8.2430078633394271E-2</v>
      </c>
    </row>
    <row r="21" spans="2:12" ht="15">
      <c r="B21" s="71">
        <v>4</v>
      </c>
      <c r="C21" s="69">
        <f t="shared" si="4"/>
        <v>8</v>
      </c>
      <c r="D21" s="69">
        <f t="shared" si="5"/>
        <v>4</v>
      </c>
      <c r="E21" s="72">
        <v>1882</v>
      </c>
      <c r="F21" s="73">
        <f t="shared" si="6"/>
        <v>1720</v>
      </c>
      <c r="G21" s="69">
        <f t="shared" si="9"/>
        <v>18.763999999999996</v>
      </c>
      <c r="H21" s="69">
        <f t="shared" si="7"/>
        <v>18.439999999999994</v>
      </c>
      <c r="I21" s="74">
        <f t="shared" si="2"/>
        <v>0.49532287378640727</v>
      </c>
      <c r="J21" s="74">
        <f t="shared" si="3"/>
        <v>-2.6273568932038964E-2</v>
      </c>
      <c r="K21" s="74">
        <f t="shared" si="8"/>
        <v>0.52159644271844618</v>
      </c>
      <c r="L21" s="76">
        <f t="shared" si="10"/>
        <v>8.7278906788299984E-2</v>
      </c>
    </row>
    <row r="22" spans="2:12" ht="15">
      <c r="B22" s="71">
        <v>8</v>
      </c>
      <c r="C22" s="71">
        <v>0.1</v>
      </c>
      <c r="D22" s="69">
        <f t="shared" si="5"/>
        <v>-7.9</v>
      </c>
      <c r="E22" s="77">
        <v>1720</v>
      </c>
      <c r="F22" s="77">
        <v>1935</v>
      </c>
      <c r="G22" s="69">
        <f t="shared" si="9"/>
        <v>18.439999999999994</v>
      </c>
      <c r="H22" s="69">
        <f t="shared" si="7"/>
        <v>18.869999999999994</v>
      </c>
      <c r="I22" s="74">
        <f t="shared" si="2"/>
        <v>0.53019211650485376</v>
      </c>
      <c r="J22" s="74">
        <f t="shared" si="3"/>
        <v>3.4869242718446575E-2</v>
      </c>
      <c r="K22" s="74">
        <f>I22-J22</f>
        <v>0.49532287378640716</v>
      </c>
      <c r="L22" s="76">
        <f t="shared" si="10"/>
        <v>1.8322435069694994E-2</v>
      </c>
    </row>
    <row r="23" spans="2:12" ht="15"/>
    <row r="24" spans="2:12" ht="15"/>
    <row r="25" spans="2:12" ht="15"/>
    <row r="26" spans="2:12" ht="15"/>
    <row r="27" spans="2:12" ht="15">
      <c r="C27" s="762" t="s">
        <v>102</v>
      </c>
      <c r="D27" s="763"/>
      <c r="E27" s="764" t="s">
        <v>103</v>
      </c>
      <c r="F27" s="764"/>
      <c r="G27" s="764"/>
      <c r="H27" s="764"/>
      <c r="I27" s="765"/>
      <c r="J27" s="759" t="s">
        <v>79</v>
      </c>
      <c r="K27" s="760"/>
      <c r="L27" s="79" t="s">
        <v>104</v>
      </c>
    </row>
    <row r="28" spans="2:12" ht="15">
      <c r="C28" s="80"/>
      <c r="D28" s="81"/>
      <c r="E28" s="757" t="s">
        <v>105</v>
      </c>
      <c r="F28" s="757"/>
      <c r="G28" s="757"/>
      <c r="H28" s="757"/>
      <c r="I28" s="758"/>
      <c r="J28" s="759" t="s">
        <v>83</v>
      </c>
      <c r="K28" s="760"/>
      <c r="L28" s="70">
        <v>7.5</v>
      </c>
    </row>
    <row r="29" spans="2:12" ht="15">
      <c r="J29" s="82" t="s">
        <v>106</v>
      </c>
      <c r="K29" s="83"/>
      <c r="L29" s="84">
        <v>0.08</v>
      </c>
    </row>
    <row r="30" spans="2:12" ht="15">
      <c r="K30" s="85"/>
      <c r="L30" s="86"/>
    </row>
  </sheetData>
  <mergeCells count="28">
    <mergeCell ref="B11:D11"/>
    <mergeCell ref="B2:D2"/>
    <mergeCell ref="G2:G3"/>
    <mergeCell ref="H2:H3"/>
    <mergeCell ref="B3:D3"/>
    <mergeCell ref="B4:D4"/>
    <mergeCell ref="B5:D5"/>
    <mergeCell ref="B6:D6"/>
    <mergeCell ref="B7:D7"/>
    <mergeCell ref="B8:D8"/>
    <mergeCell ref="B9:D9"/>
    <mergeCell ref="B10:D10"/>
    <mergeCell ref="L13:L14"/>
    <mergeCell ref="C27:D27"/>
    <mergeCell ref="E27:I27"/>
    <mergeCell ref="J27:K27"/>
    <mergeCell ref="B13:B14"/>
    <mergeCell ref="C13:C14"/>
    <mergeCell ref="D13:D14"/>
    <mergeCell ref="E13:E14"/>
    <mergeCell ref="F13:F14"/>
    <mergeCell ref="G13:G14"/>
    <mergeCell ref="E28:I28"/>
    <mergeCell ref="J28:K28"/>
    <mergeCell ref="H13:H14"/>
    <mergeCell ref="I13:I14"/>
    <mergeCell ref="J13:J14"/>
    <mergeCell ref="K13:K14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activeCell="F11" sqref="F11:G21"/>
    </sheetView>
  </sheetViews>
  <sheetFormatPr defaultRowHeight="15"/>
  <cols>
    <col min="1" max="1" width="45.5703125" customWidth="1"/>
  </cols>
  <sheetData>
    <row r="1" spans="1:2">
      <c r="A1" t="s">
        <v>0</v>
      </c>
    </row>
    <row r="3" spans="1:2" s="3" customFormat="1" ht="20.25" customHeight="1">
      <c r="A3" s="13" t="s">
        <v>13</v>
      </c>
      <c r="B3" s="3">
        <v>27.8</v>
      </c>
    </row>
    <row r="4" spans="1:2" ht="19.5" customHeight="1">
      <c r="A4" s="1" t="s">
        <v>14</v>
      </c>
      <c r="B4">
        <v>37.799999999999997</v>
      </c>
    </row>
    <row r="5" spans="1:2" ht="29.25" customHeight="1">
      <c r="A5" s="2" t="s">
        <v>15</v>
      </c>
      <c r="B5">
        <v>87.1</v>
      </c>
    </row>
    <row r="6" spans="1:2" ht="19.5" customHeight="1">
      <c r="A6" s="2" t="s">
        <v>16</v>
      </c>
      <c r="B6">
        <v>80.7</v>
      </c>
    </row>
    <row r="8" spans="1:2">
      <c r="A8" t="s">
        <v>17</v>
      </c>
      <c r="B8">
        <f>(B4-B3)/((B6-B3)-(B5-B4))</f>
        <v>2.7777777777777701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activeCell="B4" sqref="B4"/>
    </sheetView>
  </sheetViews>
  <sheetFormatPr defaultRowHeight="15"/>
  <cols>
    <col min="1" max="1" width="15.85546875" customWidth="1"/>
  </cols>
  <sheetData>
    <row r="1" spans="1:2">
      <c r="A1" t="s">
        <v>0</v>
      </c>
    </row>
    <row r="3" spans="1:2" ht="30">
      <c r="A3" s="2" t="s">
        <v>27</v>
      </c>
      <c r="B3">
        <v>25</v>
      </c>
    </row>
    <row r="4" spans="1:2" ht="30">
      <c r="A4" s="2" t="s">
        <v>28</v>
      </c>
      <c r="B4">
        <v>12</v>
      </c>
    </row>
    <row r="6" spans="1:2">
      <c r="A6" t="s">
        <v>29</v>
      </c>
      <c r="B6" s="18">
        <f>((B3-B4)/B4)*100</f>
        <v>108.33333333333333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9"/>
  <sheetViews>
    <sheetView topLeftCell="D18" workbookViewId="0">
      <selection activeCell="J34" sqref="J34"/>
    </sheetView>
  </sheetViews>
  <sheetFormatPr defaultRowHeight="15"/>
  <cols>
    <col min="2" max="2" width="23.140625" bestFit="1" customWidth="1"/>
    <col min="3" max="3" width="19" bestFit="1" customWidth="1"/>
    <col min="4" max="4" width="27.42578125" bestFit="1" customWidth="1"/>
    <col min="6" max="6" width="25.28515625" bestFit="1" customWidth="1"/>
    <col min="7" max="7" width="15.28515625" bestFit="1" customWidth="1"/>
    <col min="8" max="8" width="14.42578125" bestFit="1" customWidth="1"/>
    <col min="9" max="9" width="19" bestFit="1" customWidth="1"/>
    <col min="10" max="10" width="27.42578125" bestFit="1" customWidth="1"/>
    <col min="11" max="11" width="18.7109375" bestFit="1" customWidth="1"/>
    <col min="12" max="12" width="15" bestFit="1" customWidth="1"/>
  </cols>
  <sheetData>
    <row r="1" spans="2:12" ht="15.75" thickBot="1"/>
    <row r="2" spans="2:12" ht="45">
      <c r="B2" s="767" t="s">
        <v>30</v>
      </c>
      <c r="C2" s="767"/>
      <c r="D2" s="767"/>
      <c r="F2" s="770" t="s">
        <v>50</v>
      </c>
      <c r="G2" s="771"/>
      <c r="H2" s="771"/>
      <c r="I2" s="772"/>
      <c r="K2" s="55" t="s">
        <v>63</v>
      </c>
      <c r="L2" s="56" t="s">
        <v>64</v>
      </c>
    </row>
    <row r="3" spans="2:12" ht="15.75" thickBot="1">
      <c r="B3" s="767"/>
      <c r="C3" s="767"/>
      <c r="D3" s="767"/>
      <c r="F3" s="773"/>
      <c r="G3" s="774"/>
      <c r="H3" s="774"/>
      <c r="I3" s="775"/>
      <c r="K3" s="57"/>
      <c r="L3" s="58"/>
    </row>
    <row r="4" spans="2:12">
      <c r="F4" s="30"/>
      <c r="G4" s="31"/>
      <c r="H4" s="31"/>
      <c r="I4" s="32"/>
      <c r="K4" s="53" t="s">
        <v>65</v>
      </c>
      <c r="L4" s="8" t="s">
        <v>66</v>
      </c>
    </row>
    <row r="5" spans="2:12" ht="17.25">
      <c r="B5" t="s">
        <v>31</v>
      </c>
      <c r="D5" t="s">
        <v>32</v>
      </c>
      <c r="F5" s="33" t="s">
        <v>51</v>
      </c>
      <c r="G5" s="34"/>
      <c r="H5" s="35" t="s">
        <v>52</v>
      </c>
      <c r="I5" s="36"/>
      <c r="K5" s="53" t="s">
        <v>67</v>
      </c>
      <c r="L5" s="8" t="s">
        <v>68</v>
      </c>
    </row>
    <row r="6" spans="2:12" ht="17.25">
      <c r="F6" s="37"/>
      <c r="G6" s="10"/>
      <c r="H6" s="31"/>
      <c r="I6" s="32"/>
      <c r="K6" s="53" t="s">
        <v>69</v>
      </c>
      <c r="L6" s="8" t="s">
        <v>70</v>
      </c>
    </row>
    <row r="7" spans="2:12" ht="17.25">
      <c r="B7" t="s">
        <v>17</v>
      </c>
      <c r="D7" s="19">
        <v>2.61</v>
      </c>
      <c r="F7" s="33" t="s">
        <v>53</v>
      </c>
      <c r="G7" s="34"/>
      <c r="H7" s="35">
        <v>2.61</v>
      </c>
      <c r="I7" s="36"/>
      <c r="K7" s="53" t="s">
        <v>71</v>
      </c>
      <c r="L7" s="8" t="s">
        <v>72</v>
      </c>
    </row>
    <row r="8" spans="2:12" ht="17.25">
      <c r="F8" s="37"/>
      <c r="G8" s="10"/>
      <c r="H8" s="31"/>
      <c r="I8" s="32"/>
      <c r="K8" s="53" t="s">
        <v>73</v>
      </c>
      <c r="L8" s="8" t="s">
        <v>74</v>
      </c>
    </row>
    <row r="9" spans="2:12" ht="17.25">
      <c r="B9" t="s">
        <v>33</v>
      </c>
      <c r="F9" s="33" t="s">
        <v>33</v>
      </c>
      <c r="G9" s="34"/>
      <c r="H9" s="35"/>
      <c r="I9" s="36"/>
      <c r="K9" s="53" t="s">
        <v>75</v>
      </c>
      <c r="L9" s="8" t="s">
        <v>76</v>
      </c>
    </row>
    <row r="10" spans="2:12" ht="17.25">
      <c r="F10" s="37"/>
      <c r="G10" s="10"/>
      <c r="H10" s="31"/>
      <c r="I10" s="32"/>
      <c r="K10" s="53" t="s">
        <v>77</v>
      </c>
      <c r="L10" s="8" t="s">
        <v>78</v>
      </c>
    </row>
    <row r="11" spans="2:12">
      <c r="B11" s="14" t="s">
        <v>34</v>
      </c>
      <c r="C11" t="s">
        <v>35</v>
      </c>
      <c r="D11" s="19">
        <v>112</v>
      </c>
      <c r="F11" s="38"/>
      <c r="G11" s="39"/>
      <c r="H11" s="31"/>
      <c r="I11" s="32"/>
    </row>
    <row r="12" spans="2:12">
      <c r="B12" s="14" t="s">
        <v>36</v>
      </c>
      <c r="C12" t="s">
        <v>35</v>
      </c>
      <c r="D12" s="19">
        <v>12.5</v>
      </c>
      <c r="F12" s="40" t="s">
        <v>54</v>
      </c>
      <c r="G12" s="41"/>
      <c r="H12" s="35" t="s">
        <v>35</v>
      </c>
      <c r="I12" s="36">
        <v>12.5</v>
      </c>
    </row>
    <row r="13" spans="2:12">
      <c r="B13" s="14" t="s">
        <v>37</v>
      </c>
      <c r="D13" s="19"/>
      <c r="F13" s="38"/>
      <c r="G13" s="39"/>
      <c r="H13" s="31"/>
      <c r="I13" s="32"/>
    </row>
    <row r="14" spans="2:12">
      <c r="B14" s="14" t="s">
        <v>38</v>
      </c>
      <c r="C14" t="s">
        <v>35</v>
      </c>
      <c r="D14" s="20">
        <v>10</v>
      </c>
      <c r="F14" s="42" t="s">
        <v>55</v>
      </c>
      <c r="G14" s="43"/>
      <c r="H14" s="35" t="s">
        <v>35</v>
      </c>
      <c r="I14" s="44">
        <v>10</v>
      </c>
    </row>
    <row r="15" spans="2:12">
      <c r="B15" s="14" t="s">
        <v>39</v>
      </c>
      <c r="C15" t="s">
        <v>40</v>
      </c>
      <c r="D15" s="21">
        <f>(3.14/4)*D14^2</f>
        <v>78.5</v>
      </c>
      <c r="F15" s="40" t="s">
        <v>56</v>
      </c>
      <c r="G15" s="41"/>
      <c r="H15" s="35" t="s">
        <v>40</v>
      </c>
      <c r="I15" s="45">
        <f>(3.14/4)*I14^2</f>
        <v>78.5</v>
      </c>
    </row>
    <row r="16" spans="2:12">
      <c r="F16" s="42" t="s">
        <v>57</v>
      </c>
      <c r="G16" s="43"/>
      <c r="H16" s="35" t="s">
        <v>35</v>
      </c>
      <c r="I16" s="46">
        <v>0.78</v>
      </c>
    </row>
    <row r="17" spans="2:10">
      <c r="F17" s="40" t="s">
        <v>58</v>
      </c>
      <c r="G17" s="41"/>
      <c r="H17" s="35" t="s">
        <v>40</v>
      </c>
      <c r="I17" s="45">
        <f>(3.14/4)*I16^2</f>
        <v>0.47759400000000007</v>
      </c>
    </row>
    <row r="18" spans="2:10" ht="18">
      <c r="B18" s="14" t="s">
        <v>41</v>
      </c>
      <c r="C18" s="22" t="s">
        <v>42</v>
      </c>
      <c r="F18" s="38"/>
      <c r="G18" s="39"/>
      <c r="H18" s="31"/>
      <c r="I18" s="47"/>
    </row>
    <row r="19" spans="2:10" ht="18.75" thickBot="1">
      <c r="F19" s="48" t="s">
        <v>59</v>
      </c>
      <c r="G19" s="49"/>
      <c r="H19" s="50" t="s">
        <v>42</v>
      </c>
      <c r="I19" s="51"/>
    </row>
    <row r="21" spans="2:10">
      <c r="B21" s="23" t="s">
        <v>43</v>
      </c>
      <c r="C21" s="23" t="s">
        <v>44</v>
      </c>
      <c r="D21" s="24" t="s">
        <v>45</v>
      </c>
    </row>
    <row r="22" spans="2:10">
      <c r="B22" s="25" t="s">
        <v>46</v>
      </c>
      <c r="C22" s="25" t="s">
        <v>47</v>
      </c>
      <c r="D22" s="26" t="s">
        <v>48</v>
      </c>
    </row>
    <row r="23" spans="2:10">
      <c r="B23" s="23">
        <v>5</v>
      </c>
      <c r="C23" s="23">
        <v>48</v>
      </c>
      <c r="D23" s="8">
        <f>(C23*$D$12)/(B23*$D$11*$D$15)</f>
        <v>1.364877161055505E-2</v>
      </c>
      <c r="F23" s="23" t="s">
        <v>43</v>
      </c>
      <c r="G23" s="24" t="s">
        <v>60</v>
      </c>
      <c r="H23" s="24" t="s">
        <v>61</v>
      </c>
      <c r="I23" s="52" t="s">
        <v>44</v>
      </c>
      <c r="J23" s="52" t="s">
        <v>45</v>
      </c>
    </row>
    <row r="24" spans="2:10">
      <c r="B24" s="27">
        <v>10</v>
      </c>
      <c r="C24" s="27">
        <v>79</v>
      </c>
      <c r="D24" s="8">
        <f>(C24*$D$12)/(B24*$D$11*$D$15)</f>
        <v>1.1231801637852593E-2</v>
      </c>
      <c r="F24" s="25" t="s">
        <v>46</v>
      </c>
      <c r="G24" s="26" t="s">
        <v>62</v>
      </c>
      <c r="H24" s="26" t="s">
        <v>62</v>
      </c>
      <c r="I24" s="26" t="s">
        <v>47</v>
      </c>
      <c r="J24" s="26" t="s">
        <v>48</v>
      </c>
    </row>
    <row r="25" spans="2:10">
      <c r="B25" s="27">
        <v>15</v>
      </c>
      <c r="C25" s="27">
        <v>108</v>
      </c>
      <c r="D25" s="8">
        <f>(C25*$D$12)/(B25*$D$11*$D$15)</f>
        <v>1.0236578707916288E-2</v>
      </c>
      <c r="F25" s="53">
        <v>60</v>
      </c>
      <c r="G25" s="26">
        <v>185</v>
      </c>
      <c r="H25" s="26">
        <v>170.8</v>
      </c>
      <c r="I25" s="8">
        <v>6</v>
      </c>
      <c r="J25" s="54">
        <f>2.303*($I$17*$I$12/($I$15*F25))*LOG10(G25/H25)</f>
        <v>1.0124401422678802E-4</v>
      </c>
    </row>
    <row r="26" spans="2:10">
      <c r="B26" s="27">
        <v>20</v>
      </c>
      <c r="C26" s="27">
        <v>132</v>
      </c>
      <c r="D26" s="8">
        <f>(C26*$D$12)/(B26*$D$11*$D$15)</f>
        <v>9.3835304822565968E-3</v>
      </c>
      <c r="F26" s="8">
        <v>60</v>
      </c>
      <c r="G26" s="26">
        <v>185</v>
      </c>
      <c r="H26" s="8">
        <v>170.8</v>
      </c>
      <c r="I26" s="8">
        <v>6</v>
      </c>
      <c r="J26" s="54">
        <f t="shared" ref="J26:J32" si="0">2.303*($I$17*$I$12/($I$15*F26))*LOG10(G26/H26)</f>
        <v>1.0124401422678802E-4</v>
      </c>
    </row>
    <row r="27" spans="2:10">
      <c r="B27" s="25">
        <v>25</v>
      </c>
      <c r="C27" s="25">
        <v>154</v>
      </c>
      <c r="D27" s="8">
        <f>(C27*$D$12)/(B27*$D$11*$D$15)</f>
        <v>8.7579617834394902E-3</v>
      </c>
      <c r="F27" s="8">
        <v>60</v>
      </c>
      <c r="G27" s="26">
        <v>185</v>
      </c>
      <c r="H27" s="8">
        <v>170.9</v>
      </c>
      <c r="I27" s="8">
        <v>7</v>
      </c>
      <c r="J27" s="54">
        <f t="shared" si="0"/>
        <v>1.0050200168401474E-4</v>
      </c>
    </row>
    <row r="28" spans="2:10">
      <c r="F28" s="8">
        <v>90</v>
      </c>
      <c r="G28" s="26">
        <v>185.8</v>
      </c>
      <c r="H28" s="8">
        <v>168.5</v>
      </c>
      <c r="I28" s="8">
        <v>10</v>
      </c>
      <c r="J28" s="54">
        <f t="shared" si="0"/>
        <v>8.2601021063372527E-5</v>
      </c>
    </row>
    <row r="29" spans="2:10">
      <c r="F29" s="8">
        <v>90</v>
      </c>
      <c r="G29" s="26">
        <v>185</v>
      </c>
      <c r="H29" s="8">
        <v>167.3</v>
      </c>
      <c r="I29" s="8">
        <v>9.5</v>
      </c>
      <c r="J29" s="54">
        <f t="shared" si="0"/>
        <v>8.4994611012005578E-5</v>
      </c>
    </row>
    <row r="30" spans="2:10">
      <c r="B30" s="28" t="s">
        <v>49</v>
      </c>
      <c r="F30" s="8">
        <v>90</v>
      </c>
      <c r="G30" s="26">
        <v>185</v>
      </c>
      <c r="H30" s="8">
        <v>167.2</v>
      </c>
      <c r="I30" s="8">
        <v>10</v>
      </c>
      <c r="J30" s="54">
        <f t="shared" si="0"/>
        <v>8.5499933754767168E-5</v>
      </c>
    </row>
    <row r="31" spans="2:10">
      <c r="B31" s="29" t="s">
        <v>48</v>
      </c>
      <c r="F31" s="8">
        <v>120</v>
      </c>
      <c r="G31" s="26">
        <v>185</v>
      </c>
      <c r="H31" s="8">
        <v>163.19999999999999</v>
      </c>
      <c r="I31" s="8">
        <v>12</v>
      </c>
      <c r="J31" s="54">
        <f t="shared" si="0"/>
        <v>7.9473501585174846E-5</v>
      </c>
    </row>
    <row r="32" spans="2:10">
      <c r="B32" s="768">
        <f>AVERAGE(D23,D24,D25,D26,D27)</f>
        <v>1.0651728844404004E-2</v>
      </c>
      <c r="F32" s="8">
        <v>120</v>
      </c>
      <c r="G32" s="26">
        <v>185</v>
      </c>
      <c r="H32" s="8">
        <v>163.5</v>
      </c>
      <c r="I32" s="8">
        <v>12.5</v>
      </c>
      <c r="J32" s="54">
        <f t="shared" si="0"/>
        <v>7.8309379684841115E-5</v>
      </c>
    </row>
    <row r="33" spans="2:8" ht="15.75" thickBot="1">
      <c r="B33" s="769"/>
    </row>
    <row r="34" spans="2:8" ht="15.75" thickTop="1"/>
    <row r="35" spans="2:8">
      <c r="H35" s="28" t="s">
        <v>49</v>
      </c>
    </row>
    <row r="36" spans="2:8">
      <c r="H36" s="29" t="s">
        <v>48</v>
      </c>
    </row>
    <row r="37" spans="2:8">
      <c r="H37" s="776">
        <f>AVERAGE(J25,J26,J27,J28,J29,J30,J31,J32)</f>
        <v>8.9233559654718989E-5</v>
      </c>
    </row>
    <row r="38" spans="2:8" ht="15.75" thickBot="1">
      <c r="H38" s="777"/>
    </row>
    <row r="39" spans="2:8" ht="15.75" thickTop="1"/>
  </sheetData>
  <mergeCells count="4">
    <mergeCell ref="B2:D3"/>
    <mergeCell ref="B32:B33"/>
    <mergeCell ref="F2:I3"/>
    <mergeCell ref="H37:H38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workbookViewId="0">
      <selection activeCell="B4" sqref="B4"/>
    </sheetView>
  </sheetViews>
  <sheetFormatPr defaultRowHeight="15"/>
  <cols>
    <col min="1" max="1" width="33.85546875" customWidth="1"/>
  </cols>
  <sheetData>
    <row r="1" spans="1:5">
      <c r="A1" t="s">
        <v>0</v>
      </c>
    </row>
    <row r="3" spans="1:5">
      <c r="A3" s="87" t="s">
        <v>107</v>
      </c>
      <c r="B3">
        <v>1</v>
      </c>
      <c r="C3">
        <v>2</v>
      </c>
      <c r="D3">
        <v>3</v>
      </c>
      <c r="E3">
        <v>4</v>
      </c>
    </row>
    <row r="4" spans="1:5">
      <c r="A4" s="13" t="s">
        <v>108</v>
      </c>
      <c r="B4">
        <v>3808</v>
      </c>
      <c r="C4">
        <v>3940</v>
      </c>
      <c r="D4">
        <v>3974</v>
      </c>
      <c r="E4">
        <v>3950</v>
      </c>
    </row>
    <row r="5" spans="1:5">
      <c r="A5" s="88" t="s">
        <v>109</v>
      </c>
      <c r="B5">
        <v>2105</v>
      </c>
      <c r="C5">
        <v>2105</v>
      </c>
      <c r="D5">
        <v>2105</v>
      </c>
      <c r="E5">
        <v>2105</v>
      </c>
    </row>
    <row r="6" spans="1:5">
      <c r="A6" s="88" t="s">
        <v>110</v>
      </c>
      <c r="B6">
        <f>B4-B5</f>
        <v>1703</v>
      </c>
      <c r="C6">
        <f>C4-C5</f>
        <v>1835</v>
      </c>
      <c r="D6">
        <f>D4-D5</f>
        <v>1869</v>
      </c>
      <c r="E6">
        <f>E4-E5</f>
        <v>1845</v>
      </c>
    </row>
    <row r="7" spans="1:5">
      <c r="A7" s="88" t="s">
        <v>114</v>
      </c>
      <c r="B7">
        <v>1000</v>
      </c>
      <c r="C7">
        <v>1000</v>
      </c>
      <c r="D7">
        <v>1000</v>
      </c>
      <c r="E7">
        <v>1000</v>
      </c>
    </row>
    <row r="8" spans="1:5">
      <c r="A8" s="88" t="s">
        <v>111</v>
      </c>
      <c r="B8" s="92">
        <f>B6/B7</f>
        <v>1.7030000000000001</v>
      </c>
      <c r="C8" s="92">
        <f>C6/C7</f>
        <v>1.835</v>
      </c>
      <c r="D8" s="92">
        <f>D6/D7</f>
        <v>1.869</v>
      </c>
      <c r="E8" s="92">
        <f>E6/E7</f>
        <v>1.845</v>
      </c>
    </row>
    <row r="9" spans="1:5">
      <c r="A9" s="88" t="s">
        <v>112</v>
      </c>
      <c r="B9" s="93">
        <f>B8/(1+B17)</f>
        <v>1.3785254041570441</v>
      </c>
      <c r="C9" s="93">
        <f>C8/(1+C17)</f>
        <v>1.4588125845737481</v>
      </c>
      <c r="D9" s="93">
        <f>D8/(1+D17)</f>
        <v>1.4397501626545215</v>
      </c>
      <c r="E9" s="93">
        <f>E8/(1+E17)</f>
        <v>1.3778307008884501</v>
      </c>
    </row>
    <row r="10" spans="1:5">
      <c r="A10" s="88"/>
    </row>
    <row r="11" spans="1:5" ht="16.5" customHeight="1">
      <c r="A11" s="87" t="s">
        <v>113</v>
      </c>
    </row>
    <row r="12" spans="1:5">
      <c r="A12" s="13" t="s">
        <v>7</v>
      </c>
      <c r="B12">
        <v>80.8</v>
      </c>
      <c r="C12">
        <v>58.2</v>
      </c>
      <c r="D12">
        <v>77.3</v>
      </c>
      <c r="E12">
        <v>50.4</v>
      </c>
    </row>
    <row r="13" spans="1:5" ht="30">
      <c r="A13" s="13" t="s">
        <v>8</v>
      </c>
      <c r="B13">
        <v>254</v>
      </c>
      <c r="C13">
        <v>206</v>
      </c>
      <c r="D13">
        <v>231</v>
      </c>
      <c r="E13">
        <v>253</v>
      </c>
    </row>
    <row r="14" spans="1:5" ht="30">
      <c r="A14" s="13" t="s">
        <v>9</v>
      </c>
      <c r="B14">
        <v>221</v>
      </c>
      <c r="C14">
        <v>175.7</v>
      </c>
      <c r="D14">
        <v>195.7</v>
      </c>
      <c r="E14">
        <v>201.7</v>
      </c>
    </row>
    <row r="15" spans="1:5">
      <c r="A15" s="13" t="s">
        <v>10</v>
      </c>
      <c r="B15">
        <f>B13-B14</f>
        <v>33</v>
      </c>
      <c r="C15">
        <f>C13-C14</f>
        <v>30.300000000000011</v>
      </c>
      <c r="D15">
        <f>D13-D14</f>
        <v>35.300000000000011</v>
      </c>
      <c r="E15">
        <f>E13-E14</f>
        <v>51.300000000000011</v>
      </c>
    </row>
    <row r="16" spans="1:5">
      <c r="A16" s="13" t="s">
        <v>11</v>
      </c>
      <c r="B16">
        <f>B14-B12</f>
        <v>140.19999999999999</v>
      </c>
      <c r="C16">
        <f>C14-C12</f>
        <v>117.49999999999999</v>
      </c>
      <c r="D16">
        <f>D14-D12</f>
        <v>118.39999999999999</v>
      </c>
      <c r="E16">
        <f>E14-E12</f>
        <v>151.29999999999998</v>
      </c>
    </row>
    <row r="17" spans="1:5">
      <c r="A17" s="13"/>
      <c r="B17" s="89">
        <f>B15/B16</f>
        <v>0.23537803138373753</v>
      </c>
      <c r="C17" s="89">
        <f>C15/C16</f>
        <v>0.25787234042553203</v>
      </c>
      <c r="D17" s="89">
        <f>D15/D16</f>
        <v>0.298141891891892</v>
      </c>
      <c r="E17" s="89">
        <f>E15/E16</f>
        <v>0.33906146728354275</v>
      </c>
    </row>
    <row r="18" spans="1:5">
      <c r="A18" s="13" t="s">
        <v>12</v>
      </c>
      <c r="B18" s="94">
        <f>(B15/B16)*100</f>
        <v>23.537803138373754</v>
      </c>
      <c r="C18" s="94">
        <f>(C15/C16)*100</f>
        <v>25.787234042553202</v>
      </c>
      <c r="D18" s="94">
        <f>(D15/D16)*100</f>
        <v>29.8141891891892</v>
      </c>
      <c r="E18" s="94">
        <f>(E15/E16)*100</f>
        <v>33.906146728354273</v>
      </c>
    </row>
  </sheetData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30"/>
  <sheetViews>
    <sheetView topLeftCell="A11" workbookViewId="0">
      <selection activeCell="A12" sqref="A12:A30"/>
    </sheetView>
  </sheetViews>
  <sheetFormatPr defaultRowHeight="15"/>
  <cols>
    <col min="1" max="1" width="17.42578125" customWidth="1"/>
    <col min="2" max="2" width="11.7109375" customWidth="1"/>
    <col min="3" max="3" width="12.5703125" customWidth="1"/>
    <col min="4" max="5" width="12.140625" customWidth="1"/>
    <col min="6" max="6" width="10.7109375" customWidth="1"/>
  </cols>
  <sheetData>
    <row r="2" spans="1:6">
      <c r="A2" t="s">
        <v>0</v>
      </c>
    </row>
    <row r="4" spans="1:6" ht="33">
      <c r="A4" s="13" t="s">
        <v>115</v>
      </c>
      <c r="B4">
        <v>3.8</v>
      </c>
      <c r="C4" t="s">
        <v>35</v>
      </c>
      <c r="D4" s="97" t="s">
        <v>131</v>
      </c>
      <c r="E4" s="96">
        <f>MAX(F12:F30)</f>
        <v>2.1925618672013059</v>
      </c>
      <c r="F4" t="s">
        <v>130</v>
      </c>
    </row>
    <row r="5" spans="1:6" ht="33">
      <c r="A5" s="13" t="s">
        <v>116</v>
      </c>
      <c r="B5">
        <v>7.6</v>
      </c>
      <c r="C5" t="s">
        <v>35</v>
      </c>
    </row>
    <row r="6" spans="1:6" ht="18">
      <c r="A6" s="88" t="s">
        <v>117</v>
      </c>
      <c r="B6" s="12">
        <f>(3.14/4)*(B4*B4)</f>
        <v>11.3354</v>
      </c>
    </row>
    <row r="7" spans="1:6">
      <c r="A7" s="88" t="s">
        <v>118</v>
      </c>
      <c r="B7">
        <v>1.4610000000000001</v>
      </c>
      <c r="C7" t="s">
        <v>126</v>
      </c>
    </row>
    <row r="8" spans="1:6" ht="30">
      <c r="A8" s="13" t="s">
        <v>119</v>
      </c>
      <c r="B8">
        <v>26</v>
      </c>
      <c r="C8" t="s">
        <v>127</v>
      </c>
    </row>
    <row r="9" spans="1:6" ht="30">
      <c r="A9" s="13" t="s">
        <v>128</v>
      </c>
      <c r="B9">
        <v>0.254</v>
      </c>
      <c r="C9" t="s">
        <v>129</v>
      </c>
    </row>
    <row r="11" spans="1:6" ht="44.25" customHeight="1">
      <c r="A11" s="5" t="s">
        <v>124</v>
      </c>
      <c r="B11" s="5" t="s">
        <v>125</v>
      </c>
      <c r="C11" s="4" t="s">
        <v>120</v>
      </c>
      <c r="D11" s="91" t="s">
        <v>121</v>
      </c>
      <c r="E11" s="90" t="s">
        <v>123</v>
      </c>
      <c r="F11" s="90" t="s">
        <v>122</v>
      </c>
    </row>
    <row r="12" spans="1:6">
      <c r="A12">
        <v>50</v>
      </c>
      <c r="B12">
        <v>7</v>
      </c>
      <c r="C12" s="12">
        <f>A12/100</f>
        <v>0.5</v>
      </c>
      <c r="D12" s="95">
        <f>(C12/10)/$B$5</f>
        <v>6.5789473684210531E-3</v>
      </c>
      <c r="E12" s="96">
        <f>$B$6/(1-D12)</f>
        <v>11.410468874172185</v>
      </c>
      <c r="F12" s="89">
        <f>(B12*$B$9)/E12</f>
        <v>0.15582181763139788</v>
      </c>
    </row>
    <row r="13" spans="1:6">
      <c r="A13">
        <v>100</v>
      </c>
      <c r="B13">
        <v>24</v>
      </c>
      <c r="C13" s="12">
        <f t="shared" ref="C13:C30" si="0">A13/100</f>
        <v>1</v>
      </c>
      <c r="D13" s="95">
        <f t="shared" ref="D13:D30" si="1">(C13/10)/$B$5</f>
        <v>1.3157894736842106E-2</v>
      </c>
      <c r="E13" s="96">
        <f t="shared" ref="E13:E30" si="2">$B$6/(1-D13)</f>
        <v>11.486538666666666</v>
      </c>
      <c r="F13" s="89">
        <f t="shared" ref="F13:F30" si="3">(B13*$B$9)/E13</f>
        <v>0.53070817736332299</v>
      </c>
    </row>
    <row r="14" spans="1:6">
      <c r="A14">
        <v>150</v>
      </c>
      <c r="B14">
        <v>44</v>
      </c>
      <c r="C14" s="12">
        <f t="shared" si="0"/>
        <v>1.5</v>
      </c>
      <c r="D14" s="95">
        <f t="shared" si="1"/>
        <v>1.9736842105263157E-2</v>
      </c>
      <c r="E14" s="96">
        <f t="shared" si="2"/>
        <v>11.563629530201343</v>
      </c>
      <c r="F14" s="89">
        <f t="shared" si="3"/>
        <v>0.96647855855387355</v>
      </c>
    </row>
    <row r="15" spans="1:6">
      <c r="A15">
        <v>200</v>
      </c>
      <c r="B15">
        <v>62</v>
      </c>
      <c r="C15" s="12">
        <f t="shared" si="0"/>
        <v>2</v>
      </c>
      <c r="D15" s="95">
        <f t="shared" si="1"/>
        <v>2.6315789473684213E-2</v>
      </c>
      <c r="E15" s="96">
        <f t="shared" si="2"/>
        <v>11.641762162162161</v>
      </c>
      <c r="F15" s="89">
        <f t="shared" si="3"/>
        <v>1.3527161765238478</v>
      </c>
    </row>
    <row r="16" spans="1:6">
      <c r="A16">
        <v>250</v>
      </c>
      <c r="B16">
        <v>72</v>
      </c>
      <c r="C16" s="12">
        <f t="shared" si="0"/>
        <v>2.5</v>
      </c>
      <c r="D16" s="95">
        <f t="shared" si="1"/>
        <v>3.2894736842105261E-2</v>
      </c>
      <c r="E16" s="96">
        <f t="shared" si="2"/>
        <v>11.720957823129252</v>
      </c>
      <c r="F16" s="89">
        <f t="shared" si="3"/>
        <v>1.5602820414481693</v>
      </c>
    </row>
    <row r="17" spans="1:6">
      <c r="A17">
        <v>300</v>
      </c>
      <c r="B17">
        <v>80</v>
      </c>
      <c r="C17" s="12">
        <f t="shared" si="0"/>
        <v>3</v>
      </c>
      <c r="D17" s="95">
        <f t="shared" si="1"/>
        <v>3.9473684210526314E-2</v>
      </c>
      <c r="E17" s="96">
        <f t="shared" si="2"/>
        <v>11.801238356164383</v>
      </c>
      <c r="F17" s="89">
        <f t="shared" si="3"/>
        <v>1.7218531976676701</v>
      </c>
    </row>
    <row r="18" spans="1:6">
      <c r="A18">
        <v>350</v>
      </c>
      <c r="B18">
        <v>86</v>
      </c>
      <c r="C18" s="12">
        <f t="shared" si="0"/>
        <v>3.5</v>
      </c>
      <c r="D18" s="95">
        <f t="shared" si="1"/>
        <v>4.6052631578947366E-2</v>
      </c>
      <c r="E18" s="96">
        <f t="shared" si="2"/>
        <v>11.882626206896552</v>
      </c>
      <c r="F18" s="89">
        <f t="shared" si="3"/>
        <v>1.8383141588112881</v>
      </c>
    </row>
    <row r="19" spans="1:6">
      <c r="A19">
        <v>400</v>
      </c>
      <c r="B19">
        <v>91</v>
      </c>
      <c r="C19" s="12">
        <f t="shared" si="0"/>
        <v>4</v>
      </c>
      <c r="D19" s="95">
        <f t="shared" si="1"/>
        <v>5.2631578947368425E-2</v>
      </c>
      <c r="E19" s="96">
        <f t="shared" si="2"/>
        <v>11.965144444444444</v>
      </c>
      <c r="F19" s="89">
        <f t="shared" si="3"/>
        <v>1.9317777656024955</v>
      </c>
    </row>
    <row r="20" spans="1:6">
      <c r="A20">
        <v>450</v>
      </c>
      <c r="B20">
        <v>95</v>
      </c>
      <c r="C20" s="12">
        <f t="shared" si="0"/>
        <v>4.5</v>
      </c>
      <c r="D20" s="95">
        <f t="shared" si="1"/>
        <v>5.9210526315789477E-2</v>
      </c>
      <c r="E20" s="96">
        <f t="shared" si="2"/>
        <v>12.048816783216783</v>
      </c>
      <c r="F20" s="89">
        <f t="shared" si="3"/>
        <v>2.0026862748557615</v>
      </c>
    </row>
    <row r="21" spans="1:6">
      <c r="A21">
        <v>500</v>
      </c>
      <c r="B21">
        <v>99</v>
      </c>
      <c r="C21" s="12">
        <f t="shared" si="0"/>
        <v>5</v>
      </c>
      <c r="D21" s="95">
        <f t="shared" si="1"/>
        <v>6.5789473684210523E-2</v>
      </c>
      <c r="E21" s="96">
        <f t="shared" si="2"/>
        <v>12.133667605633802</v>
      </c>
      <c r="F21" s="89">
        <f t="shared" si="3"/>
        <v>2.0724154326037763</v>
      </c>
    </row>
    <row r="22" spans="1:6">
      <c r="A22">
        <v>550</v>
      </c>
      <c r="B22">
        <v>102</v>
      </c>
      <c r="C22" s="12">
        <f t="shared" si="0"/>
        <v>5.5</v>
      </c>
      <c r="D22" s="95">
        <f t="shared" si="1"/>
        <v>7.2368421052631582E-2</v>
      </c>
      <c r="E22" s="96">
        <f t="shared" si="2"/>
        <v>12.219721985815603</v>
      </c>
      <c r="F22" s="89">
        <f t="shared" si="3"/>
        <v>2.1201791685664753</v>
      </c>
    </row>
    <row r="23" spans="1:6">
      <c r="A23">
        <v>600</v>
      </c>
      <c r="B23">
        <v>105</v>
      </c>
      <c r="C23" s="12">
        <f t="shared" si="0"/>
        <v>6</v>
      </c>
      <c r="D23" s="95">
        <f t="shared" si="1"/>
        <v>7.8947368421052627E-2</v>
      </c>
      <c r="E23" s="96">
        <f t="shared" si="2"/>
        <v>12.307005714285715</v>
      </c>
      <c r="F23" s="89">
        <f t="shared" si="3"/>
        <v>2.1670583909002352</v>
      </c>
    </row>
    <row r="24" spans="1:6">
      <c r="A24">
        <v>650</v>
      </c>
      <c r="B24">
        <v>107</v>
      </c>
      <c r="C24" s="12">
        <f t="shared" si="0"/>
        <v>6.5</v>
      </c>
      <c r="D24" s="95">
        <f t="shared" si="1"/>
        <v>8.5526315789473686E-2</v>
      </c>
      <c r="E24" s="96">
        <f t="shared" si="2"/>
        <v>12.395545323741008</v>
      </c>
      <c r="F24" s="89">
        <f t="shared" si="3"/>
        <v>2.1925618672013059</v>
      </c>
    </row>
    <row r="25" spans="1:6">
      <c r="A25">
        <v>700</v>
      </c>
      <c r="B25">
        <v>107</v>
      </c>
      <c r="C25" s="12">
        <f t="shared" si="0"/>
        <v>7</v>
      </c>
      <c r="D25" s="95">
        <f t="shared" si="1"/>
        <v>9.2105263157894732E-2</v>
      </c>
      <c r="E25" s="96">
        <f t="shared" si="2"/>
        <v>12.485368115942029</v>
      </c>
      <c r="F25" s="89">
        <f t="shared" si="3"/>
        <v>2.1767880408185629</v>
      </c>
    </row>
    <row r="26" spans="1:6">
      <c r="A26">
        <v>750</v>
      </c>
      <c r="B26">
        <v>106</v>
      </c>
      <c r="C26" s="12">
        <f t="shared" si="0"/>
        <v>7.5</v>
      </c>
      <c r="D26" s="95">
        <f t="shared" si="1"/>
        <v>9.8684210526315791E-2</v>
      </c>
      <c r="E26" s="96">
        <f t="shared" si="2"/>
        <v>12.576502189781023</v>
      </c>
      <c r="F26" s="89">
        <f t="shared" si="3"/>
        <v>2.1408178199083818</v>
      </c>
    </row>
    <row r="27" spans="1:6">
      <c r="A27">
        <v>800</v>
      </c>
      <c r="C27" s="12">
        <f t="shared" si="0"/>
        <v>8</v>
      </c>
      <c r="D27" s="95">
        <f t="shared" si="1"/>
        <v>0.10526315789473685</v>
      </c>
      <c r="E27" s="96">
        <f t="shared" si="2"/>
        <v>12.668976470588236</v>
      </c>
      <c r="F27" s="89">
        <f t="shared" si="3"/>
        <v>0</v>
      </c>
    </row>
    <row r="28" spans="1:6">
      <c r="A28">
        <v>850</v>
      </c>
      <c r="C28" s="12">
        <f t="shared" si="0"/>
        <v>8.5</v>
      </c>
      <c r="D28" s="95">
        <f t="shared" si="1"/>
        <v>0.1118421052631579</v>
      </c>
      <c r="E28" s="96">
        <f t="shared" si="2"/>
        <v>12.762820740740739</v>
      </c>
      <c r="F28" s="89">
        <f t="shared" si="3"/>
        <v>0</v>
      </c>
    </row>
    <row r="29" spans="1:6">
      <c r="A29">
        <v>900</v>
      </c>
      <c r="C29" s="12">
        <f t="shared" si="0"/>
        <v>9</v>
      </c>
      <c r="D29" s="95">
        <f t="shared" si="1"/>
        <v>0.11842105263157895</v>
      </c>
      <c r="E29" s="96">
        <f t="shared" si="2"/>
        <v>12.858065671641791</v>
      </c>
      <c r="F29" s="89">
        <f t="shared" si="3"/>
        <v>0</v>
      </c>
    </row>
    <row r="30" spans="1:6">
      <c r="A30">
        <v>1000</v>
      </c>
      <c r="C30" s="12">
        <f t="shared" si="0"/>
        <v>10</v>
      </c>
      <c r="D30" s="95">
        <f t="shared" si="1"/>
        <v>0.13157894736842105</v>
      </c>
      <c r="E30" s="96">
        <f t="shared" si="2"/>
        <v>13.052884848484847</v>
      </c>
      <c r="F30" s="89">
        <f t="shared" si="3"/>
        <v>0</v>
      </c>
    </row>
  </sheetData>
  <pageMargins left="0.7" right="0.7" top="0.75" bottom="0.75" header="0.3" footer="0.3"/>
  <pageSetup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opLeftCell="A11" workbookViewId="0">
      <selection activeCell="C17" sqref="C17"/>
    </sheetView>
  </sheetViews>
  <sheetFormatPr defaultRowHeight="15"/>
  <cols>
    <col min="1" max="1" width="17.42578125" bestFit="1" customWidth="1"/>
    <col min="5" max="5" width="18.140625" customWidth="1"/>
  </cols>
  <sheetData>
    <row r="1" spans="1:7">
      <c r="A1" t="s">
        <v>0</v>
      </c>
    </row>
    <row r="3" spans="1:7" ht="29.25" customHeight="1">
      <c r="A3" s="98" t="s">
        <v>132</v>
      </c>
      <c r="B3">
        <v>6</v>
      </c>
      <c r="C3" t="s">
        <v>35</v>
      </c>
      <c r="E3" s="91" t="s">
        <v>139</v>
      </c>
      <c r="F3" s="100">
        <f>B3*B4*B5*B6</f>
        <v>105.12</v>
      </c>
    </row>
    <row r="4" spans="1:7" ht="18" customHeight="1">
      <c r="A4" s="98" t="s">
        <v>133</v>
      </c>
      <c r="B4">
        <v>6</v>
      </c>
      <c r="C4" t="s">
        <v>35</v>
      </c>
      <c r="E4" s="91" t="s">
        <v>140</v>
      </c>
      <c r="F4">
        <v>26</v>
      </c>
      <c r="G4" t="s">
        <v>127</v>
      </c>
    </row>
    <row r="5" spans="1:7" ht="30">
      <c r="A5" s="98" t="s">
        <v>134</v>
      </c>
      <c r="B5">
        <v>2</v>
      </c>
      <c r="C5" t="s">
        <v>35</v>
      </c>
      <c r="E5" s="91" t="s">
        <v>141</v>
      </c>
      <c r="F5" s="101">
        <f>F3*F4/100</f>
        <v>27.331199999999999</v>
      </c>
      <c r="G5" s="100" t="s">
        <v>145</v>
      </c>
    </row>
    <row r="6" spans="1:7" ht="34.5" customHeight="1">
      <c r="A6" s="98" t="s">
        <v>135</v>
      </c>
      <c r="B6">
        <v>1.46</v>
      </c>
    </row>
    <row r="7" spans="1:7" ht="30">
      <c r="A7" s="98" t="s">
        <v>136</v>
      </c>
      <c r="B7">
        <v>0.254</v>
      </c>
      <c r="C7" t="s">
        <v>129</v>
      </c>
    </row>
    <row r="8" spans="1:7">
      <c r="A8" s="98" t="s">
        <v>137</v>
      </c>
      <c r="B8">
        <v>1.25</v>
      </c>
    </row>
    <row r="9" spans="1:7" ht="30">
      <c r="A9" s="98" t="s">
        <v>138</v>
      </c>
      <c r="B9">
        <v>1E-3</v>
      </c>
    </row>
    <row r="11" spans="1:7">
      <c r="B11" s="778" t="s">
        <v>143</v>
      </c>
      <c r="C11" s="778"/>
      <c r="D11" s="778"/>
      <c r="E11" s="712" t="s">
        <v>144</v>
      </c>
      <c r="F11" s="712"/>
      <c r="G11" s="712"/>
    </row>
    <row r="12" spans="1:7">
      <c r="A12" s="98" t="s">
        <v>142</v>
      </c>
      <c r="B12" s="99">
        <v>0.65</v>
      </c>
      <c r="C12" s="99">
        <v>1.1499999999999999</v>
      </c>
      <c r="D12" s="99">
        <v>1.65</v>
      </c>
      <c r="E12" s="99">
        <v>0.65</v>
      </c>
      <c r="F12" s="99">
        <v>1.1499999999999999</v>
      </c>
      <c r="G12" s="99">
        <v>1.65</v>
      </c>
    </row>
    <row r="13" spans="1:7">
      <c r="A13">
        <v>50</v>
      </c>
      <c r="B13">
        <v>17</v>
      </c>
      <c r="C13">
        <v>52</v>
      </c>
      <c r="D13">
        <v>116</v>
      </c>
      <c r="E13" s="95">
        <f t="shared" ref="E13:E31" si="0">(B13*$B$7)/($B$4*($B$3-(A13*$B$9)))</f>
        <v>0.12095238095238094</v>
      </c>
      <c r="F13" s="95">
        <f t="shared" ref="F13:G28" si="1">(C13*$B$7)/($B$4*($B$3-(B13*$B$9)))</f>
        <v>0.36793136107861169</v>
      </c>
      <c r="G13" s="95">
        <f t="shared" si="1"/>
        <v>0.82559964133602326</v>
      </c>
    </row>
    <row r="14" spans="1:7">
      <c r="A14">
        <v>100</v>
      </c>
      <c r="B14">
        <v>31</v>
      </c>
      <c r="C14">
        <v>76</v>
      </c>
      <c r="D14">
        <v>170</v>
      </c>
      <c r="E14" s="95">
        <f t="shared" si="0"/>
        <v>0.22242937853107342</v>
      </c>
      <c r="F14" s="95">
        <f t="shared" si="1"/>
        <v>0.53900709219858156</v>
      </c>
      <c r="G14" s="95">
        <f t="shared" si="1"/>
        <v>1.2148323205041638</v>
      </c>
    </row>
    <row r="15" spans="1:7">
      <c r="A15">
        <v>150</v>
      </c>
      <c r="B15">
        <v>55</v>
      </c>
      <c r="C15">
        <v>92</v>
      </c>
      <c r="D15">
        <v>195</v>
      </c>
      <c r="E15" s="95">
        <f t="shared" si="0"/>
        <v>0.39800569800569807</v>
      </c>
      <c r="F15" s="95">
        <f t="shared" si="1"/>
        <v>0.65511634426689103</v>
      </c>
      <c r="G15" s="95">
        <f t="shared" si="1"/>
        <v>1.3972579553148274</v>
      </c>
    </row>
    <row r="16" spans="1:7">
      <c r="A16">
        <v>200</v>
      </c>
      <c r="B16">
        <v>71</v>
      </c>
      <c r="C16">
        <v>100</v>
      </c>
      <c r="D16">
        <v>211</v>
      </c>
      <c r="E16" s="95">
        <f t="shared" si="0"/>
        <v>0.51821839080459775</v>
      </c>
      <c r="F16" s="95">
        <f t="shared" si="1"/>
        <v>0.71400461010850624</v>
      </c>
      <c r="G16" s="95">
        <f t="shared" si="1"/>
        <v>1.5139548022598868</v>
      </c>
    </row>
    <row r="17" spans="1:7">
      <c r="A17">
        <v>250</v>
      </c>
      <c r="B17">
        <v>85</v>
      </c>
      <c r="C17">
        <v>101</v>
      </c>
      <c r="D17">
        <v>223</v>
      </c>
      <c r="E17" s="95">
        <f t="shared" si="0"/>
        <v>0.62579710144927536</v>
      </c>
      <c r="F17" s="95">
        <f t="shared" si="1"/>
        <v>0.72285150746689208</v>
      </c>
      <c r="G17" s="95">
        <f t="shared" si="1"/>
        <v>1.6003277391648303</v>
      </c>
    </row>
    <row r="18" spans="1:7">
      <c r="A18">
        <v>300</v>
      </c>
      <c r="B18">
        <v>57</v>
      </c>
      <c r="C18">
        <v>101</v>
      </c>
      <c r="D18">
        <v>231</v>
      </c>
      <c r="E18" s="95">
        <f t="shared" si="0"/>
        <v>0.42333333333333328</v>
      </c>
      <c r="F18" s="95">
        <f t="shared" si="1"/>
        <v>0.7194458466543272</v>
      </c>
      <c r="G18" s="95">
        <f t="shared" si="1"/>
        <v>1.6577385997626717</v>
      </c>
    </row>
    <row r="19" spans="1:7">
      <c r="A19">
        <v>350</v>
      </c>
      <c r="B19">
        <v>86</v>
      </c>
      <c r="C19">
        <v>103</v>
      </c>
      <c r="D19">
        <v>232</v>
      </c>
      <c r="E19" s="95">
        <f t="shared" si="0"/>
        <v>0.64436578171091441</v>
      </c>
      <c r="F19" s="95">
        <f t="shared" si="1"/>
        <v>0.73729004621801386</v>
      </c>
      <c r="G19" s="95">
        <f t="shared" si="1"/>
        <v>1.6654796224068733</v>
      </c>
    </row>
    <row r="20" spans="1:7">
      <c r="A20">
        <v>400</v>
      </c>
      <c r="E20" s="95">
        <f t="shared" si="0"/>
        <v>0</v>
      </c>
      <c r="F20" s="95">
        <f t="shared" si="1"/>
        <v>0</v>
      </c>
      <c r="G20" s="95">
        <f t="shared" si="1"/>
        <v>0</v>
      </c>
    </row>
    <row r="21" spans="1:7">
      <c r="A21">
        <v>450</v>
      </c>
      <c r="E21" s="95">
        <f t="shared" si="0"/>
        <v>0</v>
      </c>
      <c r="F21" s="95">
        <f t="shared" si="1"/>
        <v>0</v>
      </c>
      <c r="G21" s="95">
        <f t="shared" si="1"/>
        <v>0</v>
      </c>
    </row>
    <row r="22" spans="1:7">
      <c r="A22">
        <v>500</v>
      </c>
      <c r="E22" s="95">
        <f t="shared" si="0"/>
        <v>0</v>
      </c>
      <c r="F22" s="95">
        <f t="shared" si="1"/>
        <v>0</v>
      </c>
      <c r="G22" s="95">
        <f t="shared" si="1"/>
        <v>0</v>
      </c>
    </row>
    <row r="23" spans="1:7">
      <c r="A23">
        <v>550</v>
      </c>
      <c r="E23" s="95">
        <f t="shared" si="0"/>
        <v>0</v>
      </c>
      <c r="F23" s="95">
        <f t="shared" si="1"/>
        <v>0</v>
      </c>
      <c r="G23" s="95">
        <f t="shared" si="1"/>
        <v>0</v>
      </c>
    </row>
    <row r="24" spans="1:7">
      <c r="A24">
        <v>600</v>
      </c>
      <c r="E24" s="95">
        <f t="shared" si="0"/>
        <v>0</v>
      </c>
      <c r="F24" s="95">
        <f t="shared" si="1"/>
        <v>0</v>
      </c>
      <c r="G24" s="95">
        <f t="shared" si="1"/>
        <v>0</v>
      </c>
    </row>
    <row r="25" spans="1:7">
      <c r="A25">
        <v>650</v>
      </c>
      <c r="E25" s="95">
        <f t="shared" si="0"/>
        <v>0</v>
      </c>
      <c r="F25" s="95">
        <f t="shared" si="1"/>
        <v>0</v>
      </c>
      <c r="G25" s="95">
        <f t="shared" si="1"/>
        <v>0</v>
      </c>
    </row>
    <row r="26" spans="1:7">
      <c r="A26">
        <v>700</v>
      </c>
      <c r="E26" s="95">
        <f t="shared" si="0"/>
        <v>0</v>
      </c>
      <c r="F26" s="95">
        <f t="shared" si="1"/>
        <v>0</v>
      </c>
      <c r="G26" s="95">
        <f t="shared" si="1"/>
        <v>0</v>
      </c>
    </row>
    <row r="27" spans="1:7">
      <c r="A27">
        <v>750</v>
      </c>
      <c r="E27" s="95">
        <f t="shared" si="0"/>
        <v>0</v>
      </c>
      <c r="F27" s="95">
        <f t="shared" si="1"/>
        <v>0</v>
      </c>
      <c r="G27" s="95">
        <f t="shared" si="1"/>
        <v>0</v>
      </c>
    </row>
    <row r="28" spans="1:7">
      <c r="A28">
        <v>800</v>
      </c>
      <c r="E28" s="95">
        <f t="shared" si="0"/>
        <v>0</v>
      </c>
      <c r="F28" s="95">
        <f t="shared" si="1"/>
        <v>0</v>
      </c>
      <c r="G28" s="95">
        <f t="shared" si="1"/>
        <v>0</v>
      </c>
    </row>
    <row r="29" spans="1:7">
      <c r="A29">
        <v>850</v>
      </c>
      <c r="E29" s="95">
        <f t="shared" si="0"/>
        <v>0</v>
      </c>
      <c r="F29" s="95">
        <f t="shared" ref="F29:G31" si="2">(C29*$B$7)/($B$4*($B$3-(B29*$B$9)))</f>
        <v>0</v>
      </c>
      <c r="G29" s="95">
        <f t="shared" si="2"/>
        <v>0</v>
      </c>
    </row>
    <row r="30" spans="1:7">
      <c r="A30">
        <v>900</v>
      </c>
      <c r="E30" s="95">
        <f t="shared" si="0"/>
        <v>0</v>
      </c>
      <c r="F30" s="95">
        <f t="shared" si="2"/>
        <v>0</v>
      </c>
      <c r="G30" s="95">
        <f t="shared" si="2"/>
        <v>0</v>
      </c>
    </row>
    <row r="31" spans="1:7">
      <c r="A31">
        <v>1000</v>
      </c>
      <c r="E31" s="95">
        <f t="shared" si="0"/>
        <v>0</v>
      </c>
      <c r="F31" s="95">
        <f t="shared" si="2"/>
        <v>0</v>
      </c>
      <c r="G31" s="95">
        <f t="shared" si="2"/>
        <v>0</v>
      </c>
    </row>
    <row r="32" spans="1:7">
      <c r="E32" s="95">
        <f>MAX(E13:E31)</f>
        <v>0.64436578171091441</v>
      </c>
      <c r="F32" s="95">
        <f>MAX(F13:F31)</f>
        <v>0.73729004621801386</v>
      </c>
      <c r="G32" s="95">
        <f>MAX(G13:G31)</f>
        <v>1.6654796224068733</v>
      </c>
    </row>
  </sheetData>
  <mergeCells count="2">
    <mergeCell ref="B11:D11"/>
    <mergeCell ref="E11:G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MASTER COPY(SA)</vt:lpstr>
      <vt:lpstr>Proctor</vt:lpstr>
      <vt:lpstr>J DST</vt:lpstr>
      <vt:lpstr>J CBR</vt:lpstr>
      <vt:lpstr>Trial sheet</vt:lpstr>
      <vt:lpstr>SG</vt:lpstr>
      <vt:lpstr>Sieve Analysis</vt:lpstr>
      <vt:lpstr>Relative Density</vt:lpstr>
      <vt:lpstr> P DST</vt:lpstr>
      <vt:lpstr>Pull-out(A)</vt:lpstr>
      <vt:lpstr>Pull-out(E)</vt:lpstr>
      <vt:lpstr>LOAD-DISP</vt:lpstr>
      <vt:lpstr>Result Comparison</vt:lpstr>
      <vt:lpstr>Graph</vt:lpstr>
      <vt:lpstr>proposed angle</vt:lpstr>
      <vt:lpstr>Shrinkage Limit</vt:lpstr>
      <vt:lpstr>Consolidation</vt:lpstr>
      <vt:lpstr>Specific Gravity</vt:lpstr>
      <vt:lpstr>Free Swell</vt:lpstr>
      <vt:lpstr>Permeability</vt:lpstr>
      <vt:lpstr>Standard Proctor Test </vt:lpstr>
      <vt:lpstr>Unconfine Compressive Strength</vt:lpstr>
      <vt:lpstr>Direct Shear Test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RAMBHAI</dc:creator>
  <cp:lastModifiedBy>PCD</cp:lastModifiedBy>
  <cp:lastPrinted>2016-11-27T16:14:12Z</cp:lastPrinted>
  <dcterms:created xsi:type="dcterms:W3CDTF">2015-02-10T04:46:15Z</dcterms:created>
  <dcterms:modified xsi:type="dcterms:W3CDTF">2018-03-15T08:10:43Z</dcterms:modified>
</cp:coreProperties>
</file>