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5.xml" ContentType="application/vnd.openxmlformats-officedocument.drawingml.chartshapes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ml.chartshapes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7.xml" ContentType="application/vnd.openxmlformats-officedocument.drawingml.chartshapes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8.xml" ContentType="application/vnd.openxmlformats-officedocument.drawingml.chartshapes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9.xml" ContentType="application/vnd.openxmlformats-officedocument.drawingml.chartshapes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0.xml" ContentType="application/vnd.openxmlformats-officedocument.drawingml.chartshapes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1.xml" ContentType="application/vnd.openxmlformats-officedocument.drawingml.chartshapes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2.xml" ContentType="application/vnd.openxmlformats-officedocument.drawingml.chartshapes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3.xml" ContentType="application/vnd.openxmlformats-officedocument.drawingml.chartshapes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20.xml" ContentType="application/vnd.openxmlformats-officedocument.drawingml.chartshapes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1.xml" ContentType="application/vnd.openxmlformats-officedocument.drawingml.chartshapes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2.xml" ContentType="application/vnd.openxmlformats-officedocument.drawingml.chartshapes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23.xml" ContentType="application/vnd.openxmlformats-officedocument.drawingml.chartshapes+xml"/>
  <Override PartName="/xl/drawings/drawing24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5.xml" ContentType="application/vnd.openxmlformats-officedocument.drawingml.chartshapes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6.xml" ContentType="application/vnd.openxmlformats-officedocument.drawingml.chartshapes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7.xml" ContentType="application/vnd.openxmlformats-officedocument.drawingml.chartshapes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28.xml" ContentType="application/vnd.openxmlformats-officedocument.drawingml.chartshapes+xml"/>
  <Override PartName="/xl/drawings/drawing29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30.xml" ContentType="application/vnd.openxmlformats-officedocument.drawingml.chartshapes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31.xml" ContentType="application/vnd.openxmlformats-officedocument.drawingml.chartshapes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32.xml" ContentType="application/vnd.openxmlformats-officedocument.drawingml.chartshapes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33.xml" ContentType="application/vnd.openxmlformats-officedocument.drawingml.chartshapes+xml"/>
  <Override PartName="/xl/drawings/drawing34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35.xml" ContentType="application/vnd.openxmlformats-officedocument.drawingml.chartshapes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36.xml" ContentType="application/vnd.openxmlformats-officedocument.drawingml.chartshapes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37.xml" ContentType="application/vnd.openxmlformats-officedocument.drawingml.chartshapes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38.xml" ContentType="application/vnd.openxmlformats-officedocument.drawingml.chartshapes+xml"/>
  <Override PartName="/xl/drawings/drawing39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40.xml" ContentType="application/vnd.openxmlformats-officedocument.drawingml.chartshapes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41.xml" ContentType="application/vnd.openxmlformats-officedocument.drawingml.chartshapes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42.xml" ContentType="application/vnd.openxmlformats-officedocument.drawingml.chartshapes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drawings/drawing43.xml" ContentType="application/vnd.openxmlformats-officedocument.drawingml.chartshapes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44.xml" ContentType="application/vnd.openxmlformats-officedocument.drawingml.chartshapes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drawings/drawing45.xml" ContentType="application/vnd.openxmlformats-officedocument.drawingml.chartshapes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drawings/drawing46.xml" ContentType="application/vnd.openxmlformats-officedocument.drawingml.chartshapes+xml"/>
  <Override PartName="/xl/charts/chart41.xml" ContentType="application/vnd.openxmlformats-officedocument.drawingml.chart+xml"/>
  <Override PartName="/xl/charts/style41.xml" ContentType="application/vnd.ms-office.chartstyle+xml"/>
  <Override PartName="/xl/charts/colors41.xml" ContentType="application/vnd.ms-office.chartcolorstyle+xml"/>
  <Override PartName="/xl/drawings/drawing47.xml" ContentType="application/vnd.openxmlformats-officedocument.drawingml.chartshapes+xml"/>
  <Override PartName="/xl/charts/chart42.xml" ContentType="application/vnd.openxmlformats-officedocument.drawingml.chart+xml"/>
  <Override PartName="/xl/charts/style42.xml" ContentType="application/vnd.ms-office.chartstyle+xml"/>
  <Override PartName="/xl/charts/colors42.xml" ContentType="application/vnd.ms-office.chartcolorstyle+xml"/>
  <Override PartName="/xl/drawings/drawing48.xml" ContentType="application/vnd.openxmlformats-officedocument.drawingml.chartshapes+xml"/>
  <Override PartName="/xl/charts/chart43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drawings/drawing49.xml" ContentType="application/vnd.openxmlformats-officedocument.drawingml.chartshapes+xml"/>
  <Override PartName="/xl/charts/chart44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drawings/drawing50.xml" ContentType="application/vnd.openxmlformats-officedocument.drawingml.chartshapes+xml"/>
  <Override PartName="/xl/charts/chart45.xml" ContentType="application/vnd.openxmlformats-officedocument.drawingml.chart+xml"/>
  <Override PartName="/xl/charts/style45.xml" ContentType="application/vnd.ms-office.chartstyle+xml"/>
  <Override PartName="/xl/charts/colors45.xml" ContentType="application/vnd.ms-office.chartcolorstyle+xml"/>
  <Override PartName="/xl/drawings/drawing51.xml" ContentType="application/vnd.openxmlformats-officedocument.drawingml.chartshapes+xml"/>
  <Override PartName="/xl/charts/chart46.xml" ContentType="application/vnd.openxmlformats-officedocument.drawingml.chart+xml"/>
  <Override PartName="/xl/charts/style46.xml" ContentType="application/vnd.ms-office.chartstyle+xml"/>
  <Override PartName="/xl/charts/colors46.xml" ContentType="application/vnd.ms-office.chartcolorstyle+xml"/>
  <Override PartName="/xl/drawings/drawing52.xml" ContentType="application/vnd.openxmlformats-officedocument.drawingml.chartshapes+xml"/>
  <Override PartName="/xl/charts/chart47.xml" ContentType="application/vnd.openxmlformats-officedocument.drawingml.chart+xml"/>
  <Override PartName="/xl/charts/style47.xml" ContentType="application/vnd.ms-office.chartstyle+xml"/>
  <Override PartName="/xl/charts/colors47.xml" ContentType="application/vnd.ms-office.chartcolorstyle+xml"/>
  <Override PartName="/xl/drawings/drawing53.xml" ContentType="application/vnd.openxmlformats-officedocument.drawingml.chartshapes+xml"/>
  <Override PartName="/xl/charts/chart48.xml" ContentType="application/vnd.openxmlformats-officedocument.drawingml.chart+xml"/>
  <Override PartName="/xl/charts/style48.xml" ContentType="application/vnd.ms-office.chartstyle+xml"/>
  <Override PartName="/xl/charts/colors48.xml" ContentType="application/vnd.ms-office.chartcolorstyle+xml"/>
  <Override PartName="/xl/drawings/drawing54.xml" ContentType="application/vnd.openxmlformats-officedocument.drawingml.chartshapes+xml"/>
  <Override PartName="/xl/charts/chart49.xml" ContentType="application/vnd.openxmlformats-officedocument.drawingml.chart+xml"/>
  <Override PartName="/xl/charts/style49.xml" ContentType="application/vnd.ms-office.chartstyle+xml"/>
  <Override PartName="/xl/charts/colors49.xml" ContentType="application/vnd.ms-office.chartcolorstyle+xml"/>
  <Override PartName="/xl/drawings/drawing55.xml" ContentType="application/vnd.openxmlformats-officedocument.drawingml.chartshapes+xml"/>
  <Override PartName="/xl/charts/chart50.xml" ContentType="application/vnd.openxmlformats-officedocument.drawingml.chart+xml"/>
  <Override PartName="/xl/charts/style50.xml" ContentType="application/vnd.ms-office.chartstyle+xml"/>
  <Override PartName="/xl/charts/colors50.xml" ContentType="application/vnd.ms-office.chartcolorstyle+xml"/>
  <Override PartName="/xl/drawings/drawing56.xml" ContentType="application/vnd.openxmlformats-officedocument.drawingml.chartshapes+xml"/>
  <Override PartName="/xl/charts/chart51.xml" ContentType="application/vnd.openxmlformats-officedocument.drawingml.chart+xml"/>
  <Override PartName="/xl/charts/style51.xml" ContentType="application/vnd.ms-office.chartstyle+xml"/>
  <Override PartName="/xl/charts/colors51.xml" ContentType="application/vnd.ms-office.chartcolorstyle+xml"/>
  <Override PartName="/xl/drawings/drawing57.xml" ContentType="application/vnd.openxmlformats-officedocument.drawingml.chartshapes+xml"/>
  <Override PartName="/xl/charts/chart52.xml" ContentType="application/vnd.openxmlformats-officedocument.drawingml.chart+xml"/>
  <Override PartName="/xl/charts/style52.xml" ContentType="application/vnd.ms-office.chartstyle+xml"/>
  <Override PartName="/xl/charts/colors52.xml" ContentType="application/vnd.ms-office.chartcolorstyle+xml"/>
  <Override PartName="/xl/drawings/drawing58.xml" ContentType="application/vnd.openxmlformats-officedocument.drawingml.chartshapes+xml"/>
  <Override PartName="/xl/charts/chart53.xml" ContentType="application/vnd.openxmlformats-officedocument.drawingml.chart+xml"/>
  <Override PartName="/xl/charts/style53.xml" ContentType="application/vnd.ms-office.chartstyle+xml"/>
  <Override PartName="/xl/charts/colors53.xml" ContentType="application/vnd.ms-office.chartcolorstyle+xml"/>
  <Override PartName="/xl/drawings/drawing59.xml" ContentType="application/vnd.openxmlformats-officedocument.drawingml.chartshapes+xml"/>
  <Override PartName="/xl/charts/chart54.xml" ContentType="application/vnd.openxmlformats-officedocument.drawingml.chart+xml"/>
  <Override PartName="/xl/charts/style54.xml" ContentType="application/vnd.ms-office.chartstyle+xml"/>
  <Override PartName="/xl/charts/colors54.xml" ContentType="application/vnd.ms-office.chartcolorstyle+xml"/>
  <Override PartName="/xl/drawings/drawing60.xml" ContentType="application/vnd.openxmlformats-officedocument.drawingml.chartshapes+xml"/>
  <Override PartName="/xl/charts/chart55.xml" ContentType="application/vnd.openxmlformats-officedocument.drawingml.chart+xml"/>
  <Override PartName="/xl/charts/style55.xml" ContentType="application/vnd.ms-office.chartstyle+xml"/>
  <Override PartName="/xl/charts/colors55.xml" ContentType="application/vnd.ms-office.chartcolorstyle+xml"/>
  <Override PartName="/xl/drawings/drawing61.xml" ContentType="application/vnd.openxmlformats-officedocument.drawingml.chartshapes+xml"/>
  <Override PartName="/xl/charts/chart56.xml" ContentType="application/vnd.openxmlformats-officedocument.drawingml.chart+xml"/>
  <Override PartName="/xl/charts/style56.xml" ContentType="application/vnd.ms-office.chartstyle+xml"/>
  <Override PartName="/xl/charts/colors56.xml" ContentType="application/vnd.ms-office.chartcolorstyle+xml"/>
  <Override PartName="/xl/drawings/drawing62.xml" ContentType="application/vnd.openxmlformats-officedocument.drawingml.chartshapes+xml"/>
  <Override PartName="/xl/charts/chart57.xml" ContentType="application/vnd.openxmlformats-officedocument.drawingml.chart+xml"/>
  <Override PartName="/xl/charts/style57.xml" ContentType="application/vnd.ms-office.chartstyle+xml"/>
  <Override PartName="/xl/charts/colors57.xml" ContentType="application/vnd.ms-office.chartcolorstyle+xml"/>
  <Override PartName="/xl/drawings/drawing63.xml" ContentType="application/vnd.openxmlformats-officedocument.drawingml.chartshapes+xml"/>
  <Override PartName="/xl/charts/chart58.xml" ContentType="application/vnd.openxmlformats-officedocument.drawingml.chart+xml"/>
  <Override PartName="/xl/charts/style58.xml" ContentType="application/vnd.ms-office.chartstyle+xml"/>
  <Override PartName="/xl/charts/colors58.xml" ContentType="application/vnd.ms-office.chartcolorstyle+xml"/>
  <Override PartName="/xl/drawings/drawing64.xml" ContentType="application/vnd.openxmlformats-officedocument.drawingml.chartshapes+xml"/>
  <Override PartName="/xl/charts/chart59.xml" ContentType="application/vnd.openxmlformats-officedocument.drawingml.chart+xml"/>
  <Override PartName="/xl/charts/style59.xml" ContentType="application/vnd.ms-office.chartstyle+xml"/>
  <Override PartName="/xl/charts/colors59.xml" ContentType="application/vnd.ms-office.chartcolorstyle+xml"/>
  <Override PartName="/xl/drawings/drawing65.xml" ContentType="application/vnd.openxmlformats-officedocument.drawingml.chartshapes+xml"/>
  <Override PartName="/xl/charts/chart60.xml" ContentType="application/vnd.openxmlformats-officedocument.drawingml.chart+xml"/>
  <Override PartName="/xl/charts/style60.xml" ContentType="application/vnd.ms-office.chartstyle+xml"/>
  <Override PartName="/xl/charts/colors60.xml" ContentType="application/vnd.ms-office.chartcolorstyle+xml"/>
  <Override PartName="/xl/drawings/drawing66.xml" ContentType="application/vnd.openxmlformats-officedocument.drawingml.chartshapes+xml"/>
  <Override PartName="/xl/charts/chart61.xml" ContentType="application/vnd.openxmlformats-officedocument.drawingml.chart+xml"/>
  <Override PartName="/xl/charts/style61.xml" ContentType="application/vnd.ms-office.chartstyle+xml"/>
  <Override PartName="/xl/charts/colors61.xml" ContentType="application/vnd.ms-office.chartcolorstyle+xml"/>
  <Override PartName="/xl/drawings/drawing67.xml" ContentType="application/vnd.openxmlformats-officedocument.drawingml.chartshapes+xml"/>
  <Override PartName="/xl/charts/chart62.xml" ContentType="application/vnd.openxmlformats-officedocument.drawingml.chart+xml"/>
  <Override PartName="/xl/charts/style62.xml" ContentType="application/vnd.ms-office.chartstyle+xml"/>
  <Override PartName="/xl/charts/colors62.xml" ContentType="application/vnd.ms-office.chartcolorstyle+xml"/>
  <Override PartName="/xl/drawings/drawing68.xml" ContentType="application/vnd.openxmlformats-officedocument.drawingml.chartshapes+xml"/>
  <Override PartName="/xl/charts/chart63.xml" ContentType="application/vnd.openxmlformats-officedocument.drawingml.chart+xml"/>
  <Override PartName="/xl/charts/style63.xml" ContentType="application/vnd.ms-office.chartstyle+xml"/>
  <Override PartName="/xl/charts/colors63.xml" ContentType="application/vnd.ms-office.chartcolorstyle+xml"/>
  <Override PartName="/xl/drawings/drawing69.xml" ContentType="application/vnd.openxmlformats-officedocument.drawingml.chartshapes+xml"/>
  <Override PartName="/xl/charts/chart64.xml" ContentType="application/vnd.openxmlformats-officedocument.drawingml.chart+xml"/>
  <Override PartName="/xl/charts/style64.xml" ContentType="application/vnd.ms-office.chartstyle+xml"/>
  <Override PartName="/xl/charts/colors64.xml" ContentType="application/vnd.ms-office.chartcolorstyle+xml"/>
  <Override PartName="/xl/drawings/drawing70.xml" ContentType="application/vnd.openxmlformats-officedocument.drawingml.chartshapes+xml"/>
  <Override PartName="/xl/charts/chart65.xml" ContentType="application/vnd.openxmlformats-officedocument.drawingml.chart+xml"/>
  <Override PartName="/xl/charts/style65.xml" ContentType="application/vnd.ms-office.chartstyle+xml"/>
  <Override PartName="/xl/charts/colors65.xml" ContentType="application/vnd.ms-office.chartcolorstyle+xml"/>
  <Override PartName="/xl/drawings/drawing71.xml" ContentType="application/vnd.openxmlformats-officedocument.drawingml.chartshapes+xml"/>
  <Override PartName="/xl/charts/chart66.xml" ContentType="application/vnd.openxmlformats-officedocument.drawingml.chart+xml"/>
  <Override PartName="/xl/charts/style66.xml" ContentType="application/vnd.ms-office.chartstyle+xml"/>
  <Override PartName="/xl/charts/colors66.xml" ContentType="application/vnd.ms-office.chartcolorstyle+xml"/>
  <Override PartName="/xl/drawings/drawing72.xml" ContentType="application/vnd.openxmlformats-officedocument.drawingml.chartshapes+xml"/>
  <Override PartName="/xl/charts/chart67.xml" ContentType="application/vnd.openxmlformats-officedocument.drawingml.chart+xml"/>
  <Override PartName="/xl/charts/style67.xml" ContentType="application/vnd.ms-office.chartstyle+xml"/>
  <Override PartName="/xl/charts/colors67.xml" ContentType="application/vnd.ms-office.chartcolorstyle+xml"/>
  <Override PartName="/xl/drawings/drawing73.xml" ContentType="application/vnd.openxmlformats-officedocument.drawingml.chartshapes+xml"/>
  <Override PartName="/xl/charts/chart68.xml" ContentType="application/vnd.openxmlformats-officedocument.drawingml.chart+xml"/>
  <Override PartName="/xl/charts/style68.xml" ContentType="application/vnd.ms-office.chartstyle+xml"/>
  <Override PartName="/xl/charts/colors68.xml" ContentType="application/vnd.ms-office.chartcolorstyle+xml"/>
  <Override PartName="/xl/drawings/drawing74.xml" ContentType="application/vnd.openxmlformats-officedocument.drawingml.chartshapes+xml"/>
  <Override PartName="/xl/charts/chart69.xml" ContentType="application/vnd.openxmlformats-officedocument.drawingml.chart+xml"/>
  <Override PartName="/xl/charts/style69.xml" ContentType="application/vnd.ms-office.chartstyle+xml"/>
  <Override PartName="/xl/charts/colors69.xml" ContentType="application/vnd.ms-office.chartcolorstyle+xml"/>
  <Override PartName="/xl/drawings/drawing75.xml" ContentType="application/vnd.openxmlformats-officedocument.drawingml.chartshapes+xml"/>
  <Override PartName="/xl/charts/chart70.xml" ContentType="application/vnd.openxmlformats-officedocument.drawingml.chart+xml"/>
  <Override PartName="/xl/charts/style70.xml" ContentType="application/vnd.ms-office.chartstyle+xml"/>
  <Override PartName="/xl/charts/colors70.xml" ContentType="application/vnd.ms-office.chartcolorstyle+xml"/>
  <Override PartName="/xl/drawings/drawing76.xml" ContentType="application/vnd.openxmlformats-officedocument.drawingml.chartshapes+xml"/>
  <Override PartName="/xl/charts/chart71.xml" ContentType="application/vnd.openxmlformats-officedocument.drawingml.chart+xml"/>
  <Override PartName="/xl/charts/style71.xml" ContentType="application/vnd.ms-office.chartstyle+xml"/>
  <Override PartName="/xl/charts/colors71.xml" ContentType="application/vnd.ms-office.chartcolorstyle+xml"/>
  <Override PartName="/xl/drawings/drawing77.xml" ContentType="application/vnd.openxmlformats-officedocument.drawingml.chartshapes+xml"/>
  <Override PartName="/xl/charts/chart72.xml" ContentType="application/vnd.openxmlformats-officedocument.drawingml.chart+xml"/>
  <Override PartName="/xl/charts/style72.xml" ContentType="application/vnd.ms-office.chartstyle+xml"/>
  <Override PartName="/xl/charts/colors72.xml" ContentType="application/vnd.ms-office.chartcolorstyle+xml"/>
  <Override PartName="/xl/drawings/drawing78.xml" ContentType="application/vnd.openxmlformats-officedocument.drawingml.chartshapes+xml"/>
  <Override PartName="/xl/charts/chart73.xml" ContentType="application/vnd.openxmlformats-officedocument.drawingml.chart+xml"/>
  <Override PartName="/xl/charts/style73.xml" ContentType="application/vnd.ms-office.chartstyle+xml"/>
  <Override PartName="/xl/charts/colors73.xml" ContentType="application/vnd.ms-office.chartcolorstyle+xml"/>
  <Override PartName="/xl/drawings/drawing79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D\Documents\DISSERTATION STUDY\SHEETS\"/>
    </mc:Choice>
  </mc:AlternateContent>
  <bookViews>
    <workbookView xWindow="0" yWindow="0" windowWidth="20490" windowHeight="7755" firstSheet="5" activeTab="6"/>
  </bookViews>
  <sheets>
    <sheet name="PHASE1" sheetId="6" r:id="rId1"/>
    <sheet name="PHASE1.0" sheetId="7" r:id="rId2"/>
    <sheet name="1) Meyerhof &amp; Adams " sheetId="1" r:id="rId3"/>
    <sheet name="2) Balla's Theory" sheetId="2" r:id="rId4"/>
    <sheet name=" 3) Downs and Chieurzzi" sheetId="3" r:id="rId5"/>
    <sheet name="4)Veesaert &amp; Clemence's Theory " sheetId="4" r:id="rId6"/>
    <sheet name="5) Saeedy's Theory " sheetId="5" r:id="rId7"/>
    <sheet name="Sheet2" sheetId="8" r:id="rId8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Z19" i="4" l="1"/>
  <c r="J31" i="5"/>
  <c r="K48" i="2"/>
  <c r="J32" i="5" l="1"/>
  <c r="J33" i="5"/>
  <c r="J34" i="5"/>
  <c r="J35" i="5"/>
  <c r="J36" i="5"/>
  <c r="J37" i="5"/>
  <c r="J38" i="5"/>
  <c r="J39" i="5"/>
  <c r="J40" i="5"/>
  <c r="J41" i="5"/>
  <c r="J42" i="5"/>
  <c r="J36" i="4"/>
  <c r="J37" i="4"/>
  <c r="J38" i="4"/>
  <c r="J39" i="4"/>
  <c r="J40" i="4"/>
  <c r="J41" i="4"/>
  <c r="J42" i="4"/>
  <c r="J43" i="4"/>
  <c r="J44" i="4"/>
  <c r="J45" i="4"/>
  <c r="J46" i="4"/>
  <c r="J35" i="4"/>
  <c r="J31" i="3"/>
  <c r="J32" i="3"/>
  <c r="J33" i="3"/>
  <c r="J34" i="3"/>
  <c r="J35" i="3"/>
  <c r="J36" i="3"/>
  <c r="J37" i="3"/>
  <c r="J38" i="3"/>
  <c r="J39" i="3"/>
  <c r="J40" i="3"/>
  <c r="J41" i="3"/>
  <c r="J30" i="3"/>
  <c r="K38" i="2"/>
  <c r="K39" i="2"/>
  <c r="K40" i="2"/>
  <c r="K41" i="2"/>
  <c r="K42" i="2"/>
  <c r="K43" i="2"/>
  <c r="K44" i="2"/>
  <c r="K45" i="2"/>
  <c r="K46" i="2"/>
  <c r="K47" i="2"/>
  <c r="K37" i="2"/>
  <c r="V21" i="2"/>
  <c r="J34" i="1"/>
  <c r="J35" i="1"/>
  <c r="J36" i="1"/>
  <c r="J37" i="1"/>
  <c r="J38" i="1"/>
  <c r="J39" i="1"/>
  <c r="J40" i="1"/>
  <c r="J41" i="1"/>
  <c r="J42" i="1"/>
  <c r="J43" i="1"/>
  <c r="J44" i="1"/>
  <c r="V18" i="1"/>
  <c r="J33" i="1"/>
  <c r="V15" i="5" l="1"/>
  <c r="T15" i="5" s="1"/>
  <c r="X19" i="4"/>
  <c r="R14" i="3"/>
  <c r="M21" i="2" l="1"/>
  <c r="R21" i="2"/>
  <c r="P21" i="2" s="1"/>
  <c r="M22" i="2"/>
  <c r="R22" i="2"/>
  <c r="P22" i="2" s="1"/>
  <c r="M23" i="2"/>
  <c r="P23" i="2"/>
  <c r="R23" i="2"/>
  <c r="M24" i="2"/>
  <c r="R24" i="2"/>
  <c r="P24" i="2" s="1"/>
  <c r="M25" i="2"/>
  <c r="R25" i="2"/>
  <c r="P25" i="2" s="1"/>
  <c r="M26" i="2"/>
  <c r="R26" i="2"/>
  <c r="P26" i="2" s="1"/>
  <c r="M27" i="2"/>
  <c r="P27" i="2"/>
  <c r="R27" i="2"/>
  <c r="M28" i="2"/>
  <c r="R28" i="2"/>
  <c r="P28" i="2" s="1"/>
  <c r="M29" i="2"/>
  <c r="R29" i="2"/>
  <c r="P29" i="2" s="1"/>
  <c r="M30" i="2"/>
  <c r="R30" i="2"/>
  <c r="P30" i="2" s="1"/>
  <c r="M31" i="2"/>
  <c r="P31" i="2"/>
  <c r="R31" i="2"/>
  <c r="M32" i="2"/>
  <c r="R32" i="2"/>
  <c r="P32" i="2" s="1"/>
  <c r="T18" i="1" l="1"/>
  <c r="T19" i="1"/>
  <c r="T20" i="1"/>
  <c r="T21" i="1"/>
  <c r="T22" i="1"/>
  <c r="T23" i="1"/>
  <c r="T24" i="1"/>
  <c r="T25" i="1"/>
  <c r="T26" i="1"/>
  <c r="T27" i="1"/>
  <c r="T28" i="1"/>
  <c r="AD20" i="4"/>
  <c r="AD21" i="4"/>
  <c r="AD22" i="4"/>
  <c r="AD23" i="4"/>
  <c r="AD24" i="4"/>
  <c r="AD25" i="4"/>
  <c r="AD26" i="4"/>
  <c r="AD27" i="4"/>
  <c r="AD28" i="4"/>
  <c r="AD29" i="4"/>
  <c r="AD30" i="4"/>
  <c r="AD19" i="4"/>
  <c r="V15" i="3"/>
  <c r="V16" i="3"/>
  <c r="V17" i="3"/>
  <c r="V18" i="3"/>
  <c r="V19" i="3"/>
  <c r="V20" i="3"/>
  <c r="V21" i="3"/>
  <c r="V22" i="3"/>
  <c r="V23" i="3"/>
  <c r="V24" i="3"/>
  <c r="V25" i="3"/>
  <c r="V14" i="3"/>
  <c r="I79" i="8" l="1"/>
  <c r="I80" i="8"/>
  <c r="I72" i="8"/>
  <c r="I70" i="8"/>
  <c r="X20" i="8"/>
  <c r="N103" i="8" l="1"/>
  <c r="K103" i="8"/>
  <c r="H103" i="8"/>
  <c r="N102" i="8"/>
  <c r="K102" i="8"/>
  <c r="H102" i="8"/>
  <c r="N101" i="8"/>
  <c r="K101" i="8"/>
  <c r="H101" i="8"/>
  <c r="N100" i="8"/>
  <c r="K100" i="8"/>
  <c r="H100" i="8"/>
  <c r="N99" i="8"/>
  <c r="K99" i="8"/>
  <c r="H99" i="8"/>
  <c r="N98" i="8"/>
  <c r="K98" i="8"/>
  <c r="H98" i="8"/>
  <c r="N97" i="8"/>
  <c r="K97" i="8"/>
  <c r="H97" i="8"/>
  <c r="N96" i="8"/>
  <c r="K96" i="8"/>
  <c r="H96" i="8"/>
  <c r="N95" i="8"/>
  <c r="K95" i="8"/>
  <c r="H95" i="8"/>
  <c r="N94" i="8"/>
  <c r="K94" i="8"/>
  <c r="H94" i="8"/>
  <c r="N93" i="8"/>
  <c r="K93" i="8"/>
  <c r="H93" i="8"/>
  <c r="N92" i="8"/>
  <c r="K92" i="8"/>
  <c r="H92" i="8"/>
  <c r="N80" i="8"/>
  <c r="K80" i="8"/>
  <c r="H80" i="8"/>
  <c r="N79" i="8"/>
  <c r="K79" i="8"/>
  <c r="H79" i="8"/>
  <c r="N78" i="8"/>
  <c r="K78" i="8"/>
  <c r="H78" i="8"/>
  <c r="N77" i="8"/>
  <c r="K77" i="8"/>
  <c r="H77" i="8"/>
  <c r="N76" i="8"/>
  <c r="K76" i="8"/>
  <c r="H76" i="8"/>
  <c r="N75" i="8"/>
  <c r="K75" i="8"/>
  <c r="H75" i="8"/>
  <c r="N74" i="8"/>
  <c r="K74" i="8"/>
  <c r="H74" i="8"/>
  <c r="N73" i="8"/>
  <c r="K73" i="8"/>
  <c r="H73" i="8"/>
  <c r="N72" i="8"/>
  <c r="K72" i="8"/>
  <c r="H72" i="8"/>
  <c r="N71" i="8"/>
  <c r="K71" i="8"/>
  <c r="H71" i="8"/>
  <c r="N70" i="8"/>
  <c r="K70" i="8"/>
  <c r="H70" i="8"/>
  <c r="N69" i="8"/>
  <c r="K69" i="8"/>
  <c r="H69" i="8"/>
  <c r="N59" i="8"/>
  <c r="K59" i="8"/>
  <c r="H59" i="8"/>
  <c r="N58" i="8"/>
  <c r="K58" i="8"/>
  <c r="H58" i="8"/>
  <c r="N57" i="8"/>
  <c r="K57" i="8"/>
  <c r="H57" i="8"/>
  <c r="N56" i="8"/>
  <c r="K56" i="8"/>
  <c r="H56" i="8"/>
  <c r="N55" i="8"/>
  <c r="K55" i="8"/>
  <c r="H55" i="8"/>
  <c r="N54" i="8"/>
  <c r="K54" i="8"/>
  <c r="H54" i="8"/>
  <c r="N53" i="8"/>
  <c r="K53" i="8"/>
  <c r="H53" i="8"/>
  <c r="N52" i="8"/>
  <c r="K52" i="8"/>
  <c r="H52" i="8"/>
  <c r="N51" i="8"/>
  <c r="K51" i="8"/>
  <c r="H51" i="8"/>
  <c r="N50" i="8"/>
  <c r="K50" i="8"/>
  <c r="H50" i="8"/>
  <c r="N49" i="8"/>
  <c r="K49" i="8"/>
  <c r="H49" i="8"/>
  <c r="N48" i="8"/>
  <c r="K48" i="8"/>
  <c r="H48" i="8"/>
  <c r="N38" i="8"/>
  <c r="K38" i="8"/>
  <c r="H38" i="8"/>
  <c r="N37" i="8"/>
  <c r="K37" i="8"/>
  <c r="H37" i="8"/>
  <c r="N36" i="8"/>
  <c r="K36" i="8"/>
  <c r="H36" i="8"/>
  <c r="N35" i="8"/>
  <c r="K35" i="8"/>
  <c r="H35" i="8"/>
  <c r="N34" i="8"/>
  <c r="K34" i="8"/>
  <c r="H34" i="8"/>
  <c r="N33" i="8"/>
  <c r="K33" i="8"/>
  <c r="H33" i="8"/>
  <c r="N32" i="8"/>
  <c r="K32" i="8"/>
  <c r="H32" i="8"/>
  <c r="N31" i="8"/>
  <c r="K31" i="8"/>
  <c r="H31" i="8"/>
  <c r="N30" i="8"/>
  <c r="K30" i="8"/>
  <c r="H30" i="8"/>
  <c r="N29" i="8"/>
  <c r="K29" i="8"/>
  <c r="H29" i="8"/>
  <c r="N28" i="8"/>
  <c r="K28" i="8"/>
  <c r="H28" i="8"/>
  <c r="N27" i="8"/>
  <c r="K27" i="8"/>
  <c r="H27" i="8"/>
  <c r="K16" i="8" l="1"/>
  <c r="K17" i="8"/>
  <c r="K15" i="8"/>
  <c r="K14" i="8"/>
  <c r="K13" i="8"/>
  <c r="K12" i="8"/>
  <c r="K10" i="8"/>
  <c r="K11" i="8"/>
  <c r="K9" i="8"/>
  <c r="K6" i="8"/>
  <c r="K8" i="8"/>
  <c r="K7" i="8"/>
  <c r="P18" i="1"/>
  <c r="P19" i="1"/>
  <c r="P20" i="1"/>
  <c r="P21" i="1"/>
  <c r="P22" i="1"/>
  <c r="P23" i="1"/>
  <c r="P24" i="1"/>
  <c r="P25" i="1"/>
  <c r="P26" i="1"/>
  <c r="P27" i="1"/>
  <c r="P28" i="1"/>
  <c r="H17" i="8"/>
  <c r="H16" i="8"/>
  <c r="H15" i="8"/>
  <c r="H14" i="8"/>
  <c r="H13" i="8"/>
  <c r="H11" i="8"/>
  <c r="H10" i="8"/>
  <c r="H7" i="8"/>
  <c r="H8" i="8"/>
  <c r="H9" i="8"/>
  <c r="H12" i="8"/>
  <c r="H6" i="8"/>
  <c r="N17" i="8"/>
  <c r="N16" i="8"/>
  <c r="N15" i="8"/>
  <c r="N14" i="8"/>
  <c r="N13" i="8"/>
  <c r="N12" i="8"/>
  <c r="N11" i="8"/>
  <c r="N10" i="8"/>
  <c r="N9" i="8"/>
  <c r="N8" i="8"/>
  <c r="N7" i="8"/>
  <c r="N6" i="8"/>
  <c r="T32" i="2" l="1"/>
  <c r="T31" i="2"/>
  <c r="T30" i="2"/>
  <c r="T29" i="2"/>
  <c r="T28" i="2"/>
  <c r="T27" i="2"/>
  <c r="T26" i="2"/>
  <c r="T25" i="2"/>
  <c r="T24" i="2"/>
  <c r="T23" i="2"/>
  <c r="T22" i="2"/>
  <c r="T21" i="2"/>
  <c r="G48" i="2"/>
  <c r="G47" i="2"/>
  <c r="G46" i="2"/>
  <c r="G45" i="2"/>
  <c r="G44" i="2"/>
  <c r="G43" i="2"/>
  <c r="G42" i="2"/>
  <c r="G41" i="2"/>
  <c r="G40" i="2"/>
  <c r="G39" i="2"/>
  <c r="G38" i="2"/>
  <c r="G37" i="2"/>
  <c r="V29" i="2" l="1"/>
  <c r="V25" i="2"/>
  <c r="V28" i="2"/>
  <c r="V31" i="2"/>
  <c r="V27" i="2"/>
  <c r="V23" i="2"/>
  <c r="V32" i="2"/>
  <c r="V24" i="2"/>
  <c r="V30" i="2"/>
  <c r="V26" i="2"/>
  <c r="V22" i="2"/>
  <c r="G46" i="4"/>
  <c r="G45" i="4"/>
  <c r="G44" i="4"/>
  <c r="G43" i="4"/>
  <c r="G42" i="4"/>
  <c r="G41" i="4"/>
  <c r="G40" i="4"/>
  <c r="G39" i="4"/>
  <c r="G38" i="4"/>
  <c r="G37" i="4"/>
  <c r="G36" i="4"/>
  <c r="G35" i="4"/>
  <c r="Z20" i="4"/>
  <c r="Z21" i="4"/>
  <c r="Z22" i="4"/>
  <c r="X22" i="4" s="1"/>
  <c r="Z23" i="4"/>
  <c r="X23" i="4" s="1"/>
  <c r="Z24" i="4"/>
  <c r="Z25" i="4"/>
  <c r="Z26" i="4"/>
  <c r="X26" i="4" s="1"/>
  <c r="Z27" i="4"/>
  <c r="X27" i="4" s="1"/>
  <c r="Z28" i="4"/>
  <c r="Z29" i="4"/>
  <c r="Z30" i="4"/>
  <c r="X30" i="4" s="1"/>
  <c r="Q20" i="4"/>
  <c r="Q21" i="4"/>
  <c r="Q22" i="4"/>
  <c r="Q23" i="4"/>
  <c r="Q24" i="4"/>
  <c r="Q25" i="4"/>
  <c r="Q26" i="4"/>
  <c r="Q27" i="4"/>
  <c r="Q28" i="4"/>
  <c r="Q29" i="4"/>
  <c r="Q30" i="4"/>
  <c r="Q19" i="4"/>
  <c r="O20" i="4"/>
  <c r="O21" i="4"/>
  <c r="O22" i="4"/>
  <c r="O23" i="4"/>
  <c r="O24" i="4"/>
  <c r="O25" i="4"/>
  <c r="O26" i="4"/>
  <c r="O27" i="4"/>
  <c r="O28" i="4"/>
  <c r="O29" i="4"/>
  <c r="O30" i="4"/>
  <c r="O19" i="4"/>
  <c r="M20" i="4"/>
  <c r="M21" i="4"/>
  <c r="M22" i="4"/>
  <c r="M23" i="4"/>
  <c r="M24" i="4"/>
  <c r="M25" i="4"/>
  <c r="M26" i="4"/>
  <c r="M27" i="4"/>
  <c r="M28" i="4"/>
  <c r="M29" i="4"/>
  <c r="M30" i="4"/>
  <c r="M19" i="4"/>
  <c r="K20" i="4"/>
  <c r="K21" i="4"/>
  <c r="K22" i="4"/>
  <c r="K23" i="4"/>
  <c r="K24" i="4"/>
  <c r="K25" i="4"/>
  <c r="K26" i="4"/>
  <c r="K27" i="4"/>
  <c r="K28" i="4"/>
  <c r="K29" i="4"/>
  <c r="K30" i="4"/>
  <c r="K19" i="4"/>
  <c r="AB30" i="4"/>
  <c r="U30" i="4"/>
  <c r="AB29" i="4"/>
  <c r="X29" i="4"/>
  <c r="U29" i="4"/>
  <c r="AB28" i="4"/>
  <c r="X28" i="4"/>
  <c r="U28" i="4"/>
  <c r="AB27" i="4"/>
  <c r="U27" i="4"/>
  <c r="AB26" i="4"/>
  <c r="U26" i="4"/>
  <c r="AB25" i="4"/>
  <c r="X25" i="4"/>
  <c r="U25" i="4"/>
  <c r="AB24" i="4"/>
  <c r="X24" i="4"/>
  <c r="U24" i="4"/>
  <c r="AB23" i="4"/>
  <c r="U23" i="4"/>
  <c r="AB22" i="4"/>
  <c r="U22" i="4"/>
  <c r="AB21" i="4"/>
  <c r="X21" i="4"/>
  <c r="U21" i="4"/>
  <c r="AB20" i="4"/>
  <c r="X20" i="4"/>
  <c r="U20" i="4"/>
  <c r="AB19" i="4"/>
  <c r="U19" i="4"/>
  <c r="G42" i="5" l="1"/>
  <c r="G41" i="5"/>
  <c r="G40" i="5"/>
  <c r="G39" i="5"/>
  <c r="G38" i="5"/>
  <c r="G37" i="5"/>
  <c r="G36" i="5"/>
  <c r="G35" i="5"/>
  <c r="G34" i="5"/>
  <c r="G33" i="5"/>
  <c r="G32" i="5"/>
  <c r="G31" i="5"/>
  <c r="T26" i="5"/>
  <c r="V25" i="5"/>
  <c r="Z25" i="5" s="1"/>
  <c r="V16" i="5"/>
  <c r="V17" i="5"/>
  <c r="Z17" i="5" s="1"/>
  <c r="V18" i="5"/>
  <c r="V19" i="5"/>
  <c r="Z19" i="5" s="1"/>
  <c r="V20" i="5"/>
  <c r="V21" i="5"/>
  <c r="Z21" i="5" s="1"/>
  <c r="V22" i="5"/>
  <c r="V23" i="5"/>
  <c r="Z23" i="5" s="1"/>
  <c r="V24" i="5"/>
  <c r="V26" i="5"/>
  <c r="P17" i="5"/>
  <c r="P18" i="5"/>
  <c r="P19" i="5"/>
  <c r="P20" i="5"/>
  <c r="P21" i="5"/>
  <c r="P22" i="5"/>
  <c r="P23" i="5"/>
  <c r="P24" i="5"/>
  <c r="P25" i="5"/>
  <c r="P26" i="5"/>
  <c r="P16" i="5"/>
  <c r="P15" i="5"/>
  <c r="X26" i="5"/>
  <c r="M26" i="5"/>
  <c r="X25" i="5"/>
  <c r="M25" i="5"/>
  <c r="X24" i="5"/>
  <c r="M24" i="5"/>
  <c r="X23" i="5"/>
  <c r="M23" i="5"/>
  <c r="X22" i="5"/>
  <c r="M22" i="5"/>
  <c r="X21" i="5"/>
  <c r="M21" i="5"/>
  <c r="X20" i="5"/>
  <c r="M20" i="5"/>
  <c r="X19" i="5"/>
  <c r="M19" i="5"/>
  <c r="X18" i="5"/>
  <c r="M18" i="5"/>
  <c r="X17" i="5"/>
  <c r="M17" i="5"/>
  <c r="X16" i="5"/>
  <c r="M16" i="5"/>
  <c r="X15" i="5"/>
  <c r="Z15" i="5" s="1"/>
  <c r="M15" i="5"/>
  <c r="G41" i="3"/>
  <c r="G40" i="3"/>
  <c r="G39" i="3"/>
  <c r="G38" i="3"/>
  <c r="G37" i="3"/>
  <c r="G36" i="3"/>
  <c r="G35" i="3"/>
  <c r="G34" i="3"/>
  <c r="G33" i="3"/>
  <c r="G32" i="3"/>
  <c r="G31" i="3"/>
  <c r="G30" i="3"/>
  <c r="T15" i="3"/>
  <c r="T16" i="3"/>
  <c r="T17" i="3"/>
  <c r="T18" i="3"/>
  <c r="T19" i="3"/>
  <c r="T20" i="3"/>
  <c r="T21" i="3"/>
  <c r="T22" i="3"/>
  <c r="T23" i="3"/>
  <c r="T24" i="3"/>
  <c r="P15" i="3"/>
  <c r="P14" i="3"/>
  <c r="T23" i="5" l="1"/>
  <c r="T19" i="5"/>
  <c r="Z18" i="5"/>
  <c r="T18" i="5"/>
  <c r="Z22" i="5"/>
  <c r="T22" i="5"/>
  <c r="Z26" i="5"/>
  <c r="T25" i="5"/>
  <c r="T21" i="5"/>
  <c r="T17" i="5"/>
  <c r="Z24" i="5"/>
  <c r="Z20" i="5"/>
  <c r="Z16" i="5"/>
  <c r="T24" i="5"/>
  <c r="T20" i="5"/>
  <c r="T16" i="5"/>
  <c r="R15" i="3"/>
  <c r="R16" i="3"/>
  <c r="P16" i="3" s="1"/>
  <c r="R17" i="3"/>
  <c r="P17" i="3" s="1"/>
  <c r="R18" i="3"/>
  <c r="P18" i="3" s="1"/>
  <c r="R19" i="3"/>
  <c r="P19" i="3" s="1"/>
  <c r="R20" i="3"/>
  <c r="P20" i="3" s="1"/>
  <c r="R21" i="3"/>
  <c r="P21" i="3" s="1"/>
  <c r="R22" i="3"/>
  <c r="P22" i="3" s="1"/>
  <c r="R23" i="3"/>
  <c r="P23" i="3" s="1"/>
  <c r="R24" i="3"/>
  <c r="P24" i="3" s="1"/>
  <c r="R25" i="3"/>
  <c r="P25" i="3" s="1"/>
  <c r="T25" i="3"/>
  <c r="M25" i="3"/>
  <c r="M24" i="3"/>
  <c r="M23" i="3"/>
  <c r="M22" i="3"/>
  <c r="M21" i="3"/>
  <c r="M20" i="3"/>
  <c r="M19" i="3"/>
  <c r="M18" i="3"/>
  <c r="M17" i="3"/>
  <c r="M16" i="3"/>
  <c r="M15" i="3"/>
  <c r="T14" i="3"/>
  <c r="M14" i="3"/>
  <c r="T17" i="1"/>
  <c r="G44" i="1"/>
  <c r="G43" i="1"/>
  <c r="G42" i="1"/>
  <c r="G41" i="1"/>
  <c r="G40" i="1"/>
  <c r="G39" i="1"/>
  <c r="G38" i="1"/>
  <c r="G37" i="1"/>
  <c r="G36" i="1"/>
  <c r="G35" i="1"/>
  <c r="G34" i="1"/>
  <c r="G33" i="1"/>
  <c r="R24" i="1" l="1"/>
  <c r="V24" i="1" s="1"/>
  <c r="R25" i="1"/>
  <c r="V25" i="1" s="1"/>
  <c r="R26" i="1"/>
  <c r="V26" i="1" s="1"/>
  <c r="R27" i="1"/>
  <c r="V27" i="1" s="1"/>
  <c r="R28" i="1"/>
  <c r="V28" i="1" s="1"/>
  <c r="R23" i="1"/>
  <c r="V23" i="1" s="1"/>
  <c r="R22" i="1"/>
  <c r="V22" i="1" s="1"/>
  <c r="R21" i="1"/>
  <c r="V21" i="1" s="1"/>
  <c r="R20" i="1"/>
  <c r="V20" i="1" s="1"/>
  <c r="R18" i="1"/>
  <c r="R19" i="1"/>
  <c r="V19" i="1" s="1"/>
  <c r="P17" i="1"/>
  <c r="R17" i="1" s="1"/>
  <c r="V17" i="1" s="1"/>
  <c r="M28" i="1"/>
  <c r="M27" i="1"/>
  <c r="M26" i="1"/>
  <c r="M25" i="1"/>
  <c r="M24" i="1"/>
  <c r="M23" i="1"/>
  <c r="M22" i="1"/>
  <c r="M21" i="1"/>
  <c r="M20" i="1"/>
  <c r="M19" i="1"/>
  <c r="M18" i="1"/>
  <c r="M17" i="1"/>
  <c r="P7" i="7" l="1"/>
  <c r="P8" i="7"/>
  <c r="P9" i="7"/>
  <c r="P6" i="7"/>
  <c r="N7" i="7"/>
  <c r="N8" i="7"/>
  <c r="N9" i="7"/>
  <c r="N6" i="7"/>
  <c r="L7" i="7"/>
  <c r="L8" i="7"/>
  <c r="L9" i="7"/>
  <c r="L6" i="7"/>
  <c r="T7" i="7"/>
  <c r="T8" i="7"/>
  <c r="T9" i="7"/>
  <c r="T6" i="7"/>
  <c r="R7" i="7"/>
  <c r="R8" i="7"/>
  <c r="R9" i="7"/>
  <c r="R6" i="7"/>
  <c r="I7" i="7" l="1"/>
  <c r="I9" i="7"/>
  <c r="I8" i="7"/>
  <c r="I6" i="7"/>
  <c r="U7" i="6"/>
  <c r="U8" i="6"/>
  <c r="U9" i="6"/>
  <c r="U6" i="6"/>
  <c r="S7" i="6"/>
  <c r="S8" i="6"/>
  <c r="S9" i="6"/>
  <c r="S6" i="6"/>
  <c r="Q7" i="6"/>
  <c r="Q8" i="6"/>
  <c r="Q9" i="6"/>
  <c r="Q6" i="6"/>
  <c r="M6" i="6"/>
  <c r="O6" i="6"/>
  <c r="O7" i="6"/>
  <c r="O8" i="6"/>
  <c r="O9" i="6"/>
  <c r="M7" i="6"/>
  <c r="M8" i="6"/>
  <c r="M9" i="6"/>
  <c r="J9" i="6" l="1"/>
  <c r="J8" i="6"/>
  <c r="J7" i="6"/>
  <c r="J6" i="6"/>
  <c r="H12" i="4" l="1"/>
  <c r="I12" i="4" s="1"/>
  <c r="H13" i="4"/>
  <c r="I13" i="4" s="1"/>
  <c r="H14" i="4"/>
  <c r="I14" i="4" s="1"/>
  <c r="H11" i="4"/>
  <c r="I11" i="4" s="1"/>
  <c r="K12" i="4"/>
  <c r="K13" i="4"/>
  <c r="K14" i="4"/>
  <c r="K11" i="4"/>
  <c r="J12" i="4"/>
  <c r="J13" i="4"/>
  <c r="J14" i="4"/>
  <c r="J11" i="4"/>
  <c r="M14" i="4"/>
  <c r="M13" i="4"/>
  <c r="M12" i="4"/>
  <c r="M11" i="4"/>
  <c r="O11" i="4" l="1"/>
  <c r="N11" i="4" s="1"/>
  <c r="O14" i="4"/>
  <c r="N14" i="4" s="1"/>
  <c r="O13" i="4"/>
  <c r="N13" i="4" s="1"/>
  <c r="O12" i="4"/>
  <c r="N12" i="4" s="1"/>
</calcChain>
</file>

<file path=xl/sharedStrings.xml><?xml version="1.0" encoding="utf-8"?>
<sst xmlns="http://schemas.openxmlformats.org/spreadsheetml/2006/main" count="348" uniqueCount="80">
  <si>
    <t>%Rd</t>
  </si>
  <si>
    <t>Φ</t>
  </si>
  <si>
    <t>Ƴ(kN/m3)</t>
  </si>
  <si>
    <t>Dry Density,
 Ƴ kN/m3</t>
  </si>
  <si>
    <t>Frictional 
Angle, Φ
(deg)</t>
  </si>
  <si>
    <t>Embedment Depth, H
(m)</t>
  </si>
  <si>
    <t>Type of Anchor
S/D</t>
  </si>
  <si>
    <t>S</t>
  </si>
  <si>
    <t>m</t>
  </si>
  <si>
    <t>Ku</t>
  </si>
  <si>
    <t>Axisymmetric Anchor Plate size, D
(m)</t>
  </si>
  <si>
    <t>Sr. No.</t>
  </si>
  <si>
    <t>Embedment Ratio, (H/D)</t>
  </si>
  <si>
    <t>Relative Density, Dr %</t>
  </si>
  <si>
    <t>Break out Factor, Nq</t>
  </si>
  <si>
    <r>
      <t>Q</t>
    </r>
    <r>
      <rPr>
        <vertAlign val="subscript"/>
        <sz val="12"/>
        <color theme="1"/>
        <rFont val="Times New Roman"/>
        <family val="1"/>
      </rPr>
      <t>u</t>
    </r>
    <r>
      <rPr>
        <sz val="12"/>
        <color theme="1"/>
        <rFont val="Times New Roman"/>
        <family val="1"/>
      </rPr>
      <t xml:space="preserve"> =</t>
    </r>
  </si>
  <si>
    <t>Functions, [F1, F3]</t>
  </si>
  <si>
    <t>Experimental Uplift Load, (KN)</t>
  </si>
  <si>
    <t xml:space="preserve"> Cos^2(Φ/2)</t>
  </si>
  <si>
    <t xml:space="preserve">1. Meyerhof &amp; Adams </t>
  </si>
  <si>
    <t>2. Balla's Theory</t>
  </si>
  <si>
    <t>3. Downs and Chieurzzi</t>
  </si>
  <si>
    <t>4. Veesaert and Clemence's Theory</t>
  </si>
  <si>
    <t>Analytical Uplift Load, (KN)</t>
  </si>
  <si>
    <t>tan(Φ/2)</t>
  </si>
  <si>
    <t>tan^2(Φ/2)</t>
  </si>
  <si>
    <t>tanΦ</t>
  </si>
  <si>
    <t xml:space="preserve">5. Saeedy's Theory </t>
  </si>
  <si>
    <t>Analytical Qu by Meyerhof &amp; Adams</t>
  </si>
  <si>
    <t>Analytical Qu by Balla's Theory</t>
  </si>
  <si>
    <t>Analytical Qu by Downs And Cheiurzzi</t>
  </si>
  <si>
    <t>Analytical Qu by Veesaert and Clemence's Theory</t>
  </si>
  <si>
    <t>Analytical Qu by Saeedy's Theory</t>
  </si>
  <si>
    <t>COMPARISION OF ANALYTICAL AND EXPERIMENTAL UPLIFT LOAD</t>
  </si>
  <si>
    <t>% Difference</t>
  </si>
  <si>
    <t>µ=1.044Dr+0.44</t>
  </si>
  <si>
    <t>Ƴ(KN/m3)</t>
  </si>
  <si>
    <t>Analytical Qu by Meyerhof &amp; Adams, (KN)</t>
  </si>
  <si>
    <t>Analytical Qu by Balla's Theory, (KN)</t>
  </si>
  <si>
    <t>Analytical Qu by Downs And Cheiurzzi, (KN)</t>
  </si>
  <si>
    <t>Analytical Qu by Veesaert and Clemence's Theory, (KN)</t>
  </si>
  <si>
    <t>Analytical Qu by Saeedy's Theory, (KN)</t>
  </si>
  <si>
    <t>SR. NO.</t>
  </si>
  <si>
    <t>Relative 
Density
% Rd</t>
  </si>
  <si>
    <t>Embedment
 Depth, H
(m)</t>
  </si>
  <si>
    <t>Analytical
Result
(KN)</t>
  </si>
  <si>
    <t>Experimental
Result
(KN)</t>
  </si>
  <si>
    <t>Qu Analytical (kN)</t>
  </si>
  <si>
    <t>Qu Experimental (kN)</t>
  </si>
  <si>
    <t>Embedment Depth(m)</t>
  </si>
  <si>
    <t>RelativeDensity(%)</t>
  </si>
  <si>
    <t>Embedment Ratio, H/D</t>
  </si>
  <si>
    <t>Plate Size, D 
(m2)</t>
  </si>
  <si>
    <t>Fq</t>
  </si>
  <si>
    <t>H/h</t>
  </si>
  <si>
    <t>φ</t>
  </si>
  <si>
    <r>
      <t>46.45</t>
    </r>
    <r>
      <rPr>
        <sz val="11"/>
        <color theme="1"/>
        <rFont val="Calibri"/>
        <family val="2"/>
      </rPr>
      <t>°</t>
    </r>
  </si>
  <si>
    <t>41.28°</t>
  </si>
  <si>
    <t>SR NO.</t>
  </si>
  <si>
    <t>Nq</t>
  </si>
  <si>
    <t>ANALYTICAL</t>
  </si>
  <si>
    <t>EXPERIMENTAL</t>
  </si>
  <si>
    <t>2. EXPERIMENTAL VS BALLA'S</t>
  </si>
  <si>
    <t>1. EXPERIMENTAL VS MEYERHOF &amp; ADAMS</t>
  </si>
  <si>
    <t>3. EXPERIMENTAL VS DOWNS AND CHEIURZZI</t>
  </si>
  <si>
    <t>4. EXPERIMENTAL VS Veesaert &amp; Clemence's</t>
  </si>
  <si>
    <t>5. EXPERIMENTAL VS SAEEDY'S THEORY</t>
  </si>
  <si>
    <t>% Change</t>
  </si>
  <si>
    <t>Frictional 
Angle, Φ
(degree)</t>
  </si>
  <si>
    <t>Embedment Depth, H (m)</t>
  </si>
  <si>
    <t>H/D</t>
  </si>
  <si>
    <t>% Dr</t>
  </si>
  <si>
    <t>STRAIN</t>
  </si>
  <si>
    <t>PLATE SIZE, D (m)</t>
  </si>
  <si>
    <t>EMBEDMENT DEPTH
H, (m)</t>
  </si>
  <si>
    <t>Qu, (kN)</t>
  </si>
  <si>
    <r>
      <t>Ƴ, (kN/m</t>
    </r>
    <r>
      <rPr>
        <vertAlign val="superscript"/>
        <sz val="12"/>
        <color theme="1"/>
        <rFont val="Calibri"/>
        <family val="2"/>
        <scheme val="minor"/>
      </rPr>
      <t>3</t>
    </r>
    <r>
      <rPr>
        <sz val="12"/>
        <color theme="1"/>
        <rFont val="Calibri"/>
        <family val="2"/>
        <scheme val="minor"/>
      </rPr>
      <t>)</t>
    </r>
  </si>
  <si>
    <r>
      <t xml:space="preserve">Φ, </t>
    </r>
    <r>
      <rPr>
        <sz val="12"/>
        <color theme="1"/>
        <rFont val="Arial"/>
        <family val="2"/>
      </rPr>
      <t>°</t>
    </r>
  </si>
  <si>
    <t>CORRESPONDING 
DISPLACEMENT, (cm)</t>
  </si>
  <si>
    <t>Strain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</si>
</sst>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rgb="FF2F75B5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vertAlign val="subscript"/>
      <sz val="12"/>
      <color theme="1"/>
      <name val="Times New Roman"/>
      <family val="1"/>
    </font>
    <font>
      <b/>
      <sz val="20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vertAlign val="superscript"/>
      <sz val="12"/>
      <color theme="1"/>
      <name val="Calibri"/>
      <family val="2"/>
      <scheme val="minor"/>
    </font>
    <font>
      <sz val="12"/>
      <color theme="1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11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theme="1"/>
      </top>
      <bottom/>
      <diagonal/>
    </border>
    <border>
      <left/>
      <right style="medium">
        <color theme="1"/>
      </right>
      <top style="medium">
        <color indexed="64"/>
      </top>
      <bottom style="medium">
        <color indexed="64"/>
      </bottom>
      <diagonal/>
    </border>
    <border>
      <left/>
      <right style="medium">
        <color theme="1"/>
      </right>
      <top style="medium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 style="medium">
        <color indexed="64"/>
      </top>
      <bottom style="medium">
        <color indexed="64"/>
      </bottom>
      <diagonal/>
    </border>
    <border>
      <left style="medium">
        <color theme="1"/>
      </left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thin">
        <color indexed="64"/>
      </top>
      <bottom style="medium">
        <color theme="1"/>
      </bottom>
      <diagonal/>
    </border>
    <border>
      <left style="medium">
        <color theme="1"/>
      </left>
      <right style="medium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theme="1"/>
      </left>
      <right style="medium">
        <color indexed="64"/>
      </right>
      <top style="medium">
        <color indexed="64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theme="1"/>
      </left>
      <right style="medium">
        <color indexed="64"/>
      </right>
      <top style="thin">
        <color theme="1"/>
      </top>
      <bottom style="medium">
        <color indexed="64"/>
      </bottom>
      <diagonal/>
    </border>
    <border>
      <left/>
      <right/>
      <top style="medium">
        <color theme="1"/>
      </top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 style="thin">
        <color theme="1"/>
      </right>
      <top/>
      <bottom/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theme="1"/>
      </left>
      <right/>
      <top style="thin">
        <color theme="1"/>
      </top>
      <bottom style="thin">
        <color indexed="64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9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/>
    </xf>
    <xf numFmtId="0" fontId="5" fillId="4" borderId="20" xfId="0" applyFont="1" applyFill="1" applyBorder="1" applyAlignment="1">
      <alignment horizontal="center"/>
    </xf>
    <xf numFmtId="2" fontId="5" fillId="4" borderId="21" xfId="0" applyNumberFormat="1" applyFont="1" applyFill="1" applyBorder="1" applyAlignment="1">
      <alignment horizontal="center"/>
    </xf>
    <xf numFmtId="0" fontId="4" fillId="5" borderId="14" xfId="0" applyFont="1" applyFill="1" applyBorder="1" applyAlignment="1">
      <alignment horizontal="center"/>
    </xf>
    <xf numFmtId="0" fontId="5" fillId="4" borderId="22" xfId="0" applyFont="1" applyFill="1" applyBorder="1" applyAlignment="1">
      <alignment horizontal="center"/>
    </xf>
    <xf numFmtId="0" fontId="4" fillId="5" borderId="23" xfId="0" applyFont="1" applyFill="1" applyBorder="1" applyAlignment="1">
      <alignment horizontal="center"/>
    </xf>
    <xf numFmtId="0" fontId="2" fillId="7" borderId="14" xfId="0" applyFont="1" applyFill="1" applyBorder="1" applyAlignment="1">
      <alignment horizontal="center"/>
    </xf>
    <xf numFmtId="0" fontId="6" fillId="7" borderId="15" xfId="0" applyFont="1" applyFill="1" applyBorder="1" applyAlignment="1">
      <alignment horizontal="center"/>
    </xf>
    <xf numFmtId="0" fontId="6" fillId="7" borderId="16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/>
    </xf>
    <xf numFmtId="0" fontId="5" fillId="5" borderId="2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0" fontId="3" fillId="6" borderId="7" xfId="0" applyFont="1" applyFill="1" applyBorder="1" applyAlignment="1">
      <alignment horizontal="center"/>
    </xf>
    <xf numFmtId="2" fontId="3" fillId="6" borderId="7" xfId="0" applyNumberFormat="1" applyFont="1" applyFill="1" applyBorder="1" applyAlignment="1">
      <alignment horizontal="center"/>
    </xf>
    <xf numFmtId="2" fontId="5" fillId="6" borderId="12" xfId="0" applyNumberFormat="1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2" fontId="5" fillId="6" borderId="13" xfId="0" applyNumberFormat="1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 vertical="center" wrapText="1"/>
    </xf>
    <xf numFmtId="2" fontId="5" fillId="6" borderId="26" xfId="0" applyNumberFormat="1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 vertical="center" wrapText="1"/>
    </xf>
    <xf numFmtId="0" fontId="5" fillId="6" borderId="25" xfId="0" applyFont="1" applyFill="1" applyBorder="1" applyAlignment="1">
      <alignment horizontal="center"/>
    </xf>
    <xf numFmtId="0" fontId="5" fillId="6" borderId="23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6" xfId="0" applyFont="1" applyBorder="1" applyAlignment="1">
      <alignment vertical="center"/>
    </xf>
    <xf numFmtId="0" fontId="0" fillId="0" borderId="28" xfId="0" applyBorder="1"/>
    <xf numFmtId="0" fontId="3" fillId="0" borderId="5" xfId="0" applyFont="1" applyBorder="1" applyAlignment="1">
      <alignment horizontal="left" vertical="center" indent="15"/>
    </xf>
    <xf numFmtId="0" fontId="3" fillId="0" borderId="5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0" fillId="0" borderId="29" xfId="0" applyBorder="1"/>
    <xf numFmtId="0" fontId="0" fillId="0" borderId="6" xfId="0" applyBorder="1"/>
    <xf numFmtId="0" fontId="1" fillId="0" borderId="0" xfId="0" applyFont="1" applyAlignment="1"/>
    <xf numFmtId="0" fontId="4" fillId="5" borderId="32" xfId="0" applyFont="1" applyFill="1" applyBorder="1" applyAlignment="1">
      <alignment horizontal="center"/>
    </xf>
    <xf numFmtId="0" fontId="5" fillId="4" borderId="33" xfId="0" applyFont="1" applyFill="1" applyBorder="1" applyAlignment="1">
      <alignment horizontal="center"/>
    </xf>
    <xf numFmtId="0" fontId="4" fillId="3" borderId="34" xfId="0" applyFont="1" applyFill="1" applyBorder="1" applyAlignment="1">
      <alignment horizontal="center"/>
    </xf>
    <xf numFmtId="0" fontId="4" fillId="5" borderId="35" xfId="0" applyFont="1" applyFill="1" applyBorder="1"/>
    <xf numFmtId="0" fontId="4" fillId="3" borderId="36" xfId="0" applyFont="1" applyFill="1" applyBorder="1" applyAlignment="1">
      <alignment horizontal="center"/>
    </xf>
    <xf numFmtId="0" fontId="4" fillId="5" borderId="37" xfId="0" applyFont="1" applyFill="1" applyBorder="1"/>
    <xf numFmtId="0" fontId="0" fillId="0" borderId="39" xfId="0" applyBorder="1"/>
    <xf numFmtId="2" fontId="3" fillId="6" borderId="10" xfId="0" applyNumberFormat="1" applyFont="1" applyFill="1" applyBorder="1" applyAlignment="1">
      <alignment horizontal="center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5" fillId="2" borderId="9" xfId="0" applyFont="1" applyFill="1" applyBorder="1" applyAlignment="1">
      <alignment horizontal="center" vertical="center"/>
    </xf>
    <xf numFmtId="0" fontId="6" fillId="7" borderId="24" xfId="0" applyFont="1" applyFill="1" applyBorder="1" applyAlignment="1">
      <alignment horizontal="center"/>
    </xf>
    <xf numFmtId="0" fontId="6" fillId="7" borderId="46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2" fontId="5" fillId="4" borderId="8" xfId="0" applyNumberFormat="1" applyFont="1" applyFill="1" applyBorder="1" applyAlignment="1">
      <alignment horizontal="center"/>
    </xf>
    <xf numFmtId="0" fontId="2" fillId="7" borderId="47" xfId="0" applyFont="1" applyFill="1" applyBorder="1" applyAlignment="1">
      <alignment horizontal="center"/>
    </xf>
    <xf numFmtId="0" fontId="5" fillId="2" borderId="55" xfId="0" applyFont="1" applyFill="1" applyBorder="1" applyAlignment="1">
      <alignment horizontal="center" vertical="center"/>
    </xf>
    <xf numFmtId="0" fontId="5" fillId="2" borderId="55" xfId="0" applyFont="1" applyFill="1" applyBorder="1" applyAlignment="1">
      <alignment horizontal="center" vertical="center" wrapText="1"/>
    </xf>
    <xf numFmtId="0" fontId="3" fillId="6" borderId="55" xfId="0" applyFont="1" applyFill="1" applyBorder="1" applyAlignment="1">
      <alignment horizontal="center"/>
    </xf>
    <xf numFmtId="2" fontId="3" fillId="6" borderId="55" xfId="0" applyNumberFormat="1" applyFont="1" applyFill="1" applyBorder="1" applyAlignment="1">
      <alignment horizontal="center"/>
    </xf>
    <xf numFmtId="0" fontId="5" fillId="2" borderId="56" xfId="0" applyFont="1" applyFill="1" applyBorder="1" applyAlignment="1">
      <alignment horizontal="center" vertical="center" wrapText="1"/>
    </xf>
    <xf numFmtId="2" fontId="3" fillId="6" borderId="56" xfId="0" applyNumberFormat="1" applyFont="1" applyFill="1" applyBorder="1" applyAlignment="1">
      <alignment horizontal="center"/>
    </xf>
    <xf numFmtId="0" fontId="5" fillId="2" borderId="57" xfId="0" applyFont="1" applyFill="1" applyBorder="1" applyAlignment="1">
      <alignment horizontal="center" vertical="center" wrapText="1"/>
    </xf>
    <xf numFmtId="2" fontId="5" fillId="3" borderId="58" xfId="0" applyNumberFormat="1" applyFont="1" applyFill="1" applyBorder="1" applyAlignment="1">
      <alignment horizontal="center"/>
    </xf>
    <xf numFmtId="2" fontId="5" fillId="3" borderId="59" xfId="0" applyNumberFormat="1" applyFont="1" applyFill="1" applyBorder="1" applyAlignment="1">
      <alignment horizontal="center"/>
    </xf>
    <xf numFmtId="0" fontId="5" fillId="3" borderId="58" xfId="0" applyFont="1" applyFill="1" applyBorder="1" applyAlignment="1">
      <alignment horizontal="center"/>
    </xf>
    <xf numFmtId="0" fontId="5" fillId="3" borderId="59" xfId="0" applyFont="1" applyFill="1" applyBorder="1" applyAlignment="1">
      <alignment horizontal="center"/>
    </xf>
    <xf numFmtId="0" fontId="5" fillId="8" borderId="58" xfId="0" applyFont="1" applyFill="1" applyBorder="1" applyAlignment="1">
      <alignment horizontal="center"/>
    </xf>
    <xf numFmtId="0" fontId="5" fillId="8" borderId="59" xfId="0" applyFont="1" applyFill="1" applyBorder="1" applyAlignment="1">
      <alignment horizontal="center"/>
    </xf>
    <xf numFmtId="0" fontId="3" fillId="6" borderId="55" xfId="0" applyFont="1" applyFill="1" applyBorder="1" applyAlignment="1"/>
    <xf numFmtId="0" fontId="5" fillId="2" borderId="55" xfId="0" applyFont="1" applyFill="1" applyBorder="1" applyAlignment="1">
      <alignment vertical="center" wrapText="1"/>
    </xf>
    <xf numFmtId="1" fontId="5" fillId="3" borderId="58" xfId="0" applyNumberFormat="1" applyFont="1" applyFill="1" applyBorder="1" applyAlignment="1">
      <alignment horizontal="center"/>
    </xf>
    <xf numFmtId="0" fontId="0" fillId="9" borderId="56" xfId="0" applyFill="1" applyBorder="1" applyAlignment="1">
      <alignment horizontal="center"/>
    </xf>
    <xf numFmtId="0" fontId="0" fillId="10" borderId="73" xfId="0" applyFill="1" applyBorder="1" applyAlignment="1">
      <alignment horizontal="center" vertical="center"/>
    </xf>
    <xf numFmtId="2" fontId="0" fillId="10" borderId="57" xfId="0" applyNumberFormat="1" applyFill="1" applyBorder="1" applyAlignment="1">
      <alignment horizontal="center" vertical="center"/>
    </xf>
    <xf numFmtId="0" fontId="0" fillId="11" borderId="57" xfId="0" applyFill="1" applyBorder="1" applyAlignment="1">
      <alignment horizontal="center" vertical="center"/>
    </xf>
    <xf numFmtId="2" fontId="10" fillId="11" borderId="76" xfId="0" applyNumberFormat="1" applyFont="1" applyFill="1" applyBorder="1" applyAlignment="1">
      <alignment horizontal="center" vertical="center"/>
    </xf>
    <xf numFmtId="0" fontId="0" fillId="10" borderId="77" xfId="0" applyFill="1" applyBorder="1" applyAlignment="1">
      <alignment horizontal="center" vertical="center"/>
    </xf>
    <xf numFmtId="2" fontId="0" fillId="10" borderId="58" xfId="0" applyNumberFormat="1" applyFill="1" applyBorder="1" applyAlignment="1">
      <alignment horizontal="center" vertical="center"/>
    </xf>
    <xf numFmtId="0" fontId="0" fillId="11" borderId="58" xfId="0" applyFill="1" applyBorder="1" applyAlignment="1">
      <alignment horizontal="center" vertical="center"/>
    </xf>
    <xf numFmtId="2" fontId="0" fillId="11" borderId="78" xfId="0" applyNumberFormat="1" applyFill="1" applyBorder="1" applyAlignment="1">
      <alignment horizontal="center" vertical="center"/>
    </xf>
    <xf numFmtId="0" fontId="0" fillId="10" borderId="79" xfId="0" applyFill="1" applyBorder="1" applyAlignment="1">
      <alignment horizontal="center" vertical="center"/>
    </xf>
    <xf numFmtId="0" fontId="0" fillId="10" borderId="81" xfId="0" applyFill="1" applyBorder="1" applyAlignment="1">
      <alignment horizontal="center" vertical="center"/>
    </xf>
    <xf numFmtId="2" fontId="0" fillId="10" borderId="59" xfId="0" applyNumberFormat="1" applyFill="1" applyBorder="1" applyAlignment="1">
      <alignment horizontal="center" vertical="center"/>
    </xf>
    <xf numFmtId="0" fontId="0" fillId="11" borderId="59" xfId="0" applyFill="1" applyBorder="1" applyAlignment="1">
      <alignment horizontal="center" vertical="center"/>
    </xf>
    <xf numFmtId="2" fontId="0" fillId="11" borderId="82" xfId="0" applyNumberFormat="1" applyFill="1" applyBorder="1" applyAlignment="1">
      <alignment horizontal="center" vertical="center"/>
    </xf>
    <xf numFmtId="0" fontId="0" fillId="10" borderId="56" xfId="0" applyFill="1" applyBorder="1" applyAlignment="1">
      <alignment horizontal="center" vertical="center"/>
    </xf>
    <xf numFmtId="0" fontId="3" fillId="6" borderId="77" xfId="0" applyFont="1" applyFill="1" applyBorder="1" applyAlignment="1">
      <alignment horizontal="center"/>
    </xf>
    <xf numFmtId="0" fontId="3" fillId="6" borderId="79" xfId="0" applyFont="1" applyFill="1" applyBorder="1" applyAlignment="1">
      <alignment horizontal="center"/>
    </xf>
    <xf numFmtId="0" fontId="0" fillId="9" borderId="81" xfId="0" applyFill="1" applyBorder="1" applyAlignment="1">
      <alignment horizontal="center"/>
    </xf>
    <xf numFmtId="0" fontId="0" fillId="10" borderId="56" xfId="0" applyFill="1" applyBorder="1" applyAlignment="1">
      <alignment horizontal="center" vertical="center"/>
    </xf>
    <xf numFmtId="0" fontId="0" fillId="9" borderId="56" xfId="0" applyFill="1" applyBorder="1" applyAlignment="1">
      <alignment horizontal="center"/>
    </xf>
    <xf numFmtId="0" fontId="0" fillId="9" borderId="81" xfId="0" applyFill="1" applyBorder="1" applyAlignment="1">
      <alignment horizontal="center"/>
    </xf>
    <xf numFmtId="0" fontId="0" fillId="10" borderId="56" xfId="0" applyFill="1" applyBorder="1" applyAlignment="1">
      <alignment horizontal="center" vertical="center"/>
    </xf>
    <xf numFmtId="0" fontId="11" fillId="12" borderId="94" xfId="0" applyFont="1" applyFill="1" applyBorder="1"/>
    <xf numFmtId="0" fontId="0" fillId="12" borderId="94" xfId="0" applyFill="1" applyBorder="1"/>
    <xf numFmtId="0" fontId="0" fillId="12" borderId="61" xfId="0" applyFill="1" applyBorder="1"/>
    <xf numFmtId="0" fontId="0" fillId="8" borderId="72" xfId="0" applyFill="1" applyBorder="1"/>
    <xf numFmtId="0" fontId="0" fillId="8" borderId="50" xfId="0" applyFill="1" applyBorder="1"/>
    <xf numFmtId="0" fontId="0" fillId="8" borderId="83" xfId="0" applyFill="1" applyBorder="1"/>
    <xf numFmtId="0" fontId="0" fillId="8" borderId="51" xfId="0" applyFill="1" applyBorder="1"/>
    <xf numFmtId="0" fontId="0" fillId="9" borderId="50" xfId="0" applyFill="1" applyBorder="1"/>
    <xf numFmtId="0" fontId="0" fillId="9" borderId="51" xfId="0" applyFill="1" applyBorder="1"/>
    <xf numFmtId="0" fontId="0" fillId="9" borderId="49" xfId="0" applyFill="1" applyBorder="1"/>
    <xf numFmtId="0" fontId="0" fillId="0" borderId="0" xfId="0" applyAlignment="1"/>
    <xf numFmtId="0" fontId="0" fillId="0" borderId="94" xfId="0" applyBorder="1"/>
    <xf numFmtId="0" fontId="0" fillId="9" borderId="56" xfId="0" applyFill="1" applyBorder="1" applyAlignment="1">
      <alignment horizontal="center"/>
    </xf>
    <xf numFmtId="0" fontId="0" fillId="9" borderId="81" xfId="0" applyFill="1" applyBorder="1" applyAlignment="1">
      <alignment horizontal="center"/>
    </xf>
    <xf numFmtId="0" fontId="0" fillId="18" borderId="100" xfId="0" applyFill="1" applyBorder="1"/>
    <xf numFmtId="0" fontId="0" fillId="18" borderId="58" xfId="0" applyFill="1" applyBorder="1"/>
    <xf numFmtId="0" fontId="0" fillId="18" borderId="59" xfId="0" applyFill="1" applyBorder="1"/>
    <xf numFmtId="0" fontId="0" fillId="18" borderId="57" xfId="0" applyFill="1" applyBorder="1"/>
    <xf numFmtId="0" fontId="0" fillId="18" borderId="94" xfId="0" applyFill="1" applyBorder="1"/>
    <xf numFmtId="0" fontId="0" fillId="9" borderId="71" xfId="0" applyFill="1" applyBorder="1" applyAlignment="1"/>
    <xf numFmtId="0" fontId="0" fillId="9" borderId="72" xfId="0" applyFill="1" applyBorder="1" applyAlignment="1"/>
    <xf numFmtId="0" fontId="0" fillId="9" borderId="83" xfId="0" applyFill="1" applyBorder="1" applyAlignment="1"/>
    <xf numFmtId="0" fontId="3" fillId="13" borderId="100" xfId="0" applyFont="1" applyFill="1" applyBorder="1" applyAlignment="1">
      <alignment horizontal="center"/>
    </xf>
    <xf numFmtId="0" fontId="3" fillId="13" borderId="58" xfId="0" applyFont="1" applyFill="1" applyBorder="1" applyAlignment="1">
      <alignment horizontal="center"/>
    </xf>
    <xf numFmtId="0" fontId="3" fillId="13" borderId="59" xfId="0" applyFont="1" applyFill="1" applyBorder="1" applyAlignment="1">
      <alignment horizontal="center"/>
    </xf>
    <xf numFmtId="0" fontId="3" fillId="13" borderId="76" xfId="0" applyFont="1" applyFill="1" applyBorder="1" applyAlignment="1"/>
    <xf numFmtId="0" fontId="3" fillId="13" borderId="61" xfId="0" applyFont="1" applyFill="1" applyBorder="1" applyAlignment="1"/>
    <xf numFmtId="0" fontId="3" fillId="13" borderId="102" xfId="0" applyFont="1" applyFill="1" applyBorder="1" applyAlignment="1"/>
    <xf numFmtId="0" fontId="14" fillId="13" borderId="100" xfId="0" applyFont="1" applyFill="1" applyBorder="1" applyAlignment="1">
      <alignment horizontal="center"/>
    </xf>
    <xf numFmtId="0" fontId="0" fillId="13" borderId="100" xfId="0" applyFont="1" applyFill="1" applyBorder="1" applyAlignment="1">
      <alignment horizontal="center"/>
    </xf>
    <xf numFmtId="2" fontId="0" fillId="18" borderId="57" xfId="0" applyNumberFormat="1" applyFont="1" applyFill="1" applyBorder="1"/>
    <xf numFmtId="0" fontId="14" fillId="13" borderId="58" xfId="0" applyFont="1" applyFill="1" applyBorder="1" applyAlignment="1">
      <alignment horizontal="center"/>
    </xf>
    <xf numFmtId="0" fontId="0" fillId="13" borderId="58" xfId="0" applyFont="1" applyFill="1" applyBorder="1" applyAlignment="1">
      <alignment horizontal="center"/>
    </xf>
    <xf numFmtId="2" fontId="0" fillId="18" borderId="58" xfId="0" applyNumberFormat="1" applyFont="1" applyFill="1" applyBorder="1"/>
    <xf numFmtId="0" fontId="14" fillId="13" borderId="59" xfId="0" applyFont="1" applyFill="1" applyBorder="1" applyAlignment="1">
      <alignment horizontal="center"/>
    </xf>
    <xf numFmtId="0" fontId="0" fillId="13" borderId="59" xfId="0" applyFont="1" applyFill="1" applyBorder="1" applyAlignment="1">
      <alignment horizontal="center"/>
    </xf>
    <xf numFmtId="2" fontId="0" fillId="18" borderId="59" xfId="0" applyNumberFormat="1" applyFont="1" applyFill="1" applyBorder="1"/>
    <xf numFmtId="0" fontId="14" fillId="13" borderId="55" xfId="0" applyFont="1" applyFill="1" applyBorder="1" applyAlignment="1">
      <alignment horizontal="center" vertical="center"/>
    </xf>
    <xf numFmtId="0" fontId="14" fillId="13" borderId="106" xfId="0" applyFont="1" applyFill="1" applyBorder="1" applyAlignment="1">
      <alignment horizontal="center" vertical="center"/>
    </xf>
    <xf numFmtId="0" fontId="14" fillId="13" borderId="74" xfId="0" applyFont="1" applyFill="1" applyBorder="1" applyAlignment="1">
      <alignment horizontal="center" vertical="center"/>
    </xf>
    <xf numFmtId="0" fontId="14" fillId="13" borderId="80" xfId="0" applyFont="1" applyFill="1" applyBorder="1" applyAlignment="1">
      <alignment horizontal="center" vertical="center"/>
    </xf>
    <xf numFmtId="0" fontId="14" fillId="13" borderId="63" xfId="0" applyFont="1" applyFill="1" applyBorder="1" applyAlignment="1">
      <alignment horizontal="center" vertical="center"/>
    </xf>
    <xf numFmtId="2" fontId="14" fillId="13" borderId="75" xfId="0" applyNumberFormat="1" applyFont="1" applyFill="1" applyBorder="1" applyAlignment="1">
      <alignment horizontal="center" vertical="center"/>
    </xf>
    <xf numFmtId="2" fontId="14" fillId="13" borderId="56" xfId="0" applyNumberFormat="1" applyFont="1" applyFill="1" applyBorder="1" applyAlignment="1">
      <alignment horizontal="center" vertical="center"/>
    </xf>
    <xf numFmtId="2" fontId="14" fillId="13" borderId="81" xfId="0" applyNumberFormat="1" applyFont="1" applyFill="1" applyBorder="1" applyAlignment="1">
      <alignment horizontal="center" vertical="center"/>
    </xf>
    <xf numFmtId="2" fontId="14" fillId="13" borderId="64" xfId="0" applyNumberFormat="1" applyFont="1" applyFill="1" applyBorder="1" applyAlignment="1">
      <alignment horizontal="center" vertical="center"/>
    </xf>
    <xf numFmtId="2" fontId="14" fillId="20" borderId="67" xfId="0" applyNumberFormat="1" applyFont="1" applyFill="1" applyBorder="1" applyAlignment="1">
      <alignment horizontal="center" vertical="center"/>
    </xf>
    <xf numFmtId="2" fontId="14" fillId="20" borderId="69" xfId="0" applyNumberFormat="1" applyFont="1" applyFill="1" applyBorder="1" applyAlignment="1">
      <alignment horizontal="center" vertical="center"/>
    </xf>
    <xf numFmtId="2" fontId="14" fillId="20" borderId="99" xfId="0" applyNumberFormat="1" applyFont="1" applyFill="1" applyBorder="1" applyAlignment="1">
      <alignment horizontal="center" vertical="center"/>
    </xf>
    <xf numFmtId="0" fontId="14" fillId="20" borderId="68" xfId="0" applyFont="1" applyFill="1" applyBorder="1" applyAlignment="1">
      <alignment horizontal="center" vertical="center"/>
    </xf>
    <xf numFmtId="0" fontId="14" fillId="20" borderId="101" xfId="0" applyFont="1" applyFill="1" applyBorder="1" applyAlignment="1">
      <alignment horizontal="center" vertical="center"/>
    </xf>
    <xf numFmtId="0" fontId="14" fillId="20" borderId="70" xfId="0" applyFont="1" applyFill="1" applyBorder="1" applyAlignment="1">
      <alignment horizontal="center" vertical="center"/>
    </xf>
    <xf numFmtId="0" fontId="14" fillId="19" borderId="68" xfId="0" applyFont="1" applyFill="1" applyBorder="1" applyAlignment="1">
      <alignment horizontal="center" vertical="center"/>
    </xf>
    <xf numFmtId="0" fontId="14" fillId="19" borderId="67" xfId="0" applyFont="1" applyFill="1" applyBorder="1" applyAlignment="1">
      <alignment horizontal="center" vertical="center"/>
    </xf>
    <xf numFmtId="0" fontId="14" fillId="19" borderId="63" xfId="0" applyFont="1" applyFill="1" applyBorder="1" applyAlignment="1">
      <alignment horizontal="center" vertical="center"/>
    </xf>
    <xf numFmtId="0" fontId="14" fillId="19" borderId="63" xfId="0" applyFont="1" applyFill="1" applyBorder="1" applyAlignment="1"/>
    <xf numFmtId="2" fontId="14" fillId="3" borderId="69" xfId="0" applyNumberFormat="1" applyFont="1" applyFill="1" applyBorder="1" applyAlignment="1">
      <alignment horizontal="center" vertical="center"/>
    </xf>
    <xf numFmtId="2" fontId="14" fillId="3" borderId="70" xfId="0" applyNumberFormat="1" applyFont="1" applyFill="1" applyBorder="1" applyAlignment="1">
      <alignment horizontal="center" vertical="center"/>
    </xf>
    <xf numFmtId="2" fontId="14" fillId="13" borderId="1" xfId="0" applyNumberFormat="1" applyFont="1" applyFill="1" applyBorder="1" applyAlignment="1">
      <alignment horizontal="center" vertical="center"/>
    </xf>
    <xf numFmtId="2" fontId="14" fillId="3" borderId="67" xfId="0" applyNumberFormat="1" applyFont="1" applyFill="1" applyBorder="1" applyAlignment="1">
      <alignment horizontal="center" vertical="center"/>
    </xf>
    <xf numFmtId="2" fontId="14" fillId="3" borderId="68" xfId="0" applyNumberFormat="1" applyFont="1" applyFill="1" applyBorder="1" applyAlignment="1">
      <alignment horizontal="center" vertical="center"/>
    </xf>
    <xf numFmtId="2" fontId="14" fillId="13" borderId="84" xfId="0" applyNumberFormat="1" applyFont="1" applyFill="1" applyBorder="1" applyAlignment="1">
      <alignment horizontal="center" vertical="center"/>
    </xf>
    <xf numFmtId="2" fontId="14" fillId="3" borderId="99" xfId="0" applyNumberFormat="1" applyFont="1" applyFill="1" applyBorder="1" applyAlignment="1">
      <alignment horizontal="center" vertical="center"/>
    </xf>
    <xf numFmtId="2" fontId="14" fillId="3" borderId="101" xfId="0" applyNumberFormat="1" applyFont="1" applyFill="1" applyBorder="1" applyAlignment="1">
      <alignment horizontal="center" vertical="center"/>
    </xf>
    <xf numFmtId="2" fontId="14" fillId="13" borderId="2" xfId="0" applyNumberFormat="1" applyFont="1" applyFill="1" applyBorder="1" applyAlignment="1">
      <alignment horizontal="center" vertical="center"/>
    </xf>
    <xf numFmtId="2" fontId="14" fillId="13" borderId="105" xfId="0" applyNumberFormat="1" applyFont="1" applyFill="1" applyBorder="1" applyAlignment="1">
      <alignment horizontal="center" vertical="center"/>
    </xf>
    <xf numFmtId="2" fontId="14" fillId="13" borderId="103" xfId="0" applyNumberFormat="1" applyFont="1" applyFill="1" applyBorder="1" applyAlignment="1">
      <alignment horizontal="center" vertical="center"/>
    </xf>
    <xf numFmtId="2" fontId="14" fillId="13" borderId="85" xfId="0" applyNumberFormat="1" applyFont="1" applyFill="1" applyBorder="1" applyAlignment="1">
      <alignment horizontal="center" vertical="center"/>
    </xf>
    <xf numFmtId="2" fontId="14" fillId="20" borderId="101" xfId="0" applyNumberFormat="1" applyFont="1" applyFill="1" applyBorder="1" applyAlignment="1">
      <alignment horizontal="center" vertical="center"/>
    </xf>
    <xf numFmtId="2" fontId="14" fillId="3" borderId="48" xfId="0" applyNumberFormat="1" applyFont="1" applyFill="1" applyBorder="1" applyAlignment="1">
      <alignment horizontal="center" vertical="center"/>
    </xf>
    <xf numFmtId="2" fontId="14" fillId="13" borderId="76" xfId="0" applyNumberFormat="1" applyFont="1" applyFill="1" applyBorder="1" applyAlignment="1">
      <alignment horizontal="center" vertical="center"/>
    </xf>
    <xf numFmtId="2" fontId="14" fillId="3" borderId="0" xfId="0" applyNumberFormat="1" applyFont="1" applyFill="1" applyBorder="1" applyAlignment="1">
      <alignment horizontal="center" vertical="center"/>
    </xf>
    <xf numFmtId="2" fontId="14" fillId="13" borderId="78" xfId="0" applyNumberFormat="1" applyFont="1" applyFill="1" applyBorder="1" applyAlignment="1">
      <alignment horizontal="center" vertical="center"/>
    </xf>
    <xf numFmtId="2" fontId="14" fillId="3" borderId="62" xfId="0" applyNumberFormat="1" applyFont="1" applyFill="1" applyBorder="1" applyAlignment="1">
      <alignment horizontal="center" vertical="center"/>
    </xf>
    <xf numFmtId="2" fontId="14" fillId="13" borderId="82" xfId="0" applyNumberFormat="1" applyFont="1" applyFill="1" applyBorder="1" applyAlignment="1">
      <alignment horizontal="center" vertical="center"/>
    </xf>
    <xf numFmtId="2" fontId="14" fillId="13" borderId="102" xfId="0" applyNumberFormat="1" applyFont="1" applyFill="1" applyBorder="1" applyAlignment="1">
      <alignment horizontal="center" vertical="center"/>
    </xf>
    <xf numFmtId="0" fontId="14" fillId="13" borderId="56" xfId="0" applyFont="1" applyFill="1" applyBorder="1" applyAlignment="1">
      <alignment horizontal="center" vertical="center"/>
    </xf>
    <xf numFmtId="2" fontId="14" fillId="13" borderId="96" xfId="0" applyNumberFormat="1" applyFont="1" applyFill="1" applyBorder="1" applyAlignment="1">
      <alignment horizontal="center" vertical="center"/>
    </xf>
    <xf numFmtId="2" fontId="14" fillId="13" borderId="88" xfId="0" applyNumberFormat="1" applyFont="1" applyFill="1" applyBorder="1" applyAlignment="1">
      <alignment horizontal="center" vertical="center"/>
    </xf>
    <xf numFmtId="2" fontId="14" fillId="13" borderId="89" xfId="0" applyNumberFormat="1" applyFont="1" applyFill="1" applyBorder="1" applyAlignment="1">
      <alignment horizontal="center" vertical="center"/>
    </xf>
    <xf numFmtId="2" fontId="14" fillId="13" borderId="87" xfId="0" applyNumberFormat="1" applyFont="1" applyFill="1" applyBorder="1" applyAlignment="1">
      <alignment horizontal="center" vertical="center"/>
    </xf>
    <xf numFmtId="0" fontId="14" fillId="13" borderId="103" xfId="0" applyFont="1" applyFill="1" applyBorder="1" applyAlignment="1">
      <alignment horizontal="center" vertical="center"/>
    </xf>
    <xf numFmtId="2" fontId="14" fillId="20" borderId="68" xfId="0" applyNumberFormat="1" applyFont="1" applyFill="1" applyBorder="1" applyAlignment="1">
      <alignment horizontal="center" vertical="center"/>
    </xf>
    <xf numFmtId="2" fontId="14" fillId="2" borderId="87" xfId="0" applyNumberFormat="1" applyFont="1" applyFill="1" applyBorder="1" applyAlignment="1">
      <alignment horizontal="center" vertical="center"/>
    </xf>
    <xf numFmtId="2" fontId="14" fillId="2" borderId="88" xfId="0" applyNumberFormat="1" applyFont="1" applyFill="1" applyBorder="1" applyAlignment="1">
      <alignment horizontal="center" vertical="center"/>
    </xf>
    <xf numFmtId="2" fontId="14" fillId="2" borderId="89" xfId="0" applyNumberFormat="1" applyFont="1" applyFill="1" applyBorder="1" applyAlignment="1">
      <alignment horizontal="center" vertical="center"/>
    </xf>
    <xf numFmtId="2" fontId="14" fillId="2" borderId="74" xfId="0" applyNumberFormat="1" applyFont="1" applyFill="1" applyBorder="1" applyAlignment="1">
      <alignment horizontal="center" vertical="center"/>
    </xf>
    <xf numFmtId="2" fontId="14" fillId="2" borderId="55" xfId="0" applyNumberFormat="1" applyFont="1" applyFill="1" applyBorder="1" applyAlignment="1">
      <alignment horizontal="center" vertical="center"/>
    </xf>
    <xf numFmtId="2" fontId="14" fillId="2" borderId="80" xfId="0" applyNumberFormat="1" applyFont="1" applyFill="1" applyBorder="1" applyAlignment="1">
      <alignment horizontal="center" vertical="center"/>
    </xf>
    <xf numFmtId="2" fontId="14" fillId="2" borderId="106" xfId="0" applyNumberFormat="1" applyFont="1" applyFill="1" applyBorder="1" applyAlignment="1">
      <alignment horizontal="center" vertical="center"/>
    </xf>
    <xf numFmtId="2" fontId="14" fillId="2" borderId="17" xfId="0" applyNumberFormat="1" applyFont="1" applyFill="1" applyBorder="1" applyAlignment="1">
      <alignment horizontal="center" vertical="center"/>
    </xf>
    <xf numFmtId="2" fontId="14" fillId="2" borderId="66" xfId="0" applyNumberFormat="1" applyFont="1" applyFill="1" applyBorder="1" applyAlignment="1">
      <alignment horizontal="center" vertical="center"/>
    </xf>
    <xf numFmtId="2" fontId="14" fillId="2" borderId="18" xfId="0" applyNumberFormat="1" applyFont="1" applyFill="1" applyBorder="1" applyAlignment="1">
      <alignment horizontal="center" vertical="center"/>
    </xf>
    <xf numFmtId="2" fontId="14" fillId="2" borderId="65" xfId="0" applyNumberFormat="1" applyFont="1" applyFill="1" applyBorder="1" applyAlignment="1">
      <alignment horizontal="center" vertical="center"/>
    </xf>
    <xf numFmtId="2" fontId="14" fillId="2" borderId="93" xfId="0" applyNumberFormat="1" applyFont="1" applyFill="1" applyBorder="1" applyAlignment="1">
      <alignment horizontal="center" vertical="center"/>
    </xf>
    <xf numFmtId="2" fontId="14" fillId="3" borderId="1" xfId="0" applyNumberFormat="1" applyFont="1" applyFill="1" applyBorder="1" applyAlignment="1">
      <alignment horizontal="center" vertical="center"/>
    </xf>
    <xf numFmtId="2" fontId="14" fillId="3" borderId="84" xfId="0" applyNumberFormat="1" applyFont="1" applyFill="1" applyBorder="1" applyAlignment="1">
      <alignment horizontal="center" vertical="center"/>
    </xf>
    <xf numFmtId="2" fontId="14" fillId="3" borderId="2" xfId="0" applyNumberFormat="1" applyFont="1" applyFill="1" applyBorder="1" applyAlignment="1">
      <alignment horizontal="center" vertical="center"/>
    </xf>
    <xf numFmtId="0" fontId="0" fillId="10" borderId="75" xfId="0" applyFill="1" applyBorder="1" applyAlignment="1">
      <alignment horizontal="center" vertical="center"/>
    </xf>
    <xf numFmtId="0" fontId="0" fillId="10" borderId="56" xfId="0" applyFill="1" applyBorder="1" applyAlignment="1">
      <alignment horizontal="center" vertical="center"/>
    </xf>
    <xf numFmtId="2" fontId="10" fillId="11" borderId="102" xfId="0" applyNumberFormat="1" applyFont="1" applyFill="1" applyBorder="1" applyAlignment="1">
      <alignment horizontal="center" vertical="center"/>
    </xf>
    <xf numFmtId="0" fontId="0" fillId="10" borderId="104" xfId="0" applyFill="1" applyBorder="1" applyAlignment="1">
      <alignment horizontal="center" vertical="center"/>
    </xf>
    <xf numFmtId="0" fontId="0" fillId="10" borderId="64" xfId="0" applyFill="1" applyBorder="1" applyAlignment="1">
      <alignment horizontal="center" vertical="center"/>
    </xf>
    <xf numFmtId="2" fontId="0" fillId="10" borderId="100" xfId="0" applyNumberFormat="1" applyFill="1" applyBorder="1" applyAlignment="1">
      <alignment horizontal="center" vertical="center"/>
    </xf>
    <xf numFmtId="0" fontId="0" fillId="11" borderId="100" xfId="0" applyFill="1" applyBorder="1" applyAlignment="1">
      <alignment horizontal="center" vertical="center"/>
    </xf>
    <xf numFmtId="2" fontId="10" fillId="11" borderId="87" xfId="0" applyNumberFormat="1" applyFont="1" applyFill="1" applyBorder="1" applyAlignment="1">
      <alignment horizontal="center" vertical="center"/>
    </xf>
    <xf numFmtId="2" fontId="0" fillId="11" borderId="88" xfId="0" applyNumberFormat="1" applyFill="1" applyBorder="1" applyAlignment="1">
      <alignment horizontal="center" vertical="center"/>
    </xf>
    <xf numFmtId="2" fontId="0" fillId="11" borderId="89" xfId="0" applyNumberFormat="1" applyFill="1" applyBorder="1" applyAlignment="1">
      <alignment horizontal="center" vertical="center"/>
    </xf>
    <xf numFmtId="0" fontId="0" fillId="0" borderId="71" xfId="0" applyBorder="1"/>
    <xf numFmtId="0" fontId="0" fillId="0" borderId="72" xfId="0" applyBorder="1"/>
    <xf numFmtId="0" fontId="0" fillId="0" borderId="83" xfId="0" applyBorder="1"/>
    <xf numFmtId="0" fontId="0" fillId="10" borderId="103" xfId="0" applyFill="1" applyBorder="1" applyAlignment="1">
      <alignment horizontal="center" vertical="center"/>
    </xf>
    <xf numFmtId="2" fontId="0" fillId="10" borderId="109" xfId="0" applyNumberFormat="1" applyFill="1" applyBorder="1" applyAlignment="1">
      <alignment horizontal="center" vertical="center"/>
    </xf>
    <xf numFmtId="0" fontId="0" fillId="11" borderId="109" xfId="0" applyFill="1" applyBorder="1" applyAlignment="1">
      <alignment horizontal="center" vertical="center"/>
    </xf>
    <xf numFmtId="2" fontId="0" fillId="11" borderId="95" xfId="0" applyNumberFormat="1" applyFill="1" applyBorder="1" applyAlignment="1">
      <alignment horizontal="center" vertical="center"/>
    </xf>
    <xf numFmtId="0" fontId="3" fillId="13" borderId="109" xfId="0" applyFont="1" applyFill="1" applyBorder="1" applyAlignment="1">
      <alignment horizontal="center"/>
    </xf>
    <xf numFmtId="2" fontId="0" fillId="11" borderId="76" xfId="0" applyNumberFormat="1" applyFill="1" applyBorder="1" applyAlignment="1">
      <alignment horizontal="center" vertical="center"/>
    </xf>
    <xf numFmtId="0" fontId="3" fillId="13" borderId="57" xfId="0" applyFont="1" applyFill="1" applyBorder="1" applyAlignment="1">
      <alignment horizontal="center"/>
    </xf>
    <xf numFmtId="2" fontId="0" fillId="11" borderId="102" xfId="0" applyNumberFormat="1" applyFill="1" applyBorder="1" applyAlignment="1">
      <alignment horizontal="center" vertical="center"/>
    </xf>
    <xf numFmtId="0" fontId="3" fillId="6" borderId="55" xfId="0" applyFont="1" applyFill="1" applyBorder="1" applyAlignment="1">
      <alignment horizontal="center"/>
    </xf>
    <xf numFmtId="0" fontId="9" fillId="2" borderId="53" xfId="0" applyFont="1" applyFill="1" applyBorder="1" applyAlignment="1">
      <alignment horizontal="center"/>
    </xf>
    <xf numFmtId="0" fontId="9" fillId="2" borderId="60" xfId="0" applyFont="1" applyFill="1" applyBorder="1" applyAlignment="1">
      <alignment horizontal="center"/>
    </xf>
    <xf numFmtId="0" fontId="9" fillId="2" borderId="61" xfId="0" applyFont="1" applyFill="1" applyBorder="1" applyAlignment="1">
      <alignment horizontal="center"/>
    </xf>
    <xf numFmtId="0" fontId="5" fillId="2" borderId="55" xfId="0" applyFont="1" applyFill="1" applyBorder="1" applyAlignment="1">
      <alignment horizontal="center" vertical="center" wrapText="1"/>
    </xf>
    <xf numFmtId="0" fontId="0" fillId="11" borderId="77" xfId="0" applyFill="1" applyBorder="1" applyAlignment="1">
      <alignment horizontal="center"/>
    </xf>
    <xf numFmtId="0" fontId="0" fillId="11" borderId="84" xfId="0" applyFill="1" applyBorder="1" applyAlignment="1">
      <alignment horizontal="center"/>
    </xf>
    <xf numFmtId="0" fontId="0" fillId="11" borderId="79" xfId="0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0" fillId="2" borderId="52" xfId="0" applyFill="1" applyBorder="1" applyAlignment="1">
      <alignment horizontal="center" vertical="center"/>
    </xf>
    <xf numFmtId="0" fontId="0" fillId="2" borderId="49" xfId="0" applyFill="1" applyBorder="1" applyAlignment="1">
      <alignment horizontal="center" vertical="center"/>
    </xf>
    <xf numFmtId="0" fontId="0" fillId="2" borderId="92" xfId="0" applyFill="1" applyBorder="1" applyAlignment="1">
      <alignment horizontal="center" vertical="center"/>
    </xf>
    <xf numFmtId="0" fontId="0" fillId="2" borderId="50" xfId="0" applyFill="1" applyBorder="1" applyAlignment="1">
      <alignment horizontal="center" vertical="center"/>
    </xf>
    <xf numFmtId="0" fontId="0" fillId="11" borderId="73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2" borderId="71" xfId="0" applyFill="1" applyBorder="1" applyAlignment="1">
      <alignment horizontal="center" vertical="center" wrapText="1"/>
    </xf>
    <xf numFmtId="0" fontId="0" fillId="2" borderId="72" xfId="0" applyFill="1" applyBorder="1" applyAlignment="1">
      <alignment horizontal="center" vertical="center" wrapText="1"/>
    </xf>
    <xf numFmtId="0" fontId="0" fillId="2" borderId="48" xfId="0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0" fillId="2" borderId="71" xfId="0" applyFill="1" applyBorder="1" applyAlignment="1">
      <alignment horizontal="center" vertical="center"/>
    </xf>
    <xf numFmtId="0" fontId="0" fillId="2" borderId="72" xfId="0" applyFill="1" applyBorder="1" applyAlignment="1">
      <alignment horizontal="center" vertical="center"/>
    </xf>
    <xf numFmtId="2" fontId="0" fillId="10" borderId="56" xfId="0" applyNumberFormat="1" applyFill="1" applyBorder="1" applyAlignment="1">
      <alignment horizontal="center" vertical="center"/>
    </xf>
    <xf numFmtId="2" fontId="0" fillId="10" borderId="66" xfId="0" applyNumberFormat="1" applyFill="1" applyBorder="1" applyAlignment="1">
      <alignment horizontal="center" vertical="center"/>
    </xf>
    <xf numFmtId="2" fontId="0" fillId="10" borderId="81" xfId="0" applyNumberFormat="1" applyFill="1" applyBorder="1" applyAlignment="1">
      <alignment horizontal="center" vertical="center"/>
    </xf>
    <xf numFmtId="2" fontId="0" fillId="10" borderId="18" xfId="0" applyNumberFormat="1" applyFill="1" applyBorder="1" applyAlignment="1">
      <alignment horizontal="center" vertical="center"/>
    </xf>
    <xf numFmtId="0" fontId="0" fillId="8" borderId="74" xfId="0" applyFill="1" applyBorder="1" applyAlignment="1">
      <alignment horizontal="center" vertical="center"/>
    </xf>
    <xf numFmtId="0" fontId="0" fillId="8" borderId="55" xfId="0" applyFill="1" applyBorder="1" applyAlignment="1">
      <alignment horizontal="center" vertical="center"/>
    </xf>
    <xf numFmtId="0" fontId="0" fillId="8" borderId="80" xfId="0" applyFill="1" applyBorder="1" applyAlignment="1">
      <alignment horizontal="center" vertical="center"/>
    </xf>
    <xf numFmtId="0" fontId="0" fillId="10" borderId="75" xfId="0" applyFill="1" applyBorder="1" applyAlignment="1">
      <alignment horizontal="center" vertical="center"/>
    </xf>
    <xf numFmtId="0" fontId="0" fillId="10" borderId="17" xfId="0" applyFill="1" applyBorder="1" applyAlignment="1">
      <alignment horizontal="center" vertical="center"/>
    </xf>
    <xf numFmtId="0" fontId="0" fillId="10" borderId="56" xfId="0" applyFill="1" applyBorder="1" applyAlignment="1">
      <alignment horizontal="center" vertical="center"/>
    </xf>
    <xf numFmtId="0" fontId="0" fillId="10" borderId="66" xfId="0" applyFill="1" applyBorder="1" applyAlignment="1">
      <alignment horizontal="center" vertical="center"/>
    </xf>
    <xf numFmtId="0" fontId="13" fillId="19" borderId="57" xfId="0" applyFont="1" applyFill="1" applyBorder="1" applyAlignment="1">
      <alignment horizontal="center" vertical="center"/>
    </xf>
    <xf numFmtId="0" fontId="13" fillId="19" borderId="58" xfId="0" applyFont="1" applyFill="1" applyBorder="1" applyAlignment="1">
      <alignment horizontal="center" vertical="center"/>
    </xf>
    <xf numFmtId="0" fontId="13" fillId="19" borderId="59" xfId="0" applyFont="1" applyFill="1" applyBorder="1" applyAlignment="1">
      <alignment horizontal="center" vertical="center"/>
    </xf>
    <xf numFmtId="0" fontId="1" fillId="19" borderId="73" xfId="0" applyFont="1" applyFill="1" applyBorder="1" applyAlignment="1">
      <alignment horizontal="center" vertical="center"/>
    </xf>
    <xf numFmtId="0" fontId="1" fillId="19" borderId="1" xfId="0" applyFont="1" applyFill="1" applyBorder="1" applyAlignment="1">
      <alignment horizontal="center" vertical="center"/>
    </xf>
    <xf numFmtId="0" fontId="1" fillId="19" borderId="77" xfId="0" applyFont="1" applyFill="1" applyBorder="1" applyAlignment="1">
      <alignment horizontal="center" vertical="center"/>
    </xf>
    <xf numFmtId="0" fontId="1" fillId="19" borderId="84" xfId="0" applyFont="1" applyFill="1" applyBorder="1" applyAlignment="1">
      <alignment horizontal="center" vertical="center"/>
    </xf>
    <xf numFmtId="0" fontId="1" fillId="19" borderId="79" xfId="0" applyFont="1" applyFill="1" applyBorder="1" applyAlignment="1">
      <alignment horizontal="center" vertical="center"/>
    </xf>
    <xf numFmtId="0" fontId="1" fillId="19" borderId="2" xfId="0" applyFont="1" applyFill="1" applyBorder="1" applyAlignment="1">
      <alignment horizontal="center" vertical="center"/>
    </xf>
    <xf numFmtId="0" fontId="13" fillId="19" borderId="17" xfId="0" applyFont="1" applyFill="1" applyBorder="1" applyAlignment="1">
      <alignment horizontal="center" vertical="center" wrapText="1"/>
    </xf>
    <xf numFmtId="0" fontId="13" fillId="19" borderId="75" xfId="0" applyFont="1" applyFill="1" applyBorder="1" applyAlignment="1">
      <alignment horizontal="center" vertical="center" wrapText="1"/>
    </xf>
    <xf numFmtId="0" fontId="13" fillId="19" borderId="66" xfId="0" applyFont="1" applyFill="1" applyBorder="1" applyAlignment="1">
      <alignment horizontal="center" vertical="center" wrapText="1"/>
    </xf>
    <xf numFmtId="0" fontId="13" fillId="19" borderId="56" xfId="0" applyFont="1" applyFill="1" applyBorder="1" applyAlignment="1">
      <alignment horizontal="center" vertical="center" wrapText="1"/>
    </xf>
    <xf numFmtId="0" fontId="13" fillId="19" borderId="18" xfId="0" applyFont="1" applyFill="1" applyBorder="1" applyAlignment="1">
      <alignment horizontal="center" vertical="center" wrapText="1"/>
    </xf>
    <xf numFmtId="0" fontId="13" fillId="19" borderId="81" xfId="0" applyFont="1" applyFill="1" applyBorder="1" applyAlignment="1">
      <alignment horizontal="center" vertical="center" wrapText="1"/>
    </xf>
    <xf numFmtId="0" fontId="13" fillId="19" borderId="73" xfId="0" applyFont="1" applyFill="1" applyBorder="1" applyAlignment="1">
      <alignment horizontal="center" vertical="center" wrapText="1"/>
    </xf>
    <xf numFmtId="0" fontId="13" fillId="19" borderId="1" xfId="0" applyFont="1" applyFill="1" applyBorder="1" applyAlignment="1">
      <alignment horizontal="center" vertical="center" wrapText="1"/>
    </xf>
    <xf numFmtId="0" fontId="13" fillId="19" borderId="77" xfId="0" applyFont="1" applyFill="1" applyBorder="1" applyAlignment="1">
      <alignment horizontal="center" vertical="center" wrapText="1"/>
    </xf>
    <xf numFmtId="0" fontId="13" fillId="19" borderId="84" xfId="0" applyFont="1" applyFill="1" applyBorder="1" applyAlignment="1">
      <alignment horizontal="center" vertical="center" wrapText="1"/>
    </xf>
    <xf numFmtId="0" fontId="13" fillId="19" borderId="79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1" fillId="19" borderId="17" xfId="0" applyFont="1" applyFill="1" applyBorder="1" applyAlignment="1">
      <alignment horizontal="center" vertical="center"/>
    </xf>
    <xf numFmtId="0" fontId="1" fillId="19" borderId="75" xfId="0" applyFont="1" applyFill="1" applyBorder="1" applyAlignment="1">
      <alignment horizontal="center" vertical="center"/>
    </xf>
    <xf numFmtId="0" fontId="1" fillId="19" borderId="66" xfId="0" applyFont="1" applyFill="1" applyBorder="1" applyAlignment="1">
      <alignment horizontal="center" vertical="center"/>
    </xf>
    <xf numFmtId="0" fontId="1" fillId="19" borderId="56" xfId="0" applyFont="1" applyFill="1" applyBorder="1" applyAlignment="1">
      <alignment horizontal="center" vertical="center"/>
    </xf>
    <xf numFmtId="0" fontId="1" fillId="19" borderId="18" xfId="0" applyFont="1" applyFill="1" applyBorder="1" applyAlignment="1">
      <alignment horizontal="center" vertical="center"/>
    </xf>
    <xf numFmtId="0" fontId="1" fillId="19" borderId="81" xfId="0" applyFont="1" applyFill="1" applyBorder="1" applyAlignment="1">
      <alignment horizontal="center" vertical="center"/>
    </xf>
    <xf numFmtId="2" fontId="0" fillId="20" borderId="79" xfId="0" applyNumberFormat="1" applyFont="1" applyFill="1" applyBorder="1" applyAlignment="1">
      <alignment horizontal="center"/>
    </xf>
    <xf numFmtId="2" fontId="0" fillId="20" borderId="2" xfId="0" applyNumberFormat="1" applyFont="1" applyFill="1" applyBorder="1" applyAlignment="1">
      <alignment horizontal="center"/>
    </xf>
    <xf numFmtId="0" fontId="0" fillId="13" borderId="96" xfId="0" applyFont="1" applyFill="1" applyBorder="1" applyAlignment="1">
      <alignment horizontal="center"/>
    </xf>
    <xf numFmtId="0" fontId="0" fillId="13" borderId="88" xfId="0" applyFont="1" applyFill="1" applyBorder="1" applyAlignment="1">
      <alignment horizontal="center"/>
    </xf>
    <xf numFmtId="0" fontId="0" fillId="13" borderId="79" xfId="0" applyFont="1" applyFill="1" applyBorder="1" applyAlignment="1">
      <alignment horizontal="center"/>
    </xf>
    <xf numFmtId="0" fontId="0" fillId="13" borderId="2" xfId="0" applyFont="1" applyFill="1" applyBorder="1" applyAlignment="1">
      <alignment horizontal="center"/>
    </xf>
    <xf numFmtId="0" fontId="0" fillId="13" borderId="18" xfId="0" applyFont="1" applyFill="1" applyBorder="1" applyAlignment="1">
      <alignment horizontal="center"/>
    </xf>
    <xf numFmtId="0" fontId="0" fillId="13" borderId="81" xfId="0" applyFont="1" applyFill="1" applyBorder="1" applyAlignment="1">
      <alignment horizontal="center"/>
    </xf>
    <xf numFmtId="0" fontId="0" fillId="13" borderId="36" xfId="0" applyFont="1" applyFill="1" applyBorder="1" applyAlignment="1">
      <alignment horizontal="center"/>
    </xf>
    <xf numFmtId="0" fontId="0" fillId="13" borderId="82" xfId="0" applyFont="1" applyFill="1" applyBorder="1" applyAlignment="1">
      <alignment horizontal="center"/>
    </xf>
    <xf numFmtId="0" fontId="0" fillId="13" borderId="89" xfId="0" applyFont="1" applyFill="1" applyBorder="1" applyAlignment="1">
      <alignment horizontal="center"/>
    </xf>
    <xf numFmtId="0" fontId="0" fillId="13" borderId="86" xfId="0" applyFont="1" applyFill="1" applyBorder="1" applyAlignment="1">
      <alignment horizontal="center"/>
    </xf>
    <xf numFmtId="0" fontId="0" fillId="13" borderId="78" xfId="0" applyFont="1" applyFill="1" applyBorder="1" applyAlignment="1">
      <alignment horizontal="center"/>
    </xf>
    <xf numFmtId="2" fontId="0" fillId="20" borderId="88" xfId="0" applyNumberFormat="1" applyFont="1" applyFill="1" applyBorder="1" applyAlignment="1">
      <alignment horizontal="center"/>
    </xf>
    <xf numFmtId="2" fontId="0" fillId="20" borderId="89" xfId="0" applyNumberFormat="1" applyFont="1" applyFill="1" applyBorder="1" applyAlignment="1">
      <alignment horizontal="center"/>
    </xf>
    <xf numFmtId="2" fontId="0" fillId="20" borderId="77" xfId="0" applyNumberFormat="1" applyFont="1" applyFill="1" applyBorder="1" applyAlignment="1">
      <alignment horizontal="center"/>
    </xf>
    <xf numFmtId="2" fontId="0" fillId="20" borderId="84" xfId="0" applyNumberFormat="1" applyFont="1" applyFill="1" applyBorder="1" applyAlignment="1">
      <alignment horizontal="center"/>
    </xf>
    <xf numFmtId="0" fontId="0" fillId="13" borderId="77" xfId="0" applyFont="1" applyFill="1" applyBorder="1" applyAlignment="1">
      <alignment horizontal="center"/>
    </xf>
    <xf numFmtId="0" fontId="0" fillId="13" borderId="84" xfId="0" applyFont="1" applyFill="1" applyBorder="1" applyAlignment="1">
      <alignment horizontal="center"/>
    </xf>
    <xf numFmtId="0" fontId="0" fillId="13" borderId="66" xfId="0" applyFont="1" applyFill="1" applyBorder="1" applyAlignment="1">
      <alignment horizontal="center"/>
    </xf>
    <xf numFmtId="0" fontId="0" fillId="13" borderId="56" xfId="0" applyFont="1" applyFill="1" applyBorder="1" applyAlignment="1">
      <alignment horizontal="center"/>
    </xf>
    <xf numFmtId="0" fontId="0" fillId="13" borderId="104" xfId="0" applyFont="1" applyFill="1" applyBorder="1" applyAlignment="1">
      <alignment horizontal="center"/>
    </xf>
    <xf numFmtId="0" fontId="0" fillId="13" borderId="105" xfId="0" applyFont="1" applyFill="1" applyBorder="1" applyAlignment="1">
      <alignment horizontal="center"/>
    </xf>
    <xf numFmtId="0" fontId="0" fillId="13" borderId="65" xfId="0" applyFont="1" applyFill="1" applyBorder="1" applyAlignment="1">
      <alignment horizontal="center"/>
    </xf>
    <xf numFmtId="0" fontId="0" fillId="13" borderId="64" xfId="0" applyFont="1" applyFill="1" applyBorder="1" applyAlignment="1">
      <alignment horizontal="center"/>
    </xf>
    <xf numFmtId="0" fontId="0" fillId="13" borderId="98" xfId="0" applyFont="1" applyFill="1" applyBorder="1" applyAlignment="1">
      <alignment horizontal="center"/>
    </xf>
    <xf numFmtId="0" fontId="0" fillId="13" borderId="102" xfId="0" applyFont="1" applyFill="1" applyBorder="1" applyAlignment="1">
      <alignment horizontal="center"/>
    </xf>
    <xf numFmtId="2" fontId="0" fillId="20" borderId="73" xfId="0" applyNumberFormat="1" applyFont="1" applyFill="1" applyBorder="1" applyAlignment="1">
      <alignment horizontal="center"/>
    </xf>
    <xf numFmtId="2" fontId="0" fillId="20" borderId="1" xfId="0" applyNumberFormat="1" applyFont="1" applyFill="1" applyBorder="1" applyAlignment="1">
      <alignment horizontal="center"/>
    </xf>
    <xf numFmtId="0" fontId="1" fillId="19" borderId="71" xfId="0" applyFont="1" applyFill="1" applyBorder="1" applyAlignment="1">
      <alignment horizontal="center" vertical="center"/>
    </xf>
    <xf numFmtId="0" fontId="1" fillId="19" borderId="72" xfId="0" applyFont="1" applyFill="1" applyBorder="1" applyAlignment="1">
      <alignment horizontal="center" vertical="center"/>
    </xf>
    <xf numFmtId="0" fontId="1" fillId="19" borderId="83" xfId="0" applyFont="1" applyFill="1" applyBorder="1" applyAlignment="1">
      <alignment horizontal="center" vertical="center"/>
    </xf>
    <xf numFmtId="0" fontId="1" fillId="19" borderId="52" xfId="0" applyFont="1" applyFill="1" applyBorder="1" applyAlignment="1">
      <alignment horizontal="center" vertical="center"/>
    </xf>
    <xf numFmtId="0" fontId="1" fillId="19" borderId="49" xfId="0" applyFont="1" applyFill="1" applyBorder="1" applyAlignment="1">
      <alignment horizontal="center" vertical="center"/>
    </xf>
    <xf numFmtId="0" fontId="1" fillId="19" borderId="92" xfId="0" applyFont="1" applyFill="1" applyBorder="1" applyAlignment="1">
      <alignment horizontal="center" vertical="center"/>
    </xf>
    <xf numFmtId="0" fontId="1" fillId="19" borderId="50" xfId="0" applyFont="1" applyFill="1" applyBorder="1" applyAlignment="1">
      <alignment horizontal="center" vertical="center"/>
    </xf>
    <xf numFmtId="0" fontId="1" fillId="19" borderId="54" xfId="0" applyFont="1" applyFill="1" applyBorder="1" applyAlignment="1">
      <alignment horizontal="center" vertical="center"/>
    </xf>
    <xf numFmtId="0" fontId="1" fillId="19" borderId="51" xfId="0" applyFont="1" applyFill="1" applyBorder="1" applyAlignment="1">
      <alignment horizontal="center" vertical="center"/>
    </xf>
    <xf numFmtId="0" fontId="1" fillId="19" borderId="57" xfId="0" applyFont="1" applyFill="1" applyBorder="1" applyAlignment="1">
      <alignment horizontal="center" vertical="center"/>
    </xf>
    <xf numFmtId="0" fontId="1" fillId="19" borderId="58" xfId="0" applyFont="1" applyFill="1" applyBorder="1" applyAlignment="1">
      <alignment horizontal="center" vertical="center"/>
    </xf>
    <xf numFmtId="0" fontId="1" fillId="19" borderId="59" xfId="0" applyFont="1" applyFill="1" applyBorder="1" applyAlignment="1">
      <alignment horizontal="center" vertical="center"/>
    </xf>
    <xf numFmtId="0" fontId="1" fillId="19" borderId="48" xfId="0" applyFont="1" applyFill="1" applyBorder="1" applyAlignment="1">
      <alignment horizontal="center" vertical="center"/>
    </xf>
    <xf numFmtId="0" fontId="1" fillId="19" borderId="0" xfId="0" applyFont="1" applyFill="1" applyBorder="1" applyAlignment="1">
      <alignment horizontal="center" vertical="center"/>
    </xf>
    <xf numFmtId="0" fontId="1" fillId="19" borderId="62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/>
    </xf>
    <xf numFmtId="0" fontId="8" fillId="2" borderId="30" xfId="0" applyFont="1" applyFill="1" applyBorder="1" applyAlignment="1">
      <alignment horizontal="center"/>
    </xf>
    <xf numFmtId="0" fontId="8" fillId="2" borderId="31" xfId="0" applyFont="1" applyFill="1" applyBorder="1" applyAlignment="1">
      <alignment horizontal="center"/>
    </xf>
    <xf numFmtId="2" fontId="0" fillId="20" borderId="96" xfId="0" applyNumberFormat="1" applyFont="1" applyFill="1" applyBorder="1" applyAlignment="1">
      <alignment horizontal="center"/>
    </xf>
    <xf numFmtId="0" fontId="5" fillId="19" borderId="49" xfId="0" applyFont="1" applyFill="1" applyBorder="1" applyAlignment="1">
      <alignment horizontal="center" vertical="center"/>
    </xf>
    <xf numFmtId="0" fontId="5" fillId="19" borderId="50" xfId="0" applyFont="1" applyFill="1" applyBorder="1" applyAlignment="1">
      <alignment horizontal="center" vertical="center"/>
    </xf>
    <xf numFmtId="0" fontId="5" fillId="19" borderId="51" xfId="0" applyFont="1" applyFill="1" applyBorder="1" applyAlignment="1">
      <alignment horizontal="center" vertical="center"/>
    </xf>
    <xf numFmtId="0" fontId="0" fillId="8" borderId="64" xfId="0" applyFill="1" applyBorder="1" applyAlignment="1">
      <alignment horizontal="center" vertical="center"/>
    </xf>
    <xf numFmtId="0" fontId="0" fillId="8" borderId="56" xfId="0" applyFill="1" applyBorder="1" applyAlignment="1">
      <alignment horizontal="center" vertical="center"/>
    </xf>
    <xf numFmtId="0" fontId="0" fillId="10" borderId="34" xfId="0" applyFill="1" applyBorder="1" applyAlignment="1">
      <alignment horizontal="center" vertical="center"/>
    </xf>
    <xf numFmtId="0" fontId="0" fillId="10" borderId="86" xfId="0" applyFill="1" applyBorder="1" applyAlignment="1">
      <alignment horizontal="center" vertical="center"/>
    </xf>
    <xf numFmtId="0" fontId="0" fillId="10" borderId="36" xfId="0" applyFill="1" applyBorder="1" applyAlignment="1">
      <alignment horizontal="center" vertical="center"/>
    </xf>
    <xf numFmtId="0" fontId="0" fillId="10" borderId="18" xfId="0" applyFill="1" applyBorder="1" applyAlignment="1">
      <alignment horizontal="center" vertical="center"/>
    </xf>
    <xf numFmtId="2" fontId="0" fillId="10" borderId="64" xfId="0" applyNumberFormat="1" applyFill="1" applyBorder="1" applyAlignment="1">
      <alignment horizontal="center" vertical="center"/>
    </xf>
    <xf numFmtId="2" fontId="0" fillId="10" borderId="65" xfId="0" applyNumberFormat="1" applyFill="1" applyBorder="1" applyAlignment="1">
      <alignment horizontal="center" vertical="center"/>
    </xf>
    <xf numFmtId="0" fontId="5" fillId="19" borderId="71" xfId="0" applyFont="1" applyFill="1" applyBorder="1" applyAlignment="1">
      <alignment horizontal="center" vertical="center"/>
    </xf>
    <xf numFmtId="0" fontId="5" fillId="19" borderId="72" xfId="0" applyFont="1" applyFill="1" applyBorder="1" applyAlignment="1">
      <alignment horizontal="center" vertical="center"/>
    </xf>
    <xf numFmtId="0" fontId="5" fillId="19" borderId="83" xfId="0" applyFont="1" applyFill="1" applyBorder="1" applyAlignment="1">
      <alignment horizontal="center" vertical="center"/>
    </xf>
    <xf numFmtId="0" fontId="0" fillId="2" borderId="83" xfId="0" applyFill="1" applyBorder="1" applyAlignment="1">
      <alignment horizontal="center" vertical="center"/>
    </xf>
    <xf numFmtId="0" fontId="0" fillId="2" borderId="83" xfId="0" applyFill="1" applyBorder="1" applyAlignment="1">
      <alignment horizontal="center" vertical="center" wrapText="1"/>
    </xf>
    <xf numFmtId="0" fontId="0" fillId="2" borderId="62" xfId="0" applyFill="1" applyBorder="1" applyAlignment="1">
      <alignment horizontal="center" vertical="center" wrapText="1"/>
    </xf>
    <xf numFmtId="0" fontId="0" fillId="2" borderId="49" xfId="0" applyFill="1" applyBorder="1" applyAlignment="1">
      <alignment horizontal="center" vertical="center" wrapText="1"/>
    </xf>
    <xf numFmtId="0" fontId="0" fillId="2" borderId="50" xfId="0" applyFill="1" applyBorder="1" applyAlignment="1">
      <alignment horizontal="center" vertical="center" wrapText="1"/>
    </xf>
    <xf numFmtId="0" fontId="0" fillId="2" borderId="51" xfId="0" applyFill="1" applyBorder="1" applyAlignment="1">
      <alignment horizontal="center" vertical="center" wrapText="1"/>
    </xf>
    <xf numFmtId="0" fontId="0" fillId="8" borderId="81" xfId="0" applyFill="1" applyBorder="1" applyAlignment="1">
      <alignment horizontal="center" vertical="center"/>
    </xf>
    <xf numFmtId="0" fontId="0" fillId="10" borderId="103" xfId="0" applyFill="1" applyBorder="1" applyAlignment="1">
      <alignment horizontal="center" vertical="center"/>
    </xf>
    <xf numFmtId="0" fontId="0" fillId="10" borderId="93" xfId="0" applyFill="1" applyBorder="1" applyAlignment="1">
      <alignment horizontal="center" vertical="center"/>
    </xf>
    <xf numFmtId="2" fontId="0" fillId="10" borderId="34" xfId="0" applyNumberFormat="1" applyFill="1" applyBorder="1" applyAlignment="1">
      <alignment horizontal="center" vertical="center"/>
    </xf>
    <xf numFmtId="2" fontId="0" fillId="10" borderId="17" xfId="0" applyNumberFormat="1" applyFill="1" applyBorder="1" applyAlignment="1">
      <alignment horizontal="center" vertical="center"/>
    </xf>
    <xf numFmtId="2" fontId="0" fillId="10" borderId="86" xfId="0" applyNumberFormat="1" applyFill="1" applyBorder="1" applyAlignment="1">
      <alignment horizontal="center" vertical="center"/>
    </xf>
    <xf numFmtId="2" fontId="0" fillId="10" borderId="36" xfId="0" applyNumberFormat="1" applyFill="1" applyBorder="1" applyAlignment="1">
      <alignment horizontal="center" vertical="center"/>
    </xf>
    <xf numFmtId="0" fontId="3" fillId="13" borderId="79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3" fillId="13" borderId="77" xfId="0" applyFont="1" applyFill="1" applyBorder="1" applyAlignment="1">
      <alignment horizontal="center"/>
    </xf>
    <xf numFmtId="0" fontId="3" fillId="13" borderId="84" xfId="0" applyFont="1" applyFill="1" applyBorder="1" applyAlignment="1">
      <alignment horizontal="center"/>
    </xf>
    <xf numFmtId="2" fontId="3" fillId="20" borderId="79" xfId="0" applyNumberFormat="1" applyFont="1" applyFill="1" applyBorder="1" applyAlignment="1">
      <alignment horizontal="center"/>
    </xf>
    <xf numFmtId="2" fontId="3" fillId="20" borderId="2" xfId="0" applyNumberFormat="1" applyFont="1" applyFill="1" applyBorder="1" applyAlignment="1">
      <alignment horizontal="center"/>
    </xf>
    <xf numFmtId="2" fontId="3" fillId="20" borderId="77" xfId="0" applyNumberFormat="1" applyFont="1" applyFill="1" applyBorder="1" applyAlignment="1">
      <alignment horizontal="center"/>
    </xf>
    <xf numFmtId="2" fontId="3" fillId="20" borderId="84" xfId="0" applyNumberFormat="1" applyFont="1" applyFill="1" applyBorder="1" applyAlignment="1">
      <alignment horizontal="center"/>
    </xf>
    <xf numFmtId="2" fontId="3" fillId="20" borderId="104" xfId="0" applyNumberFormat="1" applyFont="1" applyFill="1" applyBorder="1" applyAlignment="1">
      <alignment horizontal="center"/>
    </xf>
    <xf numFmtId="2" fontId="3" fillId="20" borderId="105" xfId="0" applyNumberFormat="1" applyFont="1" applyFill="1" applyBorder="1" applyAlignment="1">
      <alignment horizontal="center"/>
    </xf>
    <xf numFmtId="0" fontId="5" fillId="19" borderId="57" xfId="0" applyFont="1" applyFill="1" applyBorder="1" applyAlignment="1">
      <alignment horizontal="center" vertical="center"/>
    </xf>
    <xf numFmtId="0" fontId="5" fillId="19" borderId="58" xfId="0" applyFont="1" applyFill="1" applyBorder="1" applyAlignment="1">
      <alignment horizontal="center" vertical="center"/>
    </xf>
    <xf numFmtId="0" fontId="5" fillId="19" borderId="59" xfId="0" applyFont="1" applyFill="1" applyBorder="1" applyAlignment="1">
      <alignment horizontal="center" vertical="center"/>
    </xf>
    <xf numFmtId="0" fontId="5" fillId="19" borderId="73" xfId="0" applyFont="1" applyFill="1" applyBorder="1" applyAlignment="1">
      <alignment horizontal="center" vertical="center" wrapText="1"/>
    </xf>
    <xf numFmtId="0" fontId="5" fillId="19" borderId="1" xfId="0" applyFont="1" applyFill="1" applyBorder="1" applyAlignment="1">
      <alignment horizontal="center" vertical="center" wrapText="1"/>
    </xf>
    <xf numFmtId="0" fontId="5" fillId="19" borderId="77" xfId="0" applyFont="1" applyFill="1" applyBorder="1" applyAlignment="1">
      <alignment horizontal="center" vertical="center" wrapText="1"/>
    </xf>
    <xf numFmtId="0" fontId="5" fillId="19" borderId="84" xfId="0" applyFont="1" applyFill="1" applyBorder="1" applyAlignment="1">
      <alignment horizontal="center" vertical="center" wrapText="1"/>
    </xf>
    <xf numFmtId="0" fontId="5" fillId="19" borderId="79" xfId="0" applyFont="1" applyFill="1" applyBorder="1" applyAlignment="1">
      <alignment horizontal="center" vertical="center" wrapText="1"/>
    </xf>
    <xf numFmtId="0" fontId="5" fillId="19" borderId="2" xfId="0" applyFont="1" applyFill="1" applyBorder="1" applyAlignment="1">
      <alignment horizontal="center" vertical="center" wrapText="1"/>
    </xf>
    <xf numFmtId="0" fontId="5" fillId="19" borderId="73" xfId="0" applyFont="1" applyFill="1" applyBorder="1" applyAlignment="1">
      <alignment horizontal="center" vertical="center"/>
    </xf>
    <xf numFmtId="0" fontId="5" fillId="19" borderId="1" xfId="0" applyFont="1" applyFill="1" applyBorder="1" applyAlignment="1">
      <alignment horizontal="center" vertical="center"/>
    </xf>
    <xf numFmtId="0" fontId="5" fillId="19" borderId="77" xfId="0" applyFont="1" applyFill="1" applyBorder="1" applyAlignment="1">
      <alignment horizontal="center" vertical="center"/>
    </xf>
    <xf numFmtId="0" fontId="5" fillId="19" borderId="84" xfId="0" applyFont="1" applyFill="1" applyBorder="1" applyAlignment="1">
      <alignment horizontal="center" vertical="center"/>
    </xf>
    <xf numFmtId="0" fontId="5" fillId="19" borderId="79" xfId="0" applyFont="1" applyFill="1" applyBorder="1" applyAlignment="1">
      <alignment horizontal="center" vertical="center"/>
    </xf>
    <xf numFmtId="0" fontId="5" fillId="19" borderId="2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19" borderId="52" xfId="0" applyFont="1" applyFill="1" applyBorder="1" applyAlignment="1">
      <alignment horizontal="center" vertical="center"/>
    </xf>
    <xf numFmtId="0" fontId="5" fillId="19" borderId="92" xfId="0" applyFont="1" applyFill="1" applyBorder="1" applyAlignment="1">
      <alignment horizontal="center" vertical="center"/>
    </xf>
    <xf numFmtId="0" fontId="5" fillId="19" borderId="54" xfId="0" applyFont="1" applyFill="1" applyBorder="1" applyAlignment="1">
      <alignment horizontal="center" vertical="center"/>
    </xf>
    <xf numFmtId="0" fontId="3" fillId="13" borderId="104" xfId="0" applyFont="1" applyFill="1" applyBorder="1" applyAlignment="1">
      <alignment horizontal="center"/>
    </xf>
    <xf numFmtId="0" fontId="3" fillId="13" borderId="105" xfId="0" applyFont="1" applyFill="1" applyBorder="1" applyAlignment="1">
      <alignment horizontal="center"/>
    </xf>
    <xf numFmtId="0" fontId="0" fillId="9" borderId="81" xfId="0" applyFill="1" applyBorder="1" applyAlignment="1">
      <alignment horizontal="center"/>
    </xf>
    <xf numFmtId="0" fontId="0" fillId="9" borderId="18" xfId="0" applyFill="1" applyBorder="1" applyAlignment="1">
      <alignment horizontal="center"/>
    </xf>
    <xf numFmtId="2" fontId="0" fillId="9" borderId="53" xfId="0" applyNumberFormat="1" applyFill="1" applyBorder="1" applyAlignment="1">
      <alignment horizontal="center"/>
    </xf>
    <xf numFmtId="2" fontId="0" fillId="9" borderId="60" xfId="0" applyNumberFormat="1" applyFill="1" applyBorder="1" applyAlignment="1">
      <alignment horizontal="center"/>
    </xf>
    <xf numFmtId="2" fontId="0" fillId="9" borderId="90" xfId="0" applyNumberFormat="1" applyFill="1" applyBorder="1" applyAlignment="1">
      <alignment horizontal="center"/>
    </xf>
    <xf numFmtId="2" fontId="0" fillId="9" borderId="91" xfId="0" applyNumberFormat="1" applyFill="1" applyBorder="1" applyAlignment="1">
      <alignment horizontal="center"/>
    </xf>
    <xf numFmtId="2" fontId="0" fillId="9" borderId="89" xfId="0" applyNumberFormat="1" applyFill="1" applyBorder="1" applyAlignment="1">
      <alignment horizontal="center"/>
    </xf>
    <xf numFmtId="0" fontId="0" fillId="9" borderId="80" xfId="0" applyFill="1" applyBorder="1" applyAlignment="1">
      <alignment horizontal="center"/>
    </xf>
    <xf numFmtId="0" fontId="0" fillId="9" borderId="56" xfId="0" applyFill="1" applyBorder="1" applyAlignment="1">
      <alignment horizontal="center"/>
    </xf>
    <xf numFmtId="0" fontId="0" fillId="9" borderId="66" xfId="0" applyFill="1" applyBorder="1" applyAlignment="1">
      <alignment horizontal="center"/>
    </xf>
    <xf numFmtId="2" fontId="0" fillId="9" borderId="34" xfId="0" applyNumberFormat="1" applyFill="1" applyBorder="1" applyAlignment="1">
      <alignment horizontal="center"/>
    </xf>
    <xf numFmtId="2" fontId="0" fillId="9" borderId="87" xfId="0" applyNumberFormat="1" applyFill="1" applyBorder="1" applyAlignment="1">
      <alignment horizontal="center"/>
    </xf>
    <xf numFmtId="2" fontId="0" fillId="9" borderId="73" xfId="0" applyNumberFormat="1" applyFill="1" applyBorder="1" applyAlignment="1">
      <alignment horizontal="center"/>
    </xf>
    <xf numFmtId="2" fontId="0" fillId="9" borderId="1" xfId="0" applyNumberFormat="1" applyFill="1" applyBorder="1" applyAlignment="1">
      <alignment horizontal="center"/>
    </xf>
    <xf numFmtId="2" fontId="0" fillId="9" borderId="88" xfId="0" applyNumberFormat="1" applyFill="1" applyBorder="1" applyAlignment="1">
      <alignment horizontal="center"/>
    </xf>
    <xf numFmtId="0" fontId="0" fillId="9" borderId="55" xfId="0" applyFill="1" applyBorder="1" applyAlignment="1">
      <alignment horizontal="center"/>
    </xf>
    <xf numFmtId="0" fontId="5" fillId="8" borderId="73" xfId="0" applyFont="1" applyFill="1" applyBorder="1" applyAlignment="1">
      <alignment horizontal="center" vertical="center"/>
    </xf>
    <xf numFmtId="0" fontId="5" fillId="8" borderId="77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 wrapText="1"/>
    </xf>
    <xf numFmtId="0" fontId="5" fillId="8" borderId="55" xfId="0" applyFont="1" applyFill="1" applyBorder="1" applyAlignment="1">
      <alignment horizontal="center" vertical="center" wrapText="1"/>
    </xf>
    <xf numFmtId="0" fontId="1" fillId="8" borderId="74" xfId="0" applyFont="1" applyFill="1" applyBorder="1" applyAlignment="1">
      <alignment horizontal="center" vertical="center"/>
    </xf>
    <xf numFmtId="0" fontId="1" fillId="8" borderId="55" xfId="0" applyFont="1" applyFill="1" applyBorder="1" applyAlignment="1">
      <alignment horizontal="center" vertical="center"/>
    </xf>
    <xf numFmtId="0" fontId="1" fillId="8" borderId="57" xfId="0" applyFont="1" applyFill="1" applyBorder="1" applyAlignment="1">
      <alignment horizontal="center" vertical="center"/>
    </xf>
    <xf numFmtId="0" fontId="0" fillId="8" borderId="58" xfId="0" applyFill="1" applyBorder="1" applyAlignment="1">
      <alignment horizontal="center" vertical="center"/>
    </xf>
    <xf numFmtId="0" fontId="0" fillId="8" borderId="59" xfId="0" applyFill="1" applyBorder="1" applyAlignment="1">
      <alignment horizontal="center" vertical="center"/>
    </xf>
    <xf numFmtId="0" fontId="0" fillId="8" borderId="106" xfId="0" applyFill="1" applyBorder="1" applyAlignment="1">
      <alignment horizontal="center" vertical="center"/>
    </xf>
    <xf numFmtId="0" fontId="0" fillId="10" borderId="64" xfId="0" applyFill="1" applyBorder="1" applyAlignment="1">
      <alignment horizontal="center" vertical="center"/>
    </xf>
    <xf numFmtId="0" fontId="0" fillId="10" borderId="65" xfId="0" applyFill="1" applyBorder="1" applyAlignment="1">
      <alignment horizontal="center" vertical="center"/>
    </xf>
    <xf numFmtId="0" fontId="1" fillId="8" borderId="17" xfId="0" applyFont="1" applyFill="1" applyBorder="1" applyAlignment="1">
      <alignment horizontal="center" vertical="center"/>
    </xf>
    <xf numFmtId="0" fontId="1" fillId="8" borderId="75" xfId="0" applyFont="1" applyFill="1" applyBorder="1" applyAlignment="1">
      <alignment horizontal="center" vertical="center"/>
    </xf>
    <xf numFmtId="0" fontId="1" fillId="8" borderId="66" xfId="0" applyFont="1" applyFill="1" applyBorder="1" applyAlignment="1">
      <alignment horizontal="center" vertical="center"/>
    </xf>
    <xf numFmtId="0" fontId="1" fillId="8" borderId="56" xfId="0" applyFont="1" applyFill="1" applyBorder="1" applyAlignment="1">
      <alignment horizontal="center" vertical="center"/>
    </xf>
    <xf numFmtId="0" fontId="1" fillId="8" borderId="93" xfId="0" applyFont="1" applyFill="1" applyBorder="1" applyAlignment="1">
      <alignment horizontal="center" vertical="center"/>
    </xf>
    <xf numFmtId="0" fontId="1" fillId="8" borderId="103" xfId="0" applyFont="1" applyFill="1" applyBorder="1" applyAlignment="1">
      <alignment horizontal="center" vertical="center"/>
    </xf>
    <xf numFmtId="2" fontId="0" fillId="9" borderId="17" xfId="0" applyNumberFormat="1" applyFill="1" applyBorder="1" applyAlignment="1">
      <alignment horizontal="center"/>
    </xf>
    <xf numFmtId="2" fontId="0" fillId="9" borderId="75" xfId="0" applyNumberFormat="1" applyFill="1" applyBorder="1" applyAlignment="1">
      <alignment horizontal="center"/>
    </xf>
    <xf numFmtId="0" fontId="1" fillId="8" borderId="69" xfId="0" applyFont="1" applyFill="1" applyBorder="1" applyAlignment="1">
      <alignment horizontal="center" vertical="center"/>
    </xf>
    <xf numFmtId="0" fontId="1" fillId="8" borderId="70" xfId="0" applyFont="1" applyFill="1" applyBorder="1" applyAlignment="1">
      <alignment horizontal="center" vertical="center"/>
    </xf>
    <xf numFmtId="0" fontId="1" fillId="8" borderId="67" xfId="0" applyFont="1" applyFill="1" applyBorder="1" applyAlignment="1">
      <alignment horizontal="center" vertical="center"/>
    </xf>
    <xf numFmtId="0" fontId="1" fillId="8" borderId="68" xfId="0" applyFont="1" applyFill="1" applyBorder="1" applyAlignment="1">
      <alignment horizontal="center" vertical="center"/>
    </xf>
    <xf numFmtId="0" fontId="1" fillId="8" borderId="64" xfId="0" applyFont="1" applyFill="1" applyBorder="1" applyAlignment="1">
      <alignment horizontal="center" vertical="center"/>
    </xf>
    <xf numFmtId="0" fontId="1" fillId="8" borderId="65" xfId="0" applyFont="1" applyFill="1" applyBorder="1" applyAlignment="1">
      <alignment horizontal="center" vertical="center"/>
    </xf>
    <xf numFmtId="0" fontId="1" fillId="8" borderId="52" xfId="0" applyFont="1" applyFill="1" applyBorder="1" applyAlignment="1">
      <alignment horizontal="center" vertical="center"/>
    </xf>
    <xf numFmtId="0" fontId="1" fillId="8" borderId="92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84" xfId="0" applyFont="1" applyFill="1" applyBorder="1" applyAlignment="1">
      <alignment horizontal="center" vertical="center"/>
    </xf>
    <xf numFmtId="0" fontId="1" fillId="8" borderId="63" xfId="0" applyFont="1" applyFill="1" applyBorder="1" applyAlignment="1">
      <alignment horizontal="center" vertical="center"/>
    </xf>
    <xf numFmtId="0" fontId="1" fillId="8" borderId="85" xfId="0" applyFont="1" applyFill="1" applyBorder="1" applyAlignment="1">
      <alignment horizontal="center" vertical="center"/>
    </xf>
    <xf numFmtId="0" fontId="1" fillId="8" borderId="71" xfId="0" applyFont="1" applyFill="1" applyBorder="1" applyAlignment="1">
      <alignment horizontal="center" vertical="center"/>
    </xf>
    <xf numFmtId="0" fontId="0" fillId="8" borderId="72" xfId="0" applyFill="1" applyBorder="1" applyAlignment="1">
      <alignment horizontal="center" vertical="center"/>
    </xf>
    <xf numFmtId="0" fontId="0" fillId="8" borderId="83" xfId="0" applyFill="1" applyBorder="1" applyAlignment="1">
      <alignment horizontal="center" vertical="center"/>
    </xf>
    <xf numFmtId="0" fontId="5" fillId="8" borderId="69" xfId="0" applyFont="1" applyFill="1" applyBorder="1" applyAlignment="1">
      <alignment horizontal="center" vertical="center" wrapText="1"/>
    </xf>
    <xf numFmtId="0" fontId="5" fillId="8" borderId="70" xfId="0" applyFont="1" applyFill="1" applyBorder="1" applyAlignment="1">
      <alignment horizontal="center" vertical="center" wrapText="1"/>
    </xf>
    <xf numFmtId="0" fontId="5" fillId="8" borderId="67" xfId="0" applyFont="1" applyFill="1" applyBorder="1" applyAlignment="1">
      <alignment horizontal="center" vertical="center" wrapText="1"/>
    </xf>
    <xf numFmtId="0" fontId="5" fillId="8" borderId="68" xfId="0" applyFont="1" applyFill="1" applyBorder="1" applyAlignment="1">
      <alignment horizontal="center" vertical="center" wrapText="1"/>
    </xf>
    <xf numFmtId="0" fontId="5" fillId="8" borderId="64" xfId="0" applyFont="1" applyFill="1" applyBorder="1" applyAlignment="1">
      <alignment horizontal="center" vertical="center" wrapText="1"/>
    </xf>
    <xf numFmtId="0" fontId="5" fillId="8" borderId="65" xfId="0" applyFont="1" applyFill="1" applyBorder="1" applyAlignment="1">
      <alignment horizontal="center" vertical="center" wrapText="1"/>
    </xf>
    <xf numFmtId="0" fontId="3" fillId="6" borderId="43" xfId="0" applyFont="1" applyFill="1" applyBorder="1" applyAlignment="1">
      <alignment horizontal="center"/>
    </xf>
    <xf numFmtId="0" fontId="8" fillId="2" borderId="32" xfId="0" applyFont="1" applyFill="1" applyBorder="1" applyAlignment="1">
      <alignment horizontal="center"/>
    </xf>
    <xf numFmtId="0" fontId="8" fillId="2" borderId="38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27" xfId="0" applyFont="1" applyFill="1" applyBorder="1" applyAlignment="1">
      <alignment horizontal="center"/>
    </xf>
    <xf numFmtId="0" fontId="8" fillId="2" borderId="44" xfId="0" applyFont="1" applyFill="1" applyBorder="1" applyAlignment="1">
      <alignment horizontal="center"/>
    </xf>
    <xf numFmtId="0" fontId="8" fillId="2" borderId="45" xfId="0" applyFont="1" applyFill="1" applyBorder="1" applyAlignment="1">
      <alignment horizontal="center"/>
    </xf>
    <xf numFmtId="0" fontId="5" fillId="2" borderId="43" xfId="0" applyFont="1" applyFill="1" applyBorder="1" applyAlignment="1">
      <alignment horizontal="center" vertical="center" wrapText="1"/>
    </xf>
    <xf numFmtId="0" fontId="0" fillId="0" borderId="52" xfId="0" applyBorder="1" applyAlignment="1">
      <alignment horizontal="center"/>
    </xf>
    <xf numFmtId="0" fontId="0" fillId="0" borderId="49" xfId="0" applyBorder="1" applyAlignment="1">
      <alignment horizontal="center"/>
    </xf>
    <xf numFmtId="0" fontId="1" fillId="8" borderId="48" xfId="0" applyFont="1" applyFill="1" applyBorder="1" applyAlignment="1">
      <alignment horizontal="center" vertical="center"/>
    </xf>
    <xf numFmtId="0" fontId="1" fillId="8" borderId="0" xfId="0" applyFont="1" applyFill="1" applyBorder="1" applyAlignment="1">
      <alignment horizontal="center" vertical="center"/>
    </xf>
    <xf numFmtId="0" fontId="1" fillId="8" borderId="49" xfId="0" applyFont="1" applyFill="1" applyBorder="1" applyAlignment="1">
      <alignment horizontal="center" vertical="center"/>
    </xf>
    <xf numFmtId="0" fontId="1" fillId="8" borderId="50" xfId="0" applyFont="1" applyFill="1" applyBorder="1" applyAlignment="1">
      <alignment horizontal="center" vertical="center"/>
    </xf>
    <xf numFmtId="2" fontId="0" fillId="9" borderId="86" xfId="0" applyNumberFormat="1" applyFill="1" applyBorder="1" applyAlignment="1">
      <alignment horizontal="center"/>
    </xf>
    <xf numFmtId="2" fontId="0" fillId="9" borderId="36" xfId="0" applyNumberFormat="1" applyFill="1" applyBorder="1" applyAlignment="1">
      <alignment horizontal="center"/>
    </xf>
    <xf numFmtId="0" fontId="0" fillId="0" borderId="52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9" borderId="71" xfId="0" applyFill="1" applyBorder="1" applyAlignment="1">
      <alignment horizontal="center" vertical="center"/>
    </xf>
    <xf numFmtId="0" fontId="0" fillId="9" borderId="72" xfId="0" applyFill="1" applyBorder="1" applyAlignment="1">
      <alignment horizontal="center" vertical="center"/>
    </xf>
    <xf numFmtId="0" fontId="0" fillId="9" borderId="83" xfId="0" applyFill="1" applyBorder="1" applyAlignment="1">
      <alignment horizontal="center" vertical="center"/>
    </xf>
    <xf numFmtId="0" fontId="11" fillId="8" borderId="7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2" fillId="16" borderId="53" xfId="0" applyFont="1" applyFill="1" applyBorder="1" applyAlignment="1">
      <alignment horizontal="center"/>
    </xf>
    <xf numFmtId="0" fontId="12" fillId="16" borderId="60" xfId="0" applyFont="1" applyFill="1" applyBorder="1" applyAlignment="1">
      <alignment horizontal="center"/>
    </xf>
    <xf numFmtId="0" fontId="12" fillId="16" borderId="61" xfId="0" applyFont="1" applyFill="1" applyBorder="1" applyAlignment="1">
      <alignment horizontal="center"/>
    </xf>
    <xf numFmtId="0" fontId="12" fillId="21" borderId="53" xfId="0" applyFont="1" applyFill="1" applyBorder="1" applyAlignment="1">
      <alignment horizontal="center"/>
    </xf>
    <xf numFmtId="0" fontId="12" fillId="21" borderId="60" xfId="0" applyFont="1" applyFill="1" applyBorder="1" applyAlignment="1">
      <alignment horizontal="center"/>
    </xf>
    <xf numFmtId="0" fontId="12" fillId="21" borderId="61" xfId="0" applyFont="1" applyFill="1" applyBorder="1" applyAlignment="1">
      <alignment horizontal="center"/>
    </xf>
    <xf numFmtId="0" fontId="12" fillId="17" borderId="53" xfId="0" applyFont="1" applyFill="1" applyBorder="1" applyAlignment="1">
      <alignment horizontal="center"/>
    </xf>
    <xf numFmtId="0" fontId="12" fillId="17" borderId="60" xfId="0" applyFont="1" applyFill="1" applyBorder="1" applyAlignment="1">
      <alignment horizontal="center"/>
    </xf>
    <xf numFmtId="0" fontId="12" fillId="17" borderId="61" xfId="0" applyFont="1" applyFill="1" applyBorder="1" applyAlignment="1">
      <alignment horizontal="center"/>
    </xf>
    <xf numFmtId="0" fontId="14" fillId="3" borderId="96" xfId="0" applyFont="1" applyFill="1" applyBorder="1" applyAlignment="1">
      <alignment horizontal="center" vertical="center"/>
    </xf>
    <xf numFmtId="0" fontId="14" fillId="3" borderId="88" xfId="0" applyFont="1" applyFill="1" applyBorder="1" applyAlignment="1">
      <alignment horizontal="center" vertical="center"/>
    </xf>
    <xf numFmtId="0" fontId="14" fillId="13" borderId="55" xfId="0" applyFont="1" applyFill="1" applyBorder="1" applyAlignment="1">
      <alignment horizontal="center" vertical="center"/>
    </xf>
    <xf numFmtId="0" fontId="14" fillId="13" borderId="56" xfId="0" applyFont="1" applyFill="1" applyBorder="1" applyAlignment="1">
      <alignment horizontal="center" vertical="center"/>
    </xf>
    <xf numFmtId="0" fontId="14" fillId="20" borderId="34" xfId="0" applyFont="1" applyFill="1" applyBorder="1" applyAlignment="1">
      <alignment horizontal="center" vertical="center"/>
    </xf>
    <xf numFmtId="0" fontId="14" fillId="20" borderId="86" xfId="0" applyFont="1" applyFill="1" applyBorder="1" applyAlignment="1">
      <alignment horizontal="center" vertical="center"/>
    </xf>
    <xf numFmtId="0" fontId="14" fillId="20" borderId="36" xfId="0" applyFont="1" applyFill="1" applyBorder="1" applyAlignment="1">
      <alignment horizontal="center" vertical="center"/>
    </xf>
    <xf numFmtId="2" fontId="14" fillId="20" borderId="98" xfId="0" applyNumberFormat="1" applyFont="1" applyFill="1" applyBorder="1" applyAlignment="1">
      <alignment horizontal="center" vertical="center"/>
    </xf>
    <xf numFmtId="2" fontId="14" fillId="20" borderId="86" xfId="0" applyNumberFormat="1" applyFont="1" applyFill="1" applyBorder="1" applyAlignment="1">
      <alignment horizontal="center" vertical="center"/>
    </xf>
    <xf numFmtId="2" fontId="14" fillId="20" borderId="36" xfId="0" applyNumberFormat="1" applyFont="1" applyFill="1" applyBorder="1" applyAlignment="1">
      <alignment horizontal="center" vertical="center"/>
    </xf>
    <xf numFmtId="0" fontId="14" fillId="3" borderId="55" xfId="0" applyFont="1" applyFill="1" applyBorder="1" applyAlignment="1">
      <alignment horizontal="center" vertical="center"/>
    </xf>
    <xf numFmtId="0" fontId="14" fillId="13" borderId="78" xfId="0" applyFont="1" applyFill="1" applyBorder="1" applyAlignment="1">
      <alignment horizontal="center" vertical="center"/>
    </xf>
    <xf numFmtId="0" fontId="14" fillId="13" borderId="95" xfId="0" applyFont="1" applyFill="1" applyBorder="1" applyAlignment="1">
      <alignment horizontal="center" vertical="center"/>
    </xf>
    <xf numFmtId="2" fontId="14" fillId="20" borderId="34" xfId="0" applyNumberFormat="1" applyFont="1" applyFill="1" applyBorder="1" applyAlignment="1">
      <alignment horizontal="center" vertical="center"/>
    </xf>
    <xf numFmtId="0" fontId="14" fillId="13" borderId="106" xfId="0" applyFont="1" applyFill="1" applyBorder="1" applyAlignment="1">
      <alignment horizontal="center" vertical="center"/>
    </xf>
    <xf numFmtId="0" fontId="14" fillId="20" borderId="73" xfId="0" applyFont="1" applyFill="1" applyBorder="1" applyAlignment="1">
      <alignment horizontal="center" vertical="center"/>
    </xf>
    <xf numFmtId="0" fontId="14" fillId="20" borderId="77" xfId="0" applyFont="1" applyFill="1" applyBorder="1" applyAlignment="1">
      <alignment horizontal="center" vertical="center"/>
    </xf>
    <xf numFmtId="0" fontId="14" fillId="20" borderId="79" xfId="0" applyFont="1" applyFill="1" applyBorder="1" applyAlignment="1">
      <alignment horizontal="center" vertical="center"/>
    </xf>
    <xf numFmtId="2" fontId="14" fillId="20" borderId="73" xfId="0" applyNumberFormat="1" applyFont="1" applyFill="1" applyBorder="1" applyAlignment="1">
      <alignment horizontal="center" vertical="center"/>
    </xf>
    <xf numFmtId="2" fontId="14" fillId="20" borderId="77" xfId="0" applyNumberFormat="1" applyFont="1" applyFill="1" applyBorder="1" applyAlignment="1">
      <alignment horizontal="center" vertical="center"/>
    </xf>
    <xf numFmtId="2" fontId="14" fillId="20" borderId="79" xfId="0" applyNumberFormat="1" applyFont="1" applyFill="1" applyBorder="1" applyAlignment="1">
      <alignment horizontal="center" vertical="center"/>
    </xf>
    <xf numFmtId="0" fontId="14" fillId="3" borderId="56" xfId="0" applyFont="1" applyFill="1" applyBorder="1" applyAlignment="1">
      <alignment horizontal="center" vertical="center"/>
    </xf>
    <xf numFmtId="0" fontId="14" fillId="13" borderId="88" xfId="0" applyFont="1" applyFill="1" applyBorder="1" applyAlignment="1">
      <alignment horizontal="center" vertical="center"/>
    </xf>
    <xf numFmtId="0" fontId="14" fillId="19" borderId="55" xfId="0" applyFont="1" applyFill="1" applyBorder="1" applyAlignment="1">
      <alignment horizontal="center" vertical="center" wrapText="1"/>
    </xf>
    <xf numFmtId="0" fontId="14" fillId="19" borderId="63" xfId="0" applyFont="1" applyFill="1" applyBorder="1" applyAlignment="1">
      <alignment horizontal="center" vertical="center"/>
    </xf>
    <xf numFmtId="0" fontId="14" fillId="19" borderId="107" xfId="0" applyFont="1" applyFill="1" applyBorder="1" applyAlignment="1">
      <alignment horizontal="center" vertical="center"/>
    </xf>
    <xf numFmtId="0" fontId="14" fillId="19" borderId="63" xfId="0" applyFont="1" applyFill="1" applyBorder="1" applyAlignment="1">
      <alignment horizontal="center" vertical="center" wrapText="1"/>
    </xf>
    <xf numFmtId="0" fontId="14" fillId="19" borderId="55" xfId="0" applyFont="1" applyFill="1" applyBorder="1" applyAlignment="1">
      <alignment horizontal="center" vertical="center"/>
    </xf>
    <xf numFmtId="0" fontId="14" fillId="19" borderId="106" xfId="0" applyFont="1" applyFill="1" applyBorder="1" applyAlignment="1">
      <alignment horizontal="center" vertical="center"/>
    </xf>
    <xf numFmtId="0" fontId="14" fillId="20" borderId="104" xfId="0" applyFont="1" applyFill="1" applyBorder="1" applyAlignment="1">
      <alignment horizontal="center" vertical="center"/>
    </xf>
    <xf numFmtId="0" fontId="14" fillId="20" borderId="108" xfId="0" applyFont="1" applyFill="1" applyBorder="1" applyAlignment="1">
      <alignment horizontal="center" vertical="center"/>
    </xf>
    <xf numFmtId="0" fontId="14" fillId="19" borderId="103" xfId="0" applyFont="1" applyFill="1" applyBorder="1" applyAlignment="1">
      <alignment horizontal="center" vertical="center"/>
    </xf>
    <xf numFmtId="0" fontId="14" fillId="19" borderId="64" xfId="0" applyFont="1" applyFill="1" applyBorder="1" applyAlignment="1">
      <alignment horizontal="center" vertical="center"/>
    </xf>
    <xf numFmtId="0" fontId="14" fillId="19" borderId="97" xfId="0" applyFont="1" applyFill="1" applyBorder="1" applyAlignment="1">
      <alignment horizontal="center" vertical="center"/>
    </xf>
    <xf numFmtId="0" fontId="14" fillId="19" borderId="96" xfId="0" applyFont="1" applyFill="1" applyBorder="1" applyAlignment="1">
      <alignment horizontal="center" vertical="center"/>
    </xf>
    <xf numFmtId="0" fontId="14" fillId="19" borderId="97" xfId="0" applyFont="1" applyFill="1" applyBorder="1" applyAlignment="1">
      <alignment horizontal="center" vertical="center" wrapText="1"/>
    </xf>
    <xf numFmtId="0" fontId="14" fillId="19" borderId="0" xfId="0" applyFont="1" applyFill="1" applyBorder="1" applyAlignment="1">
      <alignment horizontal="center" vertical="center"/>
    </xf>
    <xf numFmtId="0" fontId="14" fillId="19" borderId="66" xfId="0" applyFont="1" applyFill="1" applyBorder="1" applyAlignment="1">
      <alignment horizontal="center" vertical="center"/>
    </xf>
    <xf numFmtId="0" fontId="14" fillId="19" borderId="93" xfId="0" applyFont="1" applyFill="1" applyBorder="1" applyAlignment="1">
      <alignment horizontal="center" vertical="center"/>
    </xf>
    <xf numFmtId="0" fontId="14" fillId="19" borderId="56" xfId="0" applyFont="1" applyFill="1" applyBorder="1" applyAlignment="1">
      <alignment horizontal="center" vertical="center"/>
    </xf>
    <xf numFmtId="0" fontId="14" fillId="19" borderId="88" xfId="0" applyFont="1" applyFill="1" applyBorder="1" applyAlignment="1">
      <alignment horizontal="center" vertical="center"/>
    </xf>
    <xf numFmtId="0" fontId="12" fillId="15" borderId="53" xfId="0" applyFont="1" applyFill="1" applyBorder="1" applyAlignment="1">
      <alignment horizontal="center"/>
    </xf>
    <xf numFmtId="0" fontId="12" fillId="15" borderId="60" xfId="0" applyFont="1" applyFill="1" applyBorder="1" applyAlignment="1">
      <alignment horizontal="center"/>
    </xf>
    <xf numFmtId="0" fontId="12" fillId="15" borderId="61" xfId="0" applyFont="1" applyFill="1" applyBorder="1" applyAlignment="1">
      <alignment horizontal="center"/>
    </xf>
    <xf numFmtId="0" fontId="12" fillId="14" borderId="53" xfId="0" applyFont="1" applyFill="1" applyBorder="1" applyAlignment="1">
      <alignment horizontal="center"/>
    </xf>
    <xf numFmtId="0" fontId="12" fillId="14" borderId="60" xfId="0" applyFont="1" applyFill="1" applyBorder="1" applyAlignment="1">
      <alignment horizontal="center"/>
    </xf>
    <xf numFmtId="0" fontId="12" fillId="14" borderId="61" xfId="0" applyFont="1" applyFill="1" applyBorder="1" applyAlignment="1">
      <alignment horizontal="center"/>
    </xf>
    <xf numFmtId="0" fontId="14" fillId="3" borderId="106" xfId="0" applyFont="1" applyFill="1" applyBorder="1" applyAlignment="1">
      <alignment horizontal="center" vertical="center"/>
    </xf>
    <xf numFmtId="0" fontId="14" fillId="13" borderId="64" xfId="0" applyFont="1" applyFill="1" applyBorder="1" applyAlignment="1">
      <alignment horizontal="center" vertical="center"/>
    </xf>
    <xf numFmtId="0" fontId="14" fillId="19" borderId="8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1.xml"/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3.xml"/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5.xml"/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6.xml"/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7.xml"/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8.xml"/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0.xml"/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1.xml"/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2.xml"/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3.xml"/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5.xml"/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6.xml"/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7.xml"/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8.xml"/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0.xml"/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1.xml"/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2.xml"/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3.xml"/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4.xml"/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5.xml"/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6.xml"/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4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7.xml"/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4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8.xml"/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4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9.xml"/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4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0.xml"/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4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1.xml"/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4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2.xml"/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_rels/chart4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3.xml"/><Relationship Id="rId2" Type="http://schemas.microsoft.com/office/2011/relationships/chartColorStyle" Target="colors47.xml"/><Relationship Id="rId1" Type="http://schemas.microsoft.com/office/2011/relationships/chartStyle" Target="style47.xml"/></Relationships>
</file>

<file path=xl/charts/_rels/chart4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4.xml"/><Relationship Id="rId2" Type="http://schemas.microsoft.com/office/2011/relationships/chartColorStyle" Target="colors48.xml"/><Relationship Id="rId1" Type="http://schemas.microsoft.com/office/2011/relationships/chartStyle" Target="style48.xml"/></Relationships>
</file>

<file path=xl/charts/_rels/chart4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5.xml"/><Relationship Id="rId2" Type="http://schemas.microsoft.com/office/2011/relationships/chartColorStyle" Target="colors49.xml"/><Relationship Id="rId1" Type="http://schemas.microsoft.com/office/2011/relationships/chartStyle" Target="style49.xml"/></Relationships>
</file>

<file path=xl/charts/_rels/chart5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6.xml"/><Relationship Id="rId2" Type="http://schemas.microsoft.com/office/2011/relationships/chartColorStyle" Target="colors50.xml"/><Relationship Id="rId1" Type="http://schemas.microsoft.com/office/2011/relationships/chartStyle" Target="style50.xml"/></Relationships>
</file>

<file path=xl/charts/_rels/chart5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7.xml"/><Relationship Id="rId2" Type="http://schemas.microsoft.com/office/2011/relationships/chartColorStyle" Target="colors51.xml"/><Relationship Id="rId1" Type="http://schemas.microsoft.com/office/2011/relationships/chartStyle" Target="style51.xml"/></Relationships>
</file>

<file path=xl/charts/_rels/chart5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8.xml"/><Relationship Id="rId2" Type="http://schemas.microsoft.com/office/2011/relationships/chartColorStyle" Target="colors52.xml"/><Relationship Id="rId1" Type="http://schemas.microsoft.com/office/2011/relationships/chartStyle" Target="style52.xml"/></Relationships>
</file>

<file path=xl/charts/_rels/chart5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9.xml"/><Relationship Id="rId2" Type="http://schemas.microsoft.com/office/2011/relationships/chartColorStyle" Target="colors53.xml"/><Relationship Id="rId1" Type="http://schemas.microsoft.com/office/2011/relationships/chartStyle" Target="style53.xml"/></Relationships>
</file>

<file path=xl/charts/_rels/chart5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0.xml"/><Relationship Id="rId2" Type="http://schemas.microsoft.com/office/2011/relationships/chartColorStyle" Target="colors54.xml"/><Relationship Id="rId1" Type="http://schemas.microsoft.com/office/2011/relationships/chartStyle" Target="style54.xml"/></Relationships>
</file>

<file path=xl/charts/_rels/chart5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1.xml"/><Relationship Id="rId2" Type="http://schemas.microsoft.com/office/2011/relationships/chartColorStyle" Target="colors55.xml"/><Relationship Id="rId1" Type="http://schemas.microsoft.com/office/2011/relationships/chartStyle" Target="style55.xml"/></Relationships>
</file>

<file path=xl/charts/_rels/chart5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2.xml"/><Relationship Id="rId2" Type="http://schemas.microsoft.com/office/2011/relationships/chartColorStyle" Target="colors56.xml"/><Relationship Id="rId1" Type="http://schemas.microsoft.com/office/2011/relationships/chartStyle" Target="style56.xml"/></Relationships>
</file>

<file path=xl/charts/_rels/chart5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3.xml"/><Relationship Id="rId2" Type="http://schemas.microsoft.com/office/2011/relationships/chartColorStyle" Target="colors57.xml"/><Relationship Id="rId1" Type="http://schemas.microsoft.com/office/2011/relationships/chartStyle" Target="style57.xml"/></Relationships>
</file>

<file path=xl/charts/_rels/chart5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4.xml"/><Relationship Id="rId2" Type="http://schemas.microsoft.com/office/2011/relationships/chartColorStyle" Target="colors58.xml"/><Relationship Id="rId1" Type="http://schemas.microsoft.com/office/2011/relationships/chartStyle" Target="style58.xml"/></Relationships>
</file>

<file path=xl/charts/_rels/chart5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5.xml"/><Relationship Id="rId2" Type="http://schemas.microsoft.com/office/2011/relationships/chartColorStyle" Target="colors59.xml"/><Relationship Id="rId1" Type="http://schemas.microsoft.com/office/2011/relationships/chartStyle" Target="style59.xml"/></Relationships>
</file>

<file path=xl/charts/_rels/chart6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6.xml"/><Relationship Id="rId2" Type="http://schemas.microsoft.com/office/2011/relationships/chartColorStyle" Target="colors60.xml"/><Relationship Id="rId1" Type="http://schemas.microsoft.com/office/2011/relationships/chartStyle" Target="style60.xml"/></Relationships>
</file>

<file path=xl/charts/_rels/chart6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7.xml"/><Relationship Id="rId2" Type="http://schemas.microsoft.com/office/2011/relationships/chartColorStyle" Target="colors61.xml"/><Relationship Id="rId1" Type="http://schemas.microsoft.com/office/2011/relationships/chartStyle" Target="style61.xml"/></Relationships>
</file>

<file path=xl/charts/_rels/chart6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8.xml"/><Relationship Id="rId2" Type="http://schemas.microsoft.com/office/2011/relationships/chartColorStyle" Target="colors62.xml"/><Relationship Id="rId1" Type="http://schemas.microsoft.com/office/2011/relationships/chartStyle" Target="style62.xml"/></Relationships>
</file>

<file path=xl/charts/_rels/chart6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9.xml"/><Relationship Id="rId2" Type="http://schemas.microsoft.com/office/2011/relationships/chartColorStyle" Target="colors63.xml"/><Relationship Id="rId1" Type="http://schemas.microsoft.com/office/2011/relationships/chartStyle" Target="style63.xml"/></Relationships>
</file>

<file path=xl/charts/_rels/chart6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0.xml"/><Relationship Id="rId2" Type="http://schemas.microsoft.com/office/2011/relationships/chartColorStyle" Target="colors64.xml"/><Relationship Id="rId1" Type="http://schemas.microsoft.com/office/2011/relationships/chartStyle" Target="style64.xml"/></Relationships>
</file>

<file path=xl/charts/_rels/chart6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1.xml"/><Relationship Id="rId2" Type="http://schemas.microsoft.com/office/2011/relationships/chartColorStyle" Target="colors65.xml"/><Relationship Id="rId1" Type="http://schemas.microsoft.com/office/2011/relationships/chartStyle" Target="style65.xml"/></Relationships>
</file>

<file path=xl/charts/_rels/chart6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2.xml"/><Relationship Id="rId2" Type="http://schemas.microsoft.com/office/2011/relationships/chartColorStyle" Target="colors66.xml"/><Relationship Id="rId1" Type="http://schemas.microsoft.com/office/2011/relationships/chartStyle" Target="style66.xml"/></Relationships>
</file>

<file path=xl/charts/_rels/chart6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3.xml"/><Relationship Id="rId2" Type="http://schemas.microsoft.com/office/2011/relationships/chartColorStyle" Target="colors67.xml"/><Relationship Id="rId1" Type="http://schemas.microsoft.com/office/2011/relationships/chartStyle" Target="style67.xml"/></Relationships>
</file>

<file path=xl/charts/_rels/chart6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4.xml"/><Relationship Id="rId2" Type="http://schemas.microsoft.com/office/2011/relationships/chartColorStyle" Target="colors68.xml"/><Relationship Id="rId1" Type="http://schemas.microsoft.com/office/2011/relationships/chartStyle" Target="style68.xml"/></Relationships>
</file>

<file path=xl/charts/_rels/chart6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5.xml"/><Relationship Id="rId2" Type="http://schemas.microsoft.com/office/2011/relationships/chartColorStyle" Target="colors69.xml"/><Relationship Id="rId1" Type="http://schemas.microsoft.com/office/2011/relationships/chartStyle" Target="style69.xml"/></Relationships>
</file>

<file path=xl/charts/_rels/chart7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6.xml"/><Relationship Id="rId2" Type="http://schemas.microsoft.com/office/2011/relationships/chartColorStyle" Target="colors70.xml"/><Relationship Id="rId1" Type="http://schemas.microsoft.com/office/2011/relationships/chartStyle" Target="style70.xml"/></Relationships>
</file>

<file path=xl/charts/_rels/chart7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7.xml"/><Relationship Id="rId2" Type="http://schemas.microsoft.com/office/2011/relationships/chartColorStyle" Target="colors71.xml"/><Relationship Id="rId1" Type="http://schemas.microsoft.com/office/2011/relationships/chartStyle" Target="style71.xml"/></Relationships>
</file>

<file path=xl/charts/_rels/chart7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8.xml"/><Relationship Id="rId2" Type="http://schemas.microsoft.com/office/2011/relationships/chartColorStyle" Target="colors72.xml"/><Relationship Id="rId1" Type="http://schemas.microsoft.com/office/2011/relationships/chartStyle" Target="style72.xml"/></Relationships>
</file>

<file path=xl/charts/_rels/chart7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9.xml"/><Relationship Id="rId2" Type="http://schemas.microsoft.com/office/2011/relationships/chartColorStyle" Target="colors73.xml"/><Relationship Id="rId1" Type="http://schemas.microsoft.com/office/2011/relationships/chartStyle" Target="style7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COMPARISION OF ANALYTICAL AND EXPERIMENTAL UPLIFT LOAD.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spc="12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</c:v>
          </c:tx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PHASE1!$D$6:$D$7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PHASE1!$K$6:$K$7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0.66</c:v>
                </c:pt>
              </c:numCache>
            </c:numRef>
          </c:yVal>
          <c:smooth val="1"/>
        </c:ser>
        <c:ser>
          <c:idx val="1"/>
          <c:order val="1"/>
          <c:tx>
            <c:v>UPLIFT BY SAEEDY'S THEORY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PHASE1!$D$6:$D$7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PHASE1!$T$6:$T$7</c:f>
              <c:numCache>
                <c:formatCode>General</c:formatCode>
                <c:ptCount val="2"/>
                <c:pt idx="0">
                  <c:v>0.65</c:v>
                </c:pt>
                <c:pt idx="1">
                  <c:v>0.66</c:v>
                </c:pt>
              </c:numCache>
            </c:numRef>
          </c:yVal>
          <c:smooth val="1"/>
        </c:ser>
        <c:ser>
          <c:idx val="2"/>
          <c:order val="2"/>
          <c:tx>
            <c:v>UPLIFT BY VEESAERT'S AND CLEMENCE'S THEORY</c:v>
          </c:tx>
          <c:spPr>
            <a:ln w="22225" cap="rnd">
              <a:solidFill>
                <a:schemeClr val="accent3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3"/>
              </a:solidFill>
              <a:ln w="9525">
                <a:solidFill>
                  <a:schemeClr val="accent3"/>
                </a:solidFill>
                <a:round/>
              </a:ln>
              <a:effectLst/>
            </c:spPr>
          </c:marker>
          <c:xVal>
            <c:numRef>
              <c:f>PHASE1!$D$6:$D$7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PHASE1!$R$6:$R$7</c:f>
              <c:numCache>
                <c:formatCode>General</c:formatCode>
                <c:ptCount val="2"/>
                <c:pt idx="0">
                  <c:v>1.66</c:v>
                </c:pt>
                <c:pt idx="1">
                  <c:v>1.96</c:v>
                </c:pt>
              </c:numCache>
            </c:numRef>
          </c:yVal>
          <c:smooth val="1"/>
        </c:ser>
        <c:ser>
          <c:idx val="3"/>
          <c:order val="3"/>
          <c:tx>
            <c:v>UPLIFT BY DOWNS AND CHEIURZZI</c:v>
          </c:tx>
          <c:spPr>
            <a:ln w="22225" cap="rnd">
              <a:solidFill>
                <a:schemeClr val="accent4"/>
              </a:solidFill>
              <a:round/>
            </a:ln>
            <a:effectLst/>
          </c:spPr>
          <c:marker>
            <c:symbol val="x"/>
            <c:size val="6"/>
            <c:spPr>
              <a:noFill/>
              <a:ln w="9525">
                <a:solidFill>
                  <a:schemeClr val="accent4"/>
                </a:solidFill>
                <a:round/>
              </a:ln>
              <a:effectLst/>
            </c:spPr>
          </c:marker>
          <c:xVal>
            <c:numRef>
              <c:f>PHASE1!$D$6:$D$7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PHASE1!$P$6:$P$7</c:f>
              <c:numCache>
                <c:formatCode>General</c:formatCode>
                <c:ptCount val="2"/>
                <c:pt idx="0">
                  <c:v>0.61</c:v>
                </c:pt>
                <c:pt idx="1">
                  <c:v>0.63</c:v>
                </c:pt>
              </c:numCache>
            </c:numRef>
          </c:yVal>
          <c:smooth val="1"/>
        </c:ser>
        <c:ser>
          <c:idx val="4"/>
          <c:order val="4"/>
          <c:tx>
            <c:v>UPLIFT BY BALLA'S THEORY</c:v>
          </c:tx>
          <c:spPr>
            <a:ln w="22225" cap="rnd">
              <a:solidFill>
                <a:schemeClr val="accent5"/>
              </a:solidFill>
              <a:round/>
            </a:ln>
            <a:effectLst/>
          </c:spPr>
          <c:marker>
            <c:symbol val="star"/>
            <c:size val="6"/>
            <c:spPr>
              <a:noFill/>
              <a:ln w="9525">
                <a:solidFill>
                  <a:schemeClr val="accent5"/>
                </a:solidFill>
                <a:round/>
              </a:ln>
              <a:effectLst/>
            </c:spPr>
          </c:marker>
          <c:xVal>
            <c:numRef>
              <c:f>PHASE1!$N$6:$N$7</c:f>
              <c:numCache>
                <c:formatCode>General</c:formatCode>
                <c:ptCount val="2"/>
                <c:pt idx="0">
                  <c:v>0.56000000000000005</c:v>
                </c:pt>
                <c:pt idx="1">
                  <c:v>0.63</c:v>
                </c:pt>
              </c:numCache>
            </c:numRef>
          </c:xVal>
          <c:yVal>
            <c:numRef>
              <c:f>PHASE1!$D$6:$D$7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yVal>
          <c:smooth val="1"/>
        </c:ser>
        <c:ser>
          <c:idx val="6"/>
          <c:order val="5"/>
          <c:tx>
            <c:v>UPLIFT BY MEYERHOF AND ADAMS</c:v>
          </c:tx>
          <c:spPr>
            <a:ln w="2222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plus"/>
            <c:size val="6"/>
            <c:spPr>
              <a:noFill/>
              <a:ln w="9525">
                <a:solidFill>
                  <a:schemeClr val="accent1">
                    <a:lumMod val="60000"/>
                  </a:schemeClr>
                </a:solidFill>
                <a:round/>
              </a:ln>
              <a:effectLst/>
            </c:spPr>
          </c:marker>
          <c:xVal>
            <c:numRef>
              <c:f>PHASE1!$D$6:$D$7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PHASE1!$L$6:$L$7</c:f>
              <c:numCache>
                <c:formatCode>0.00</c:formatCode>
                <c:ptCount val="2"/>
                <c:pt idx="0">
                  <c:v>0.65</c:v>
                </c:pt>
                <c:pt idx="1">
                  <c:v>0.92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386657984"/>
        <c:axId val="-386656352"/>
      </c:scatterChart>
      <c:valAx>
        <c:axId val="-386657984"/>
        <c:scaling>
          <c:orientation val="minMax"/>
          <c:min val="6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 DENSITY,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spc="1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656352"/>
        <c:crosses val="autoZero"/>
        <c:crossBetween val="midCat"/>
        <c:majorUnit val="5"/>
      </c:valAx>
      <c:valAx>
        <c:axId val="-386656352"/>
        <c:scaling>
          <c:orientation val="minMax"/>
          <c:max val="2"/>
          <c:min val="0.4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FORCE,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657984"/>
        <c:crosses val="autoZero"/>
        <c:crossBetween val="midCat"/>
        <c:majorUnit val="0.1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COMPARISION OF ANALYTICAL AND EXPERIMENTAL UPLIFT LOAD.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PHASE1!$D$8:$D$9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Sheet1!#REF!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</c:ser>
        <c:ser>
          <c:idx val="1"/>
          <c:order val="1"/>
          <c:tx>
            <c:v>UPLIFT BY SAEEDY'S THEORY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PHASE1!$D$8:$D$9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PHASE1!$T$8:$T$9</c:f>
              <c:numCache>
                <c:formatCode>General</c:formatCode>
                <c:ptCount val="2"/>
                <c:pt idx="0">
                  <c:v>1.41</c:v>
                </c:pt>
                <c:pt idx="1">
                  <c:v>1.44</c:v>
                </c:pt>
              </c:numCache>
            </c:numRef>
          </c:yVal>
          <c:smooth val="1"/>
        </c:ser>
        <c:ser>
          <c:idx val="2"/>
          <c:order val="2"/>
          <c:tx>
            <c:v>UPLIFT BY VEESAERT'S AND CLEMENCE'S THEORY</c:v>
          </c:tx>
          <c:spPr>
            <a:ln w="22225" cap="rnd">
              <a:solidFill>
                <a:schemeClr val="tx1"/>
              </a:solidFill>
            </a:ln>
            <a:effectLst>
              <a:glow rad="139700">
                <a:schemeClr val="accent3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3">
                  <a:lumMod val="60000"/>
                  <a:lumOff val="40000"/>
                </a:schemeClr>
              </a:solidFill>
              <a:ln>
                <a:solidFill>
                  <a:schemeClr val="tx1"/>
                </a:solidFill>
              </a:ln>
              <a:effectLst>
                <a:glow rad="63500">
                  <a:schemeClr val="accent3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PHASE1!$D$8:$D$9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PHASE1!$R$8:$R$9</c:f>
              <c:numCache>
                <c:formatCode>General</c:formatCode>
                <c:ptCount val="2"/>
                <c:pt idx="0">
                  <c:v>3.64</c:v>
                </c:pt>
                <c:pt idx="1">
                  <c:v>4.12</c:v>
                </c:pt>
              </c:numCache>
            </c:numRef>
          </c:yVal>
          <c:smooth val="1"/>
        </c:ser>
        <c:ser>
          <c:idx val="3"/>
          <c:order val="3"/>
          <c:tx>
            <c:v>UPLIFT BY DOWNS AND CHEIURZZI</c:v>
          </c:tx>
          <c:spPr>
            <a:ln w="22225" cap="rnd">
              <a:solidFill>
                <a:schemeClr val="accent4"/>
              </a:solidFill>
            </a:ln>
            <a:effectLst>
              <a:glow rad="139700">
                <a:schemeClr val="accent4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4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PHASE1!$D$8:$D$9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PHASE1!$P$8:$P$9</c:f>
              <c:numCache>
                <c:formatCode>General</c:formatCode>
                <c:ptCount val="2"/>
                <c:pt idx="0">
                  <c:v>0.72</c:v>
                </c:pt>
                <c:pt idx="1">
                  <c:v>0.73</c:v>
                </c:pt>
              </c:numCache>
            </c:numRef>
          </c:yVal>
          <c:smooth val="1"/>
        </c:ser>
        <c:ser>
          <c:idx val="4"/>
          <c:order val="4"/>
          <c:tx>
            <c:v>UPLIFT BY BALLA'S THEORY</c:v>
          </c:tx>
          <c:spPr>
            <a:ln w="22225" cap="rnd">
              <a:solidFill>
                <a:srgbClr val="FF0000"/>
              </a:solidFill>
            </a:ln>
            <a:effectLst>
              <a:glow rad="139700">
                <a:schemeClr val="accent5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5">
                  <a:lumMod val="60000"/>
                  <a:lumOff val="40000"/>
                </a:schemeClr>
              </a:solidFill>
              <a:ln>
                <a:solidFill>
                  <a:srgbClr val="00B050"/>
                </a:solidFill>
              </a:ln>
              <a:effectLst>
                <a:glow rad="63500">
                  <a:schemeClr val="accent5"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PHASE1!$D$8:$D$9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PHASE1!$N$8:$N$9</c:f>
              <c:numCache>
                <c:formatCode>General</c:formatCode>
                <c:ptCount val="2"/>
                <c:pt idx="0">
                  <c:v>1.19</c:v>
                </c:pt>
                <c:pt idx="1">
                  <c:v>1.23</c:v>
                </c:pt>
              </c:numCache>
            </c:numRef>
          </c:yVal>
          <c:smooth val="1"/>
        </c:ser>
        <c:ser>
          <c:idx val="6"/>
          <c:order val="5"/>
          <c:tx>
            <c:v>UPLIFT BY MEYERHOF AND ADAMS</c:v>
          </c:tx>
          <c:spPr>
            <a:ln w="22225" cap="rnd">
              <a:solidFill>
                <a:srgbClr val="00B050"/>
              </a:solidFill>
            </a:ln>
            <a:effectLst>
              <a:glow rad="139700">
                <a:schemeClr val="accent1">
                  <a:lumMod val="60000"/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Mod val="60000"/>
                  <a:lumOff val="40000"/>
                </a:schemeClr>
              </a:solidFill>
              <a:ln>
                <a:solidFill>
                  <a:srgbClr val="00B050"/>
                </a:solidFill>
              </a:ln>
              <a:effectLst>
                <a:glow rad="63500">
                  <a:schemeClr val="accent1">
                    <a:lumMod val="60000"/>
                    <a:satMod val="175000"/>
                    <a:alpha val="25000"/>
                  </a:schemeClr>
                </a:glow>
              </a:effectLst>
            </c:spPr>
          </c:marker>
          <c:xVal>
            <c:numRef>
              <c:f>PHASE1!$D$8:$D$9</c:f>
              <c:numCache>
                <c:formatCode>General</c:formatCode>
                <c:ptCount val="2"/>
                <c:pt idx="0">
                  <c:v>70</c:v>
                </c:pt>
                <c:pt idx="1">
                  <c:v>85</c:v>
                </c:pt>
              </c:numCache>
            </c:numRef>
          </c:xVal>
          <c:yVal>
            <c:numRef>
              <c:f>PHASE1!$L$8:$L$9</c:f>
              <c:numCache>
                <c:formatCode>0.00</c:formatCode>
                <c:ptCount val="2"/>
                <c:pt idx="0">
                  <c:v>1.25</c:v>
                </c:pt>
                <c:pt idx="1">
                  <c:v>1.59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386837920"/>
        <c:axId val="-386832480"/>
      </c:scatterChart>
      <c:valAx>
        <c:axId val="-386837920"/>
        <c:scaling>
          <c:orientation val="minMax"/>
          <c:min val="60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RELATIVE DENSITY,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832480"/>
        <c:crosses val="autoZero"/>
        <c:crossBetween val="midCat"/>
        <c:majorUnit val="5"/>
      </c:valAx>
      <c:valAx>
        <c:axId val="-386832480"/>
        <c:scaling>
          <c:orientation val="minMax"/>
          <c:max val="5"/>
          <c:min val="0.4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FORCE,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386837920"/>
        <c:crosses val="autoZero"/>
        <c:crossBetween val="midCat"/>
        <c:majorUnit val="0.2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 b="1"/>
              <a:t>COMPARISION </a:t>
            </a:r>
            <a:r>
              <a:rPr lang="en-US" b="1" baseline="0"/>
              <a:t>BETWEEN EXPERIMENTAL</a:t>
            </a:r>
            <a:r>
              <a:rPr lang="en-US" sz="1440" b="1" i="0" u="none" strike="noStrike" baseline="0">
                <a:effectLst/>
              </a:rPr>
              <a:t>UPLIFT FORCE &amp; VARIOUS ANALYTICAL THEORIES</a:t>
            </a:r>
            <a:endParaRPr lang="en-US" b="1"/>
          </a:p>
        </c:rich>
      </c:tx>
      <c:layout>
        <c:manualLayout>
          <c:xMode val="edge"/>
          <c:yMode val="edge"/>
          <c:x val="7.3929626650148794E-2"/>
          <c:y val="2.29267380148558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0172577218197354E-2"/>
          <c:y val="0.28943382014289948"/>
          <c:w val="0.87956362102216823"/>
          <c:h val="0.62631493078990963"/>
        </c:manualLayout>
      </c:layout>
      <c:scatterChart>
        <c:scatterStyle val="smoothMarker"/>
        <c:varyColors val="0"/>
        <c:ser>
          <c:idx val="0"/>
          <c:order val="0"/>
          <c:tx>
            <c:v>UPLIFT FORCE BY (KN),  LABORATORY EXPERIMENT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PHASE1.0!$J$8:$J$9</c:f>
              <c:numCache>
                <c:formatCode>General</c:formatCode>
                <c:ptCount val="2"/>
                <c:pt idx="0">
                  <c:v>0.66</c:v>
                </c:pt>
                <c:pt idx="1">
                  <c:v>1.1599999999999999</c:v>
                </c:pt>
              </c:numCache>
            </c:numRef>
          </c:yVal>
          <c:smooth val="1"/>
        </c:ser>
        <c:ser>
          <c:idx val="1"/>
          <c:order val="1"/>
          <c:tx>
            <c:v>UPLIFT FORCE (KN),  BY BALLA'S THEORY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PHASE1.0!$M$8:$M$9</c:f>
              <c:numCache>
                <c:formatCode>General</c:formatCode>
                <c:ptCount val="2"/>
                <c:pt idx="0">
                  <c:v>0.63</c:v>
                </c:pt>
                <c:pt idx="1">
                  <c:v>1.23</c:v>
                </c:pt>
              </c:numCache>
            </c:numRef>
          </c:yVal>
          <c:smooth val="1"/>
        </c:ser>
        <c:ser>
          <c:idx val="2"/>
          <c:order val="2"/>
          <c:tx>
            <c:v>UPLIFT FORCE (KN), BY MEYERHOF AND ADAMS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PHASE1.0!$K$8:$K$9</c:f>
              <c:numCache>
                <c:formatCode>0.00</c:formatCode>
                <c:ptCount val="2"/>
                <c:pt idx="0">
                  <c:v>0.92</c:v>
                </c:pt>
                <c:pt idx="1">
                  <c:v>1.59</c:v>
                </c:pt>
              </c:numCache>
            </c:numRef>
          </c:yVal>
          <c:smooth val="1"/>
        </c:ser>
        <c:ser>
          <c:idx val="3"/>
          <c:order val="3"/>
          <c:tx>
            <c:v>UPLIFT FORCE (KN), BY DOWNS AND CHEIURZZI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PHASE1.0!$O$8:$O$9</c:f>
              <c:numCache>
                <c:formatCode>General</c:formatCode>
                <c:ptCount val="2"/>
                <c:pt idx="0">
                  <c:v>0.63</c:v>
                </c:pt>
                <c:pt idx="1">
                  <c:v>0.73</c:v>
                </c:pt>
              </c:numCache>
            </c:numRef>
          </c:yVal>
          <c:smooth val="1"/>
        </c:ser>
        <c:ser>
          <c:idx val="4"/>
          <c:order val="4"/>
          <c:tx>
            <c:v>UPLIFT FORCE (KN), BY VEESAERT AND CLEMENCE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rgbClr val="C00000"/>
                </a:solidFill>
              </a:ln>
              <a:effectLst/>
            </c:spPr>
          </c:marker>
          <c:dLbls>
            <c:dLbl>
              <c:idx val="1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PHASE1.0!$Q$8:$Q$9</c:f>
              <c:numCache>
                <c:formatCode>General</c:formatCode>
                <c:ptCount val="2"/>
                <c:pt idx="0">
                  <c:v>1.96</c:v>
                </c:pt>
                <c:pt idx="1">
                  <c:v>4.12</c:v>
                </c:pt>
              </c:numCache>
            </c:numRef>
          </c:yVal>
          <c:smooth val="1"/>
        </c:ser>
        <c:ser>
          <c:idx val="5"/>
          <c:order val="5"/>
          <c:tx>
            <c:v>UPLIFT FORCE (KN), BY SAEEDY'S THEORY</c:v>
          </c:tx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6"/>
              </a:solidFill>
              <a:ln w="9525">
                <a:solidFill>
                  <a:schemeClr val="accent6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PHASE1.0!$S$8:$S$9</c:f>
              <c:numCache>
                <c:formatCode>General</c:formatCode>
                <c:ptCount val="2"/>
                <c:pt idx="0">
                  <c:v>0.66</c:v>
                </c:pt>
                <c:pt idx="1">
                  <c:v>1.44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87554848"/>
        <c:axId val="-187544512"/>
      </c:scatterChart>
      <c:valAx>
        <c:axId val="-1875548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5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050" b="1"/>
                  <a:t>PLATE SIZE, (m)</a:t>
                </a:r>
              </a:p>
              <a:p>
                <a:pPr>
                  <a:defRPr sz="1050"/>
                </a:pPr>
                <a:endParaRPr lang="en-US" sz="1050"/>
              </a:p>
            </c:rich>
          </c:tx>
          <c:layout>
            <c:manualLayout>
              <c:xMode val="edge"/>
              <c:yMode val="edge"/>
              <c:x val="0.44934664816887088"/>
              <c:y val="0.920902753848747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5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-187544512"/>
        <c:crosses val="autoZero"/>
        <c:crossBetween val="midCat"/>
      </c:valAx>
      <c:valAx>
        <c:axId val="-1875445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 sz="1100"/>
                  <a:t>UPLIFT FORCE,</a:t>
                </a:r>
              </a:p>
              <a:p>
                <a:pPr>
                  <a:defRPr/>
                </a:pPr>
                <a:r>
                  <a:rPr lang="en-US" sz="1100"/>
                  <a:t>(KN)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-1875548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4660072916055221E-2"/>
          <c:y val="8.7731103662930007E-2"/>
          <c:w val="0.6716149145290784"/>
          <c:h val="0.2005265928723569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200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PHASE1.0!$J$6:$J$7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MEYERHOF &amp; ADAMS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PHASE1.0!$K$6:$K$7</c:f>
              <c:numCache>
                <c:formatCode>0.00</c:formatCode>
                <c:ptCount val="2"/>
                <c:pt idx="0">
                  <c:v>0.65</c:v>
                </c:pt>
                <c:pt idx="1">
                  <c:v>1.25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559200"/>
        <c:axId val="-187553760"/>
      </c:scatterChart>
      <c:valAx>
        <c:axId val="-1875592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53760"/>
        <c:crosses val="autoZero"/>
        <c:crossBetween val="midCat"/>
      </c:valAx>
      <c:valAx>
        <c:axId val="-1875537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1851053035111789E-2"/>
              <c:y val="0.3562777048702245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592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PHASE1.0!$J$8:$J$9</c:f>
              <c:numCache>
                <c:formatCode>General</c:formatCode>
                <c:ptCount val="2"/>
                <c:pt idx="0">
                  <c:v>0.66</c:v>
                </c:pt>
                <c:pt idx="1">
                  <c:v>1.1599999999999999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MEYERHOF &amp; ADAMS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PHASE1.0!$K$8:$K$9</c:f>
              <c:numCache>
                <c:formatCode>0.00</c:formatCode>
                <c:ptCount val="2"/>
                <c:pt idx="0">
                  <c:v>0.92</c:v>
                </c:pt>
                <c:pt idx="1">
                  <c:v>1.59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557024"/>
        <c:axId val="-187554304"/>
      </c:scatterChart>
      <c:valAx>
        <c:axId val="-1875570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54304"/>
        <c:crosses val="autoZero"/>
        <c:crossBetween val="midCat"/>
      </c:valAx>
      <c:valAx>
        <c:axId val="-1875543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758441182629E-2"/>
              <c:y val="0.3331295567220763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570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PHASE1.0!$J$6:$J$7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BALLA'S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PHASE1.0!$M$6:$M$7</c:f>
              <c:numCache>
                <c:formatCode>General</c:formatCode>
                <c:ptCount val="2"/>
                <c:pt idx="0">
                  <c:v>0.56000000000000005</c:v>
                </c:pt>
                <c:pt idx="1">
                  <c:v>1.19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549952"/>
        <c:axId val="-187548864"/>
      </c:scatterChart>
      <c:valAx>
        <c:axId val="-1875499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48864"/>
        <c:crosses val="autoZero"/>
        <c:crossBetween val="midCat"/>
      </c:valAx>
      <c:valAx>
        <c:axId val="-1875488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1847452803339341E-2"/>
              <c:y val="0.30998140857392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499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7.8915662650602403E-2"/>
          <c:y val="0.13935185185185187"/>
          <c:w val="0.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PHASE1.0!$J$8:$J$9</c:f>
              <c:numCache>
                <c:formatCode>General</c:formatCode>
                <c:ptCount val="2"/>
                <c:pt idx="0">
                  <c:v>0.66</c:v>
                </c:pt>
                <c:pt idx="1">
                  <c:v>1.1599999999999999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BALLA'S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PHASE1.0!$M$8:$M$9</c:f>
              <c:numCache>
                <c:formatCode>General</c:formatCode>
                <c:ptCount val="2"/>
                <c:pt idx="0">
                  <c:v>0.63</c:v>
                </c:pt>
                <c:pt idx="1">
                  <c:v>1.23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555392"/>
        <c:axId val="-187556480"/>
      </c:scatterChart>
      <c:valAx>
        <c:axId val="-1875553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56480"/>
        <c:crosses val="autoZero"/>
        <c:crossBetween val="midCat"/>
      </c:valAx>
      <c:valAx>
        <c:axId val="-187556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761605839138E-2"/>
              <c:y val="0.3238702974628171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553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7.4114454868765584E-2"/>
          <c:y val="0.14398148148148149"/>
          <c:w val="0.9"/>
          <c:h val="7.812554680664916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PHASE1.0!$J$6:$J$7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DOWNS &amp; CHEIURZZI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PHASE1.0!$O$6:$O$7</c:f>
              <c:numCache>
                <c:formatCode>General</c:formatCode>
                <c:ptCount val="2"/>
                <c:pt idx="0">
                  <c:v>0.61</c:v>
                </c:pt>
                <c:pt idx="1">
                  <c:v>0.72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552128"/>
        <c:axId val="-187548320"/>
      </c:scatterChart>
      <c:valAx>
        <c:axId val="-1875521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48320"/>
        <c:crosses val="autoZero"/>
        <c:crossBetween val="midCat"/>
      </c:valAx>
      <c:valAx>
        <c:axId val="-1875483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666666666666E-2"/>
              <c:y val="0.402574001166520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521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PHASE1.0!$J$8:$J$9</c:f>
              <c:numCache>
                <c:formatCode>General</c:formatCode>
                <c:ptCount val="2"/>
                <c:pt idx="0">
                  <c:v>0.66</c:v>
                </c:pt>
                <c:pt idx="1">
                  <c:v>1.1599999999999999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DOWNS &amp; CHEIURZZI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PHASE1.0!$O$8:$O$9</c:f>
              <c:numCache>
                <c:formatCode>General</c:formatCode>
                <c:ptCount val="2"/>
                <c:pt idx="0">
                  <c:v>0.63</c:v>
                </c:pt>
                <c:pt idx="1">
                  <c:v>0.73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547776"/>
        <c:axId val="-187547232"/>
      </c:scatterChart>
      <c:valAx>
        <c:axId val="-187547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47232"/>
        <c:crosses val="autoZero"/>
        <c:crossBetween val="midCat"/>
      </c:valAx>
      <c:valAx>
        <c:axId val="-1875472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666666666666E-2"/>
              <c:y val="0.402574001166520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4777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53969120677194"/>
          <c:y val="0.26551035287255759"/>
          <c:w val="0.84177190950821956"/>
          <c:h val="0.53218285214348193"/>
        </c:manualLayout>
      </c:layout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PHASE1.0!$J$6:$J$7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VESSAERT &amp; CLEMENCE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PHASE1.0!$Q$6:$Q$7</c:f>
              <c:numCache>
                <c:formatCode>General</c:formatCode>
                <c:ptCount val="2"/>
                <c:pt idx="0">
                  <c:v>1.66</c:v>
                </c:pt>
                <c:pt idx="1">
                  <c:v>3.64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545056"/>
        <c:axId val="-186759008"/>
      </c:scatterChart>
      <c:valAx>
        <c:axId val="-1875450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9008"/>
        <c:crosses val="autoZero"/>
        <c:crossBetween val="midCat"/>
      </c:valAx>
      <c:valAx>
        <c:axId val="-186759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666666666666E-2"/>
              <c:y val="0.402574001166520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5450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53969120677194"/>
          <c:y val="0.26551035287255759"/>
          <c:w val="0.84177190950821956"/>
          <c:h val="0.53218285214348193"/>
        </c:manualLayout>
      </c:layout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PHASE1.0!$J$6:$J$7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VESSAERT &amp; CLEMENCE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PHASE1.0!$Q$8:$Q$9</c:f>
              <c:numCache>
                <c:formatCode>General</c:formatCode>
                <c:ptCount val="2"/>
                <c:pt idx="0">
                  <c:v>1.96</c:v>
                </c:pt>
                <c:pt idx="1">
                  <c:v>4.12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6752480"/>
        <c:axId val="-186761184"/>
      </c:scatterChart>
      <c:valAx>
        <c:axId val="-1867524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61184"/>
        <c:crosses val="autoZero"/>
        <c:crossBetween val="midCat"/>
      </c:valAx>
      <c:valAx>
        <c:axId val="-186761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6666666666666666E-2"/>
              <c:y val="0.402574001166520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24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53969120677194"/>
          <c:y val="0.26551035287255759"/>
          <c:w val="0.84177190950821956"/>
          <c:h val="0.53218285214348193"/>
        </c:manualLayout>
      </c:layout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PHASE1.0!$J$6:$J$7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SAEEDY'S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PHASE1.0!$S$8:$S$9</c:f>
              <c:numCache>
                <c:formatCode>General</c:formatCode>
                <c:ptCount val="2"/>
                <c:pt idx="0">
                  <c:v>0.66</c:v>
                </c:pt>
                <c:pt idx="1">
                  <c:v>1.44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6760096"/>
        <c:axId val="-186761728"/>
      </c:scatterChart>
      <c:valAx>
        <c:axId val="-18676009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61728"/>
        <c:crosses val="autoZero"/>
        <c:crossBetween val="midCat"/>
      </c:valAx>
      <c:valAx>
        <c:axId val="-1867617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9074530360218323E-2"/>
              <c:y val="0.2775740011665208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600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>
                <a:latin typeface="Times New Roman" panose="02020603050405020304" pitchFamily="18" charset="0"/>
                <a:cs typeface="Times New Roman" panose="02020603050405020304" pitchFamily="18" charset="0"/>
              </a:rPr>
              <a:t>EXPERIMENTAL VS ANALYTICAL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1253969120677194"/>
          <c:y val="0.26551035287255759"/>
          <c:w val="0.84177190950821956"/>
          <c:h val="0.53218285214348193"/>
        </c:manualLayout>
      </c:layout>
      <c:scatterChart>
        <c:scatterStyle val="smoothMarker"/>
        <c:varyColors val="0"/>
        <c:ser>
          <c:idx val="0"/>
          <c:order val="0"/>
          <c:tx>
            <c:v>EXPERIMENTAL UPLIFT FORCE Qu</c:v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1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PHASE1.0!$J$6:$J$7</c:f>
              <c:numCache>
                <c:formatCode>General</c:formatCode>
                <c:ptCount val="2"/>
                <c:pt idx="0">
                  <c:v>0.55000000000000004</c:v>
                </c:pt>
                <c:pt idx="1">
                  <c:v>0.99</c:v>
                </c:pt>
              </c:numCache>
            </c:numRef>
          </c:yVal>
          <c:smooth val="1"/>
        </c:ser>
        <c:ser>
          <c:idx val="1"/>
          <c:order val="1"/>
          <c:tx>
            <c:v>ANALYTICAL UPLIFT FORCE Qu BY SAEEDY'S</c:v>
          </c:tx>
          <c:spPr>
            <a:ln w="22225" cap="rnd">
              <a:solidFill>
                <a:schemeClr val="accent2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circle"/>
            <c:size val="3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>
                <a:glow rad="63500">
                  <a:schemeClr val="accent2">
                    <a:satMod val="175000"/>
                    <a:alpha val="25000"/>
                  </a:schemeClr>
                </a:glow>
              </a:effectLst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PHASE1.0!$E$6:$E$7</c:f>
              <c:numCache>
                <c:formatCode>General</c:formatCode>
                <c:ptCount val="2"/>
                <c:pt idx="0">
                  <c:v>0.15</c:v>
                </c:pt>
                <c:pt idx="1">
                  <c:v>0.3</c:v>
                </c:pt>
              </c:numCache>
            </c:numRef>
          </c:xVal>
          <c:yVal>
            <c:numRef>
              <c:f>PHASE1.0!$S$6:$S$7</c:f>
              <c:numCache>
                <c:formatCode>General</c:formatCode>
                <c:ptCount val="2"/>
                <c:pt idx="0">
                  <c:v>0.65</c:v>
                </c:pt>
                <c:pt idx="1">
                  <c:v>1.41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6755744"/>
        <c:axId val="-186758464"/>
      </c:scatterChart>
      <c:valAx>
        <c:axId val="-186755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PLATE SIZE,(m)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noFill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8464"/>
        <c:crosses val="autoZero"/>
        <c:crossBetween val="midCat"/>
      </c:valAx>
      <c:valAx>
        <c:axId val="-186758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65000"/>
                  <a:lumOff val="35000"/>
                  <a:alpha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 FORCE, (KN</a:t>
                </a:r>
                <a:r>
                  <a:rPr lang="en-US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)</a:t>
                </a:r>
              </a:p>
            </c:rich>
          </c:tx>
          <c:layout>
            <c:manualLayout>
              <c:xMode val="edge"/>
              <c:yMode val="edge"/>
              <c:x val="1.9074530360218323E-2"/>
              <c:y val="0.2775740011665208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lt1">
                <a:lumMod val="5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57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'!$G$33:$G$35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'1) Meyerhof &amp; Adams '!$H$33:$H$35</c:f>
              <c:numCache>
                <c:formatCode>General</c:formatCode>
                <c:ptCount val="3"/>
                <c:pt idx="0">
                  <c:v>0.65</c:v>
                </c:pt>
                <c:pt idx="1">
                  <c:v>1.68</c:v>
                </c:pt>
                <c:pt idx="2">
                  <c:v>3.41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'!$G$33:$G$35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'1) Meyerhof &amp; Adams '!$I$33:$I$35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6751392"/>
        <c:axId val="-186757376"/>
      </c:scatterChart>
      <c:valAx>
        <c:axId val="-186751392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7376"/>
        <c:crosses val="autoZero"/>
        <c:crossBetween val="midCat"/>
      </c:valAx>
      <c:valAx>
        <c:axId val="-186757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13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638648293963253"/>
          <c:y val="0.25083333333333335"/>
          <c:w val="0.5916128608923884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'!$G$39:$G$41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'1) Meyerhof &amp; Adams '!$H$39:$H$41</c:f>
              <c:numCache>
                <c:formatCode>General</c:formatCode>
                <c:ptCount val="3"/>
                <c:pt idx="0">
                  <c:v>0.92</c:v>
                </c:pt>
                <c:pt idx="1">
                  <c:v>2.4700000000000002</c:v>
                </c:pt>
                <c:pt idx="2">
                  <c:v>5.18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'!$G$39:$G$41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'1) Meyerhof &amp; Adams '!$I$39:$I$41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6756832"/>
        <c:axId val="-186759552"/>
      </c:scatterChart>
      <c:valAx>
        <c:axId val="-186756832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9552"/>
        <c:crosses val="autoZero"/>
        <c:crossBetween val="midCat"/>
      </c:valAx>
      <c:valAx>
        <c:axId val="-186759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68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638648293963253"/>
          <c:y val="0.25083333333333335"/>
          <c:w val="0.63605730533683291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'!$G$36:$G$38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'1) Meyerhof &amp; Adams '!$H$36:$H$38</c:f>
              <c:numCache>
                <c:formatCode>General</c:formatCode>
                <c:ptCount val="3"/>
                <c:pt idx="0">
                  <c:v>1.25</c:v>
                </c:pt>
                <c:pt idx="1">
                  <c:v>2.81</c:v>
                </c:pt>
                <c:pt idx="2">
                  <c:v>5.23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'!$G$36:$G$38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'1) Meyerhof &amp; Adams '!$I$36:$I$38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6763360"/>
        <c:axId val="-186762816"/>
      </c:scatterChart>
      <c:valAx>
        <c:axId val="-186763360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62816"/>
        <c:crosses val="autoZero"/>
        <c:crossBetween val="midCat"/>
      </c:valAx>
      <c:valAx>
        <c:axId val="-186762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63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638648293963253"/>
          <c:y val="0.25083333333333335"/>
          <c:w val="0.5916128608923884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'!$G$42:$G$44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'1) Meyerhof &amp; Adams '!$H$42:$H$44</c:f>
              <c:numCache>
                <c:formatCode>General</c:formatCode>
                <c:ptCount val="3"/>
                <c:pt idx="0">
                  <c:v>1.59</c:v>
                </c:pt>
                <c:pt idx="1">
                  <c:v>3.78</c:v>
                </c:pt>
                <c:pt idx="2">
                  <c:v>7.32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'1) Meyerhof &amp; Adams '!$G$42:$G$44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'1) Meyerhof &amp; Adams '!$I$42:$I$44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6762272"/>
        <c:axId val="-186750848"/>
      </c:scatterChart>
      <c:valAx>
        <c:axId val="-186762272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50848"/>
        <c:crosses val="autoZero"/>
        <c:crossBetween val="midCat"/>
      </c:valAx>
      <c:valAx>
        <c:axId val="-1867508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67622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accent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2">
                    <a:lumMod val="5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Theory'!$G$37:$G$39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'2) Balla''s Theory'!$H$37:$H$39</c:f>
              <c:numCache>
                <c:formatCode>General</c:formatCode>
                <c:ptCount val="3"/>
                <c:pt idx="0">
                  <c:v>0.59</c:v>
                </c:pt>
                <c:pt idx="1">
                  <c:v>1.48</c:v>
                </c:pt>
                <c:pt idx="2">
                  <c:v>2.94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Theory'!$G$37:$G$39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'2) Balla''s Theory'!$I$37:$I$39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044400"/>
        <c:axId val="-187047664"/>
      </c:scatterChart>
      <c:valAx>
        <c:axId val="-187044400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</a:t>
                </a:r>
                <a:r>
                  <a:rPr lang="en-US" sz="1200" baseline="0"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Ratio</a:t>
                </a:r>
                <a:endParaRPr lang="en-US" sz="1200"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47664"/>
        <c:crosses val="autoZero"/>
        <c:crossBetween val="midCat"/>
      </c:valAx>
      <c:valAx>
        <c:axId val="-187047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</a:t>
                </a:r>
                <a:r>
                  <a:rPr lang="en-US" sz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Load (kN)</a:t>
                </a:r>
                <a:endParaRPr lang="en-US" sz="1200">
                  <a:solidFill>
                    <a:schemeClr val="tx1">
                      <a:lumMod val="85000"/>
                      <a:lumOff val="15000"/>
                    </a:schemeClr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444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  <a:latin typeface="Times New Roman" panose="02020603050405020304" pitchFamily="18" charset="0"/>
                <a:cs typeface="Times New Roman" panose="02020603050405020304" pitchFamily="18" charset="0"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  <a:latin typeface="Times New Roman" panose="02020603050405020304" pitchFamily="18" charset="0"/>
              <a:cs typeface="Times New Roman" panose="02020603050405020304" pitchFamily="18" charset="0"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  <a:latin typeface="Times New Roman" panose="02020603050405020304" pitchFamily="18" charset="0"/>
              <a:cs typeface="Times New Roman" panose="02020603050405020304" pitchFamily="18" charset="0"/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C0000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Theory'!$G$43:$G$45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'2) Balla''s Theory'!$H$43:$H$45</c:f>
              <c:numCache>
                <c:formatCode>General</c:formatCode>
                <c:ptCount val="3"/>
                <c:pt idx="0">
                  <c:v>0.64</c:v>
                </c:pt>
                <c:pt idx="1">
                  <c:v>1.57</c:v>
                </c:pt>
                <c:pt idx="2">
                  <c:v>3.14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Theory'!$G$43:$G$45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'2) Balla''s Theory'!$I$43:$I$45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055824"/>
        <c:axId val="-187041680"/>
      </c:scatterChart>
      <c:valAx>
        <c:axId val="-187055824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 i="0" baseline="0">
                    <a:effectLst/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Embedment Ratio</a:t>
                </a:r>
                <a:endParaRPr lang="en-US" sz="1200">
                  <a:effectLst/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41680"/>
        <c:crosses val="autoZero"/>
        <c:crossBetween val="midCat"/>
      </c:valAx>
      <c:valAx>
        <c:axId val="-187041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Uplift</a:t>
                </a:r>
                <a:r>
                  <a:rPr lang="en-US" sz="120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 Load (kN)</a:t>
                </a:r>
                <a:endParaRPr lang="en-US" sz="1200">
                  <a:solidFill>
                    <a:schemeClr val="tx1">
                      <a:lumMod val="85000"/>
                      <a:lumOff val="15000"/>
                    </a:schemeClr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558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C0000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Theory'!$G$40:$G$42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'2) Balla''s Theory'!$H$40:$H$42</c:f>
              <c:numCache>
                <c:formatCode>General</c:formatCode>
                <c:ptCount val="3"/>
                <c:pt idx="0">
                  <c:v>1.1599999999999999</c:v>
                </c:pt>
                <c:pt idx="1">
                  <c:v>2.62</c:v>
                </c:pt>
                <c:pt idx="2">
                  <c:v>4.75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Theory'!$G$40:$G$42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'2) Balla''s Theory'!$I$40:$I$42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053104"/>
        <c:axId val="-187052016"/>
      </c:scatterChart>
      <c:valAx>
        <c:axId val="-187053104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52016"/>
        <c:crosses val="autoZero"/>
        <c:crossBetween val="midCat"/>
      </c:valAx>
      <c:valAx>
        <c:axId val="-187052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531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C0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C0000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Theory'!$G$46:$G$48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'2) Balla''s Theory'!$H$46:$H$48</c:f>
              <c:numCache>
                <c:formatCode>General</c:formatCode>
                <c:ptCount val="3"/>
                <c:pt idx="0">
                  <c:v>1.23</c:v>
                </c:pt>
                <c:pt idx="1">
                  <c:v>2.78</c:v>
                </c:pt>
                <c:pt idx="2">
                  <c:v>5.0999999999999996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'2) Balla''s Theory'!$G$46:$G$48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'2) Balla''s Theory'!$I$46:$I$48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050384"/>
        <c:axId val="-187050928"/>
      </c:scatterChart>
      <c:valAx>
        <c:axId val="-187050384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50928"/>
        <c:crosses val="autoZero"/>
        <c:crossBetween val="midCat"/>
      </c:valAx>
      <c:valAx>
        <c:axId val="-187050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503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Chieurzzi'!$G$30:$G$32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 3) Downs and Chieurzzi'!$H$30:$H$32</c:f>
              <c:numCache>
                <c:formatCode>General</c:formatCode>
                <c:ptCount val="3"/>
                <c:pt idx="0">
                  <c:v>0.61</c:v>
                </c:pt>
                <c:pt idx="1">
                  <c:v>3.21</c:v>
                </c:pt>
                <c:pt idx="2">
                  <c:v>10.53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Chieurzzi'!$G$30:$G$32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 3) Downs and Chieurzzi'!$I$30:$I$32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049840"/>
        <c:axId val="-187046032"/>
      </c:scatterChart>
      <c:valAx>
        <c:axId val="-187049840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46032"/>
        <c:crosses val="autoZero"/>
        <c:crossBetween val="midCat"/>
      </c:valAx>
      <c:valAx>
        <c:axId val="-1870460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498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bg2">
                  <a:lumMod val="50000"/>
                </a:schemeClr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Chieurzzi'!$G$36:$G$38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 3) Downs and Chieurzzi'!$H$36:$H$38</c:f>
              <c:numCache>
                <c:formatCode>General</c:formatCode>
                <c:ptCount val="3"/>
                <c:pt idx="0">
                  <c:v>0.63</c:v>
                </c:pt>
                <c:pt idx="1">
                  <c:v>3.28</c:v>
                </c:pt>
                <c:pt idx="2">
                  <c:v>10.78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Chieurzzi'!$G$36:$G$38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 3) Downs and Chieurzzi'!$I$36:$I$38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042768"/>
        <c:axId val="-187042224"/>
      </c:scatterChart>
      <c:valAx>
        <c:axId val="-187042768"/>
        <c:scaling>
          <c:orientation val="minMax"/>
          <c:max val="5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42224"/>
        <c:crosses val="autoZero"/>
        <c:crossBetween val="midCat"/>
      </c:valAx>
      <c:valAx>
        <c:axId val="-1870422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427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Chieurzzi'!$G$33:$G$35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 3) Downs and Chieurzzi'!$H$33:$H$35</c:f>
              <c:numCache>
                <c:formatCode>General</c:formatCode>
                <c:ptCount val="3"/>
                <c:pt idx="0">
                  <c:v>0.72</c:v>
                </c:pt>
                <c:pt idx="1">
                  <c:v>3.55</c:v>
                </c:pt>
                <c:pt idx="2">
                  <c:v>11.34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Chieurzzi'!$G$33:$G$35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 3) Downs and Chieurzzi'!$I$33:$I$35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7055280"/>
        <c:axId val="-187054192"/>
      </c:scatterChart>
      <c:valAx>
        <c:axId val="-187055280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54192"/>
        <c:crosses val="autoZero"/>
        <c:crossBetween val="midCat"/>
      </c:valAx>
      <c:valAx>
        <c:axId val="-1870541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7055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chemeClr val="bg2">
                  <a:lumMod val="50000"/>
                </a:schemeClr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bg2">
                    <a:lumMod val="50000"/>
                  </a:schemeClr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Chieurzzi'!$G$39:$G$41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 3) Downs and Chieurzzi'!$H$39:$H$41</c:f>
              <c:numCache>
                <c:formatCode>General</c:formatCode>
                <c:ptCount val="3"/>
                <c:pt idx="0">
                  <c:v>0.73</c:v>
                </c:pt>
                <c:pt idx="1">
                  <c:v>3.63</c:v>
                </c:pt>
                <c:pt idx="2">
                  <c:v>11.61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 3) Downs and Chieurzzi'!$G$39:$G$41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 3) Downs and Chieurzzi'!$I$39:$I$41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5128640"/>
        <c:axId val="-185138432"/>
      </c:scatterChart>
      <c:valAx>
        <c:axId val="-185128640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8432"/>
        <c:crosses val="autoZero"/>
        <c:crossBetween val="midCat"/>
      </c:valAx>
      <c:valAx>
        <c:axId val="-185138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286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>
        <c:manualLayout>
          <c:xMode val="edge"/>
          <c:yMode val="edge"/>
          <c:x val="0.18258095099516897"/>
          <c:y val="2.800001616798833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62417420055658812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'!$G$35:$G$37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'4)Veesaert &amp; Clemence''s Theory '!$H$35:$H$37</c:f>
              <c:numCache>
                <c:formatCode>General</c:formatCode>
                <c:ptCount val="3"/>
                <c:pt idx="0">
                  <c:v>0.43</c:v>
                </c:pt>
                <c:pt idx="1">
                  <c:v>1.1399999999999999</c:v>
                </c:pt>
                <c:pt idx="2">
                  <c:v>2.3199999999999998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'!$G$35:$G$37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'4)Veesaert &amp; Clemence''s Theory '!$I$35:$I$37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5131360"/>
        <c:axId val="-185137344"/>
      </c:scatterChart>
      <c:valAx>
        <c:axId val="-185131360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7344"/>
        <c:crosses val="autoZero"/>
        <c:crossBetween val="midCat"/>
      </c:valAx>
      <c:valAx>
        <c:axId val="-18513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1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'!$G$41:$G$43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'4)Veesaert &amp; Clemence''s Theory '!$H$41:$H$43</c:f>
              <c:numCache>
                <c:formatCode>General</c:formatCode>
                <c:ptCount val="3"/>
                <c:pt idx="0">
                  <c:v>0.54</c:v>
                </c:pt>
                <c:pt idx="1">
                  <c:v>1.43</c:v>
                </c:pt>
                <c:pt idx="2">
                  <c:v>2.93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'!$G$41:$G$43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'4)Veesaert &amp; Clemence''s Theory '!$I$41:$I$43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5128096"/>
        <c:axId val="-185134080"/>
      </c:scatterChart>
      <c:valAx>
        <c:axId val="-185128096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4080"/>
        <c:crosses val="autoZero"/>
        <c:crossBetween val="midCat"/>
      </c:valAx>
      <c:valAx>
        <c:axId val="-185134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2809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62417420055658812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'!$G$38:$G$40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'4)Veesaert &amp; Clemence''s Theory '!$H$38:$H$40</c:f>
              <c:numCache>
                <c:formatCode>General</c:formatCode>
                <c:ptCount val="3"/>
                <c:pt idx="0">
                  <c:v>0.72</c:v>
                </c:pt>
                <c:pt idx="1">
                  <c:v>1.79</c:v>
                </c:pt>
                <c:pt idx="2">
                  <c:v>3.47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'!$G$38:$G$40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'4)Veesaert &amp; Clemence''s Theory '!$I$38:$I$40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5125920"/>
        <c:axId val="-185134624"/>
      </c:scatterChart>
      <c:valAx>
        <c:axId val="-185125920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4624"/>
        <c:crosses val="autoZero"/>
        <c:crossBetween val="midCat"/>
      </c:valAx>
      <c:valAx>
        <c:axId val="-185134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259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62417420055658812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FF000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'!$G$44:$G$46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'4)Veesaert &amp; Clemence''s Theory '!$H$44:$H$46</c:f>
              <c:numCache>
                <c:formatCode>General</c:formatCode>
                <c:ptCount val="3"/>
                <c:pt idx="0">
                  <c:v>0.88</c:v>
                </c:pt>
                <c:pt idx="1">
                  <c:v>2.2000000000000002</c:v>
                </c:pt>
                <c:pt idx="2">
                  <c:v>4.3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'4)Veesaert &amp; Clemence''s Theory '!$G$44:$G$46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'4)Veesaert &amp; Clemence''s Theory '!$I$44:$I$46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5124288"/>
        <c:axId val="-185127552"/>
      </c:scatterChart>
      <c:valAx>
        <c:axId val="-185124288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27552"/>
        <c:crosses val="autoZero"/>
        <c:crossBetween val="midCat"/>
      </c:valAx>
      <c:valAx>
        <c:axId val="-185127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242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7030A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'!$G$31:$G$33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'5) Saeedy''s Theory '!$H$31:$H$33</c:f>
              <c:numCache>
                <c:formatCode>General</c:formatCode>
                <c:ptCount val="3"/>
                <c:pt idx="0">
                  <c:v>0.59</c:v>
                </c:pt>
                <c:pt idx="1">
                  <c:v>1.66</c:v>
                </c:pt>
                <c:pt idx="2">
                  <c:v>3.21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'!$G$31:$G$33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 3) Downs and Chieurzzi'!$I$30:$I$32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5132448"/>
        <c:axId val="-185125376"/>
      </c:scatterChart>
      <c:valAx>
        <c:axId val="-185132448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25376"/>
        <c:crosses val="autoZero"/>
        <c:crossBetween val="midCat"/>
      </c:valAx>
      <c:valAx>
        <c:axId val="-18512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244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7030A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'!$G$37:$G$39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'5) Saeedy''s Theory '!$H$37:$H$39</c:f>
              <c:numCache>
                <c:formatCode>General</c:formatCode>
                <c:ptCount val="3"/>
                <c:pt idx="0">
                  <c:v>0.72</c:v>
                </c:pt>
                <c:pt idx="1">
                  <c:v>1.78</c:v>
                </c:pt>
                <c:pt idx="2">
                  <c:v>3.51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'!$G$37:$G$39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'5) Saeedy''s Theory '!$I$37:$I$39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85130816"/>
        <c:axId val="-185130272"/>
      </c:scatterChart>
      <c:valAx>
        <c:axId val="-185130816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0272"/>
        <c:crosses val="autoZero"/>
        <c:crossBetween val="midCat"/>
      </c:valAx>
      <c:valAx>
        <c:axId val="-18513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851308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7030A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'!$G$34:$G$36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'5) Saeedy''s Theory '!$H$34:$H$36</c:f>
              <c:numCache>
                <c:formatCode>General</c:formatCode>
                <c:ptCount val="3"/>
                <c:pt idx="0">
                  <c:v>1.17</c:v>
                </c:pt>
                <c:pt idx="1">
                  <c:v>2.82</c:v>
                </c:pt>
                <c:pt idx="2">
                  <c:v>4.7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'!$G$34:$G$36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'5) Saeedy''s Theory '!$I$34:$I$36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35103456"/>
        <c:axId val="-135102912"/>
      </c:scatterChart>
      <c:valAx>
        <c:axId val="-135103456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2912"/>
        <c:crosses val="autoZero"/>
        <c:crossBetween val="midCat"/>
      </c:valAx>
      <c:valAx>
        <c:axId val="-1351029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34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spc="0" baseline="0">
                <a:solidFill>
                  <a:srgbClr val="FF0000"/>
                </a:solidFill>
                <a:latin typeface="+mn-lt"/>
                <a:ea typeface="+mn-ea"/>
                <a:cs typeface="+mn-cs"/>
              </a:defRPr>
            </a:pPr>
            <a:r>
              <a:rPr lang="en-US" sz="1400" b="1">
                <a:solidFill>
                  <a:schemeClr val="tx1"/>
                </a:solidFill>
                <a:effectLst/>
              </a:rPr>
              <a:t>UPLIFT</a:t>
            </a:r>
            <a:r>
              <a:rPr lang="en-US" sz="1400" b="1" baseline="0">
                <a:solidFill>
                  <a:schemeClr val="tx1"/>
                </a:solidFill>
                <a:effectLst/>
              </a:rPr>
              <a:t> LOAD VS EMBEDMENT RATIO</a:t>
            </a:r>
            <a:endParaRPr lang="en-US" sz="1400">
              <a:solidFill>
                <a:schemeClr val="tx1"/>
              </a:solidFill>
              <a:effectLst/>
            </a:endParaRPr>
          </a:p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rgbClr val="FF0000"/>
                </a:solidFill>
              </a:defRPr>
            </a:pPr>
            <a:endParaRPr lang="en-US">
              <a:solidFill>
                <a:schemeClr val="tx1"/>
              </a:solidFill>
            </a:endParaRP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400" b="0" i="0" u="none" strike="noStrike" kern="1200" spc="0" baseline="0">
              <a:solidFill>
                <a:srgbClr val="FF0000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4535870516185476"/>
          <c:y val="0.25083333333333335"/>
          <c:w val="0.58930730533683295"/>
          <c:h val="0.464475430154564"/>
        </c:manualLayout>
      </c:layout>
      <c:scatterChart>
        <c:scatterStyle val="smoothMarker"/>
        <c:varyColors val="0"/>
        <c:ser>
          <c:idx val="0"/>
          <c:order val="0"/>
          <c:tx>
            <c:v>ANALYTICAL</c:v>
          </c:tx>
          <c:spPr>
            <a:ln w="19050" cap="rnd">
              <a:solidFill>
                <a:srgbClr val="7030A0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rgbClr val="7030A0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'!$G$40:$G$42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'5) Saeedy''s Theory '!$H$40:$H$42</c:f>
              <c:numCache>
                <c:formatCode>General</c:formatCode>
                <c:ptCount val="3"/>
                <c:pt idx="0">
                  <c:v>1.44</c:v>
                </c:pt>
                <c:pt idx="1">
                  <c:v>3.25</c:v>
                </c:pt>
                <c:pt idx="2">
                  <c:v>5.77</c:v>
                </c:pt>
              </c:numCache>
            </c:numRef>
          </c:yVal>
          <c:smooth val="1"/>
        </c:ser>
        <c:ser>
          <c:idx val="1"/>
          <c:order val="1"/>
          <c:tx>
            <c:v>EXPERIMENTAL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'5) Saeedy''s Theory '!$G$40:$G$42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'5) Saeedy''s Theory '!$I$40:$I$42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-135105632"/>
        <c:axId val="-135098560"/>
      </c:scatterChart>
      <c:valAx>
        <c:axId val="-135105632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EMBEDMENT RATIO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  <a:effectLst/>
                </a:endParaRPr>
              </a:p>
              <a:p>
                <a:pPr marL="0" marR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defRPr>
                </a:pPr>
                <a:endParaRPr lang="en-US" sz="1000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098560"/>
        <c:crosses val="autoZero"/>
        <c:crossBetween val="midCat"/>
      </c:valAx>
      <c:valAx>
        <c:axId val="-135098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0" i="0" u="none" strike="noStrike" baseline="0">
                    <a:solidFill>
                      <a:schemeClr val="tx1">
                        <a:lumMod val="85000"/>
                        <a:lumOff val="15000"/>
                      </a:schemeClr>
                    </a:solidFill>
                    <a:effectLst/>
                  </a:rPr>
                  <a:t>UPLIFT LOAD (Qu)</a:t>
                </a:r>
                <a:endParaRPr lang="en-US" sz="1400">
                  <a:solidFill>
                    <a:schemeClr val="tx1">
                      <a:lumMod val="85000"/>
                      <a:lumOff val="15000"/>
                    </a:schemeClr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56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Sheet2!$L$6:$L$8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Sheet2!$L$12:$L$14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104544"/>
        <c:axId val="-135101824"/>
      </c:scatterChart>
      <c:valAx>
        <c:axId val="-1351045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1824"/>
        <c:crosses val="autoZero"/>
        <c:crossBetween val="midCat"/>
      </c:valAx>
      <c:valAx>
        <c:axId val="-135101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45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Sheet2!$J$9:$J$11</c:f>
              <c:numCache>
                <c:formatCode>General</c:formatCode>
                <c:ptCount val="3"/>
                <c:pt idx="0">
                  <c:v>1.25</c:v>
                </c:pt>
                <c:pt idx="1">
                  <c:v>2.81</c:v>
                </c:pt>
                <c:pt idx="2">
                  <c:v>5.23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Sheet2!$J$15:$J$17</c:f>
              <c:numCache>
                <c:formatCode>General</c:formatCode>
                <c:ptCount val="3"/>
                <c:pt idx="0">
                  <c:v>1.59</c:v>
                </c:pt>
                <c:pt idx="1">
                  <c:v>3.78</c:v>
                </c:pt>
                <c:pt idx="2">
                  <c:v>7.32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100736"/>
        <c:axId val="-135099104"/>
      </c:scatterChart>
      <c:valAx>
        <c:axId val="-135100736"/>
        <c:scaling>
          <c:orientation val="minMax"/>
          <c:min val="0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099104"/>
        <c:crosses val="autoZero"/>
        <c:crossBetween val="midCat"/>
      </c:valAx>
      <c:valAx>
        <c:axId val="-135099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07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Times New Roman" panose="02020603050405020304" pitchFamily="18" charset="0"/>
                <a:cs typeface="Times New Roman" panose="02020603050405020304" pitchFamily="18" charset="0"/>
              </a:rPr>
              <a:t>Plate Size= 0.15m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Sheet2!$J$6:$J$8</c:f>
              <c:numCache>
                <c:formatCode>General</c:formatCode>
                <c:ptCount val="3"/>
                <c:pt idx="0">
                  <c:v>0.65</c:v>
                </c:pt>
                <c:pt idx="1">
                  <c:v>1.68</c:v>
                </c:pt>
                <c:pt idx="2">
                  <c:v>3.41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Sheet2!$J$12:$J$14</c:f>
              <c:numCache>
                <c:formatCode>General</c:formatCode>
                <c:ptCount val="3"/>
                <c:pt idx="0">
                  <c:v>0.92</c:v>
                </c:pt>
                <c:pt idx="1">
                  <c:v>2.4700000000000002</c:v>
                </c:pt>
                <c:pt idx="2">
                  <c:v>5.18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104000"/>
        <c:axId val="-135097472"/>
      </c:scatterChart>
      <c:valAx>
        <c:axId val="-135104000"/>
        <c:scaling>
          <c:orientation val="minMax"/>
          <c:min val="1.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097472"/>
        <c:crosses val="autoZero"/>
        <c:crossBetween val="midCat"/>
      </c:valAx>
      <c:valAx>
        <c:axId val="-135097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40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3121935785424082"/>
          <c:y val="0.13545097832670577"/>
          <c:w val="0.43960467904474904"/>
          <c:h val="0.1018106673317419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Sheet2!$L$9:$L$11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Sheet2!$L$15:$L$17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095840"/>
        <c:axId val="-135106720"/>
      </c:scatterChart>
      <c:valAx>
        <c:axId val="-1350958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6720"/>
        <c:crosses val="autoZero"/>
        <c:crossBetween val="midCat"/>
      </c:valAx>
      <c:valAx>
        <c:axId val="-135106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0958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Sheet2!$H$30:$H$32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Sheet2!$L$30:$L$32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Sheet2!$H$36:$H$38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Sheet2!$L$36:$L$38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107264"/>
        <c:axId val="-135108352"/>
      </c:scatterChart>
      <c:valAx>
        <c:axId val="-1351072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8352"/>
        <c:crosses val="autoZero"/>
        <c:crossBetween val="midCat"/>
      </c:valAx>
      <c:valAx>
        <c:axId val="-135108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726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Sheet2!$H$30:$H$32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Sheet2!$J$30:$J$32</c:f>
              <c:numCache>
                <c:formatCode>General</c:formatCode>
                <c:ptCount val="3"/>
                <c:pt idx="0">
                  <c:v>1.1599999999999999</c:v>
                </c:pt>
                <c:pt idx="1">
                  <c:v>2.62</c:v>
                </c:pt>
                <c:pt idx="2">
                  <c:v>4.75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Sheet2!$H$36:$H$38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Sheet2!$J$36:$J$38</c:f>
              <c:numCache>
                <c:formatCode>General</c:formatCode>
                <c:ptCount val="3"/>
                <c:pt idx="0">
                  <c:v>1.23</c:v>
                </c:pt>
                <c:pt idx="1">
                  <c:v>2.78</c:v>
                </c:pt>
                <c:pt idx="2" formatCode="0.00">
                  <c:v>5.0999999999999996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107808"/>
        <c:axId val="-135603120"/>
      </c:scatterChart>
      <c:valAx>
        <c:axId val="-1351078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3120"/>
        <c:crosses val="autoZero"/>
        <c:crossBetween val="midCat"/>
      </c:valAx>
      <c:valAx>
        <c:axId val="-135603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1078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Sheet2!$H$27:$H$29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Sheet2!$J$27:$J$29</c:f>
              <c:numCache>
                <c:formatCode>General</c:formatCode>
                <c:ptCount val="3"/>
                <c:pt idx="0">
                  <c:v>0.59</c:v>
                </c:pt>
                <c:pt idx="1">
                  <c:v>1.48</c:v>
                </c:pt>
                <c:pt idx="2">
                  <c:v>2.94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Sheet2!$H$33:$H$35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Sheet2!$J$33:$J$35</c:f>
              <c:numCache>
                <c:formatCode>General</c:formatCode>
                <c:ptCount val="3"/>
                <c:pt idx="0">
                  <c:v>0.64</c:v>
                </c:pt>
                <c:pt idx="1">
                  <c:v>1.57</c:v>
                </c:pt>
                <c:pt idx="2">
                  <c:v>3.14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609104"/>
        <c:axId val="-135608016"/>
      </c:scatterChart>
      <c:valAx>
        <c:axId val="-1356091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8016"/>
        <c:crosses val="autoZero"/>
        <c:crossBetween val="midCat"/>
      </c:valAx>
      <c:valAx>
        <c:axId val="-1356080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910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Sheet2!$H$27:$H$29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Sheet2!$L$27:$L$29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Sheet2!$H$33:$H$35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Sheet2!$L$33:$L$35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610736"/>
        <c:axId val="-135616720"/>
      </c:scatterChart>
      <c:valAx>
        <c:axId val="-1356107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16720"/>
        <c:crosses val="autoZero"/>
        <c:crossBetween val="midCat"/>
      </c:valAx>
      <c:valAx>
        <c:axId val="-135616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107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Sheet2!$H$51:$H$53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Sheet2!$L$51:$L$53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Sheet2!$H$57:$H$59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Sheet2!$L$57:$L$59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607472"/>
        <c:axId val="-135606928"/>
      </c:scatterChart>
      <c:valAx>
        <c:axId val="-1356074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6928"/>
        <c:crosses val="autoZero"/>
        <c:crossBetween val="midCat"/>
      </c:valAx>
      <c:valAx>
        <c:axId val="-1356069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74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Sheet2!$H$51:$H$53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Sheet2!$J$51:$J$53</c:f>
              <c:numCache>
                <c:formatCode>General</c:formatCode>
                <c:ptCount val="3"/>
                <c:pt idx="0">
                  <c:v>0.72</c:v>
                </c:pt>
                <c:pt idx="1">
                  <c:v>3.55</c:v>
                </c:pt>
                <c:pt idx="2">
                  <c:v>11.34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Sheet2!$H$57:$H$59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Sheet2!$J$57:$J$59</c:f>
              <c:numCache>
                <c:formatCode>General</c:formatCode>
                <c:ptCount val="3"/>
                <c:pt idx="0">
                  <c:v>0.73</c:v>
                </c:pt>
                <c:pt idx="1">
                  <c:v>3.63</c:v>
                </c:pt>
                <c:pt idx="2">
                  <c:v>11.61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606384"/>
        <c:axId val="-135604752"/>
      </c:scatterChart>
      <c:valAx>
        <c:axId val="-1356063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4752"/>
        <c:crosses val="autoZero"/>
        <c:crossBetween val="midCat"/>
      </c:valAx>
      <c:valAx>
        <c:axId val="-1356047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63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triangle"/>
            <c:size val="6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Sheet2!$H$48:$H$50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Sheet2!$J$48:$J$50</c:f>
              <c:numCache>
                <c:formatCode>General</c:formatCode>
                <c:ptCount val="3"/>
                <c:pt idx="0">
                  <c:v>0.61</c:v>
                </c:pt>
                <c:pt idx="1">
                  <c:v>3.21</c:v>
                </c:pt>
                <c:pt idx="2">
                  <c:v>10.53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6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Sheet2!$H$54:$H$56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Sheet2!$J$54:$J$56</c:f>
              <c:numCache>
                <c:formatCode>General</c:formatCode>
                <c:ptCount val="3"/>
                <c:pt idx="0">
                  <c:v>0.63</c:v>
                </c:pt>
                <c:pt idx="1">
                  <c:v>3.28</c:v>
                </c:pt>
                <c:pt idx="2">
                  <c:v>10.78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615632"/>
        <c:axId val="-135617808"/>
      </c:scatterChart>
      <c:valAx>
        <c:axId val="-1356156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17808"/>
        <c:crosses val="autoZero"/>
        <c:crossBetween val="midCat"/>
      </c:valAx>
      <c:valAx>
        <c:axId val="-135617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1563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Sheet2!$H$48:$H$50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Sheet2!$L$48:$L$50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Sheet2!$H$54:$H$56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Sheet2!$L$54:$L$56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604208"/>
        <c:axId val="-135614000"/>
      </c:scatterChart>
      <c:valAx>
        <c:axId val="-135604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14000"/>
        <c:crosses val="autoZero"/>
        <c:crossBetween val="midCat"/>
      </c:valAx>
      <c:valAx>
        <c:axId val="-135614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42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Sheet2!$H$72:$H$74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Sheet2!$L$72:$L$74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Sheet2!$H$78:$H$80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Sheet2!$L$78:$L$80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5611824"/>
        <c:axId val="-135609648"/>
      </c:scatterChart>
      <c:valAx>
        <c:axId val="-1356118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09648"/>
        <c:crosses val="autoZero"/>
        <c:crossBetween val="midCat"/>
      </c:valAx>
      <c:valAx>
        <c:axId val="-135609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561182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Sheet2!$H$72:$H$74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Sheet2!$J$72:$J$74</c:f>
              <c:numCache>
                <c:formatCode>General</c:formatCode>
                <c:ptCount val="3"/>
                <c:pt idx="0">
                  <c:v>0.72</c:v>
                </c:pt>
                <c:pt idx="1">
                  <c:v>1.79</c:v>
                </c:pt>
                <c:pt idx="2">
                  <c:v>3.47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Sheet2!$H$78:$H$80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Sheet2!$J$78:$J$80</c:f>
              <c:numCache>
                <c:formatCode>0.00</c:formatCode>
                <c:ptCount val="3"/>
                <c:pt idx="0" formatCode="General">
                  <c:v>0.88</c:v>
                </c:pt>
                <c:pt idx="1">
                  <c:v>2.2000000000000002</c:v>
                </c:pt>
                <c:pt idx="2" formatCode="General">
                  <c:v>4.3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448384"/>
        <c:axId val="-133450560"/>
      </c:scatterChart>
      <c:valAx>
        <c:axId val="-1334483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450560"/>
        <c:crosses val="autoZero"/>
        <c:crossBetween val="midCat"/>
      </c:valAx>
      <c:valAx>
        <c:axId val="-1334505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4483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Sheet2!$H$69:$H$71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Sheet2!$J$69:$J$71</c:f>
              <c:numCache>
                <c:formatCode>General</c:formatCode>
                <c:ptCount val="3"/>
                <c:pt idx="0">
                  <c:v>0.43</c:v>
                </c:pt>
                <c:pt idx="1">
                  <c:v>1.1399999999999999</c:v>
                </c:pt>
                <c:pt idx="2">
                  <c:v>2.3199999999999998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Sheet2!$H$75:$H$77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Sheet2!$J$75:$J$77</c:f>
              <c:numCache>
                <c:formatCode>General</c:formatCode>
                <c:ptCount val="3"/>
                <c:pt idx="0">
                  <c:v>0.54</c:v>
                </c:pt>
                <c:pt idx="1">
                  <c:v>1.43</c:v>
                </c:pt>
                <c:pt idx="2">
                  <c:v>2.93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446752"/>
        <c:axId val="-133444576"/>
      </c:scatterChart>
      <c:valAx>
        <c:axId val="-133446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444576"/>
        <c:crosses val="autoZero"/>
        <c:crossBetween val="midCat"/>
      </c:valAx>
      <c:valAx>
        <c:axId val="-133444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4467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Sheet2!$H$69:$H$71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Sheet2!$L$69:$L$71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Sheet2!$H$75:$H$77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Sheet2!$L$75:$L$77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446208"/>
        <c:axId val="-133449472"/>
      </c:scatterChart>
      <c:valAx>
        <c:axId val="-1334462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449472"/>
        <c:crosses val="autoZero"/>
        <c:crossBetween val="midCat"/>
      </c:valAx>
      <c:valAx>
        <c:axId val="-133449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44620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Sheet2!$H$95:$H$97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Sheet2!$L$95:$L$97</c:f>
              <c:numCache>
                <c:formatCode>0.00</c:formatCode>
                <c:ptCount val="3"/>
                <c:pt idx="0">
                  <c:v>1</c:v>
                </c:pt>
                <c:pt idx="1">
                  <c:v>1.94</c:v>
                </c:pt>
                <c:pt idx="2">
                  <c:v>4.1100000000000003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Sheet2!$H$101:$H$103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Sheet2!$L$101:$L$103</c:f>
              <c:numCache>
                <c:formatCode>0.00</c:formatCode>
                <c:ptCount val="3"/>
                <c:pt idx="0">
                  <c:v>1.17</c:v>
                </c:pt>
                <c:pt idx="1">
                  <c:v>2.16</c:v>
                </c:pt>
                <c:pt idx="2">
                  <c:v>4.66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191744"/>
        <c:axId val="-133194464"/>
      </c:scatterChart>
      <c:valAx>
        <c:axId val="-13319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4464"/>
        <c:crosses val="autoZero"/>
        <c:crossBetween val="midCat"/>
      </c:valAx>
      <c:valAx>
        <c:axId val="-1331944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174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Sheet2!$H$95:$H$97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Sheet2!$J$95:$J$97</c:f>
              <c:numCache>
                <c:formatCode>General</c:formatCode>
                <c:ptCount val="3"/>
                <c:pt idx="0">
                  <c:v>1.17</c:v>
                </c:pt>
                <c:pt idx="1">
                  <c:v>2.82</c:v>
                </c:pt>
                <c:pt idx="2" formatCode="0.00">
                  <c:v>4.7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Sheet2!$H$101:$H$103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Sheet2!$J$101:$J$103</c:f>
              <c:numCache>
                <c:formatCode>General</c:formatCode>
                <c:ptCount val="3"/>
                <c:pt idx="0">
                  <c:v>1.44</c:v>
                </c:pt>
                <c:pt idx="1">
                  <c:v>3.25</c:v>
                </c:pt>
                <c:pt idx="2">
                  <c:v>5.77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193920"/>
        <c:axId val="-133191200"/>
      </c:scatterChart>
      <c:valAx>
        <c:axId val="-1331939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1200"/>
        <c:crosses val="autoZero"/>
        <c:crossBetween val="midCat"/>
      </c:valAx>
      <c:valAx>
        <c:axId val="-133191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39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Sheet2!$H$92:$H$94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Sheet2!$J$92:$J$94</c:f>
              <c:numCache>
                <c:formatCode>General</c:formatCode>
                <c:ptCount val="3"/>
                <c:pt idx="0">
                  <c:v>0.59</c:v>
                </c:pt>
                <c:pt idx="1">
                  <c:v>1.66</c:v>
                </c:pt>
                <c:pt idx="2">
                  <c:v>3.21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Sheet2!$H$98:$H$100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Sheet2!$J$98:$J$100</c:f>
              <c:numCache>
                <c:formatCode>General</c:formatCode>
                <c:ptCount val="3"/>
                <c:pt idx="0">
                  <c:v>0.72</c:v>
                </c:pt>
                <c:pt idx="1">
                  <c:v>1.78</c:v>
                </c:pt>
                <c:pt idx="2">
                  <c:v>3.51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197728"/>
        <c:axId val="-133193376"/>
      </c:scatterChart>
      <c:valAx>
        <c:axId val="-133197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3376"/>
        <c:crosses val="autoZero"/>
        <c:crossBetween val="midCat"/>
      </c:valAx>
      <c:valAx>
        <c:axId val="-133193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77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Sheet2!$H$92:$H$94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Sheet2!$L$92:$L$94</c:f>
              <c:numCache>
                <c:formatCode>0.00</c:formatCode>
                <c:ptCount val="3"/>
                <c:pt idx="0">
                  <c:v>0.56000000000000005</c:v>
                </c:pt>
                <c:pt idx="1">
                  <c:v>1.05</c:v>
                </c:pt>
                <c:pt idx="2">
                  <c:v>2.94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Sheet2!$H$98:$H$100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Sheet2!$L$98:$L$100</c:f>
              <c:numCache>
                <c:formatCode>0.00</c:formatCode>
                <c:ptCount val="3"/>
                <c:pt idx="0">
                  <c:v>0.67</c:v>
                </c:pt>
                <c:pt idx="1">
                  <c:v>1.3320000000000001</c:v>
                </c:pt>
                <c:pt idx="2">
                  <c:v>3.27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195552"/>
        <c:axId val="-133195008"/>
      </c:scatterChart>
      <c:valAx>
        <c:axId val="-1331955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5008"/>
        <c:crosses val="autoZero"/>
        <c:crossBetween val="midCat"/>
      </c:valAx>
      <c:valAx>
        <c:axId val="-133195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UPLIFT LOAD, kN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19555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Sheet2!$I$6:$I$8</c:f>
              <c:numCache>
                <c:formatCode>0.00</c:formatCode>
                <c:ptCount val="3"/>
                <c:pt idx="0">
                  <c:v>6.9586499999999996</c:v>
                </c:pt>
                <c:pt idx="1">
                  <c:v>11.891</c:v>
                </c:pt>
                <c:pt idx="2">
                  <c:v>18.126999999999999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Sheet2!$I$12:$I$14</c:f>
              <c:numCache>
                <c:formatCode>0.00</c:formatCode>
                <c:ptCount val="3"/>
                <c:pt idx="0">
                  <c:v>9.5129999999999999</c:v>
                </c:pt>
                <c:pt idx="1">
                  <c:v>17.109000000000002</c:v>
                </c:pt>
                <c:pt idx="2">
                  <c:v>26.93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789728"/>
        <c:axId val="-133788640"/>
      </c:scatterChart>
      <c:valAx>
        <c:axId val="-1337897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88640"/>
        <c:crosses val="autoZero"/>
        <c:crossBetween val="midCat"/>
      </c:valAx>
      <c:valAx>
        <c:axId val="-1337886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897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Sheet2!$I$9:$I$11</c:f>
              <c:numCache>
                <c:formatCode>0.00</c:formatCode>
                <c:ptCount val="3"/>
                <c:pt idx="0">
                  <c:v>3.3279999999999998</c:v>
                </c:pt>
                <c:pt idx="1">
                  <c:v>4.9805000000000001</c:v>
                </c:pt>
                <c:pt idx="2">
                  <c:v>6.9580000000000002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Sheet2!$I$15:$I$17</c:f>
              <c:numCache>
                <c:formatCode>0.00</c:formatCode>
                <c:ptCount val="3"/>
                <c:pt idx="0">
                  <c:v>4.1399999999999997</c:v>
                </c:pt>
                <c:pt idx="1">
                  <c:v>6.55</c:v>
                </c:pt>
                <c:pt idx="2">
                  <c:v>9.5129999999999999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803328"/>
        <c:axId val="-133794080"/>
      </c:scatterChart>
      <c:valAx>
        <c:axId val="-1338033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4080"/>
        <c:crosses val="autoZero"/>
        <c:crossBetween val="midCat"/>
      </c:valAx>
      <c:valAx>
        <c:axId val="-1337940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8033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Sheet2!$K$6:$K$8</c:f>
              <c:numCache>
                <c:formatCode>0.00</c:formatCode>
                <c:ptCount val="3"/>
                <c:pt idx="0">
                  <c:v>5.95779611916769</c:v>
                </c:pt>
                <c:pt idx="1">
                  <c:v>7.4472451489596114</c:v>
                </c:pt>
                <c:pt idx="2">
                  <c:v>15.639214812815185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Sheet2!$K$12:$K$14</c:f>
              <c:numCache>
                <c:formatCode>0.00</c:formatCode>
                <c:ptCount val="3"/>
                <c:pt idx="0">
                  <c:v>6.9631302517911173</c:v>
                </c:pt>
                <c:pt idx="1">
                  <c:v>9.2287457665530024</c:v>
                </c:pt>
                <c:pt idx="2">
                  <c:v>16.992116360714142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799520"/>
        <c:axId val="-133798976"/>
      </c:scatterChart>
      <c:valAx>
        <c:axId val="-133799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8976"/>
        <c:crosses val="autoZero"/>
        <c:crossBetween val="midCat"/>
      </c:valAx>
      <c:valAx>
        <c:axId val="-133798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  <a:p>
                <a:pPr>
                  <a:defRPr/>
                </a:pPr>
                <a:endParaRPr lang="en-US"/>
              </a:p>
            </c:rich>
          </c:tx>
          <c:layout>
            <c:manualLayout>
              <c:xMode val="edge"/>
              <c:yMode val="edge"/>
              <c:x val="0"/>
              <c:y val="0.287328440280744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95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Sheet2!$K$9:$K$11</c:f>
              <c:numCache>
                <c:formatCode>0.00</c:formatCode>
                <c:ptCount val="3"/>
                <c:pt idx="0">
                  <c:v>2.6597304103427186</c:v>
                </c:pt>
                <c:pt idx="1">
                  <c:v>3.4399179973765821</c:v>
                </c:pt>
                <c:pt idx="2">
                  <c:v>5.4657459932542869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Sheet2!$K$15:$K$17</c:f>
              <c:numCache>
                <c:formatCode>0.00</c:formatCode>
                <c:ptCount val="3"/>
                <c:pt idx="0">
                  <c:v>3.0398740278341814</c:v>
                </c:pt>
                <c:pt idx="1">
                  <c:v>3.741383418872839</c:v>
                </c:pt>
                <c:pt idx="2">
                  <c:v>6.0537662263706347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795712"/>
        <c:axId val="-133797344"/>
      </c:scatterChart>
      <c:valAx>
        <c:axId val="-133795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7344"/>
        <c:crosses val="autoZero"/>
        <c:crossBetween val="midCat"/>
      </c:valAx>
      <c:valAx>
        <c:axId val="-1337973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571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Sheet2!$K$6:$K$8</c:f>
              <c:numCache>
                <c:formatCode>0.00</c:formatCode>
                <c:ptCount val="3"/>
                <c:pt idx="0">
                  <c:v>5.95779611916769</c:v>
                </c:pt>
                <c:pt idx="1">
                  <c:v>7.4472451489596114</c:v>
                </c:pt>
                <c:pt idx="2">
                  <c:v>15.639214812815185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Sheet2!$K$12:$K$14</c:f>
              <c:numCache>
                <c:formatCode>0.00</c:formatCode>
                <c:ptCount val="3"/>
                <c:pt idx="0">
                  <c:v>6.9631302517911173</c:v>
                </c:pt>
                <c:pt idx="1">
                  <c:v>9.2287457665530024</c:v>
                </c:pt>
                <c:pt idx="2">
                  <c:v>16.992116360714142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797888"/>
        <c:axId val="-133794624"/>
      </c:scatterChart>
      <c:valAx>
        <c:axId val="-1337978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4624"/>
        <c:crosses val="autoZero"/>
        <c:crossBetween val="midCat"/>
      </c:valAx>
      <c:valAx>
        <c:axId val="-133794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78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Sheet2!$K$9:$K$11</c:f>
              <c:numCache>
                <c:formatCode>0.00</c:formatCode>
                <c:ptCount val="3"/>
                <c:pt idx="0">
                  <c:v>2.6597304103427186</c:v>
                </c:pt>
                <c:pt idx="1">
                  <c:v>3.4399179973765821</c:v>
                </c:pt>
                <c:pt idx="2">
                  <c:v>5.4657459932542869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Sheet2!$K$15:$K$17</c:f>
              <c:numCache>
                <c:formatCode>0.00</c:formatCode>
                <c:ptCount val="3"/>
                <c:pt idx="0">
                  <c:v>3.0398740278341814</c:v>
                </c:pt>
                <c:pt idx="1">
                  <c:v>3.741383418872839</c:v>
                </c:pt>
                <c:pt idx="2">
                  <c:v>6.0537662263706347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793536"/>
        <c:axId val="-133792992"/>
      </c:scatterChart>
      <c:valAx>
        <c:axId val="-133793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2992"/>
        <c:crosses val="autoZero"/>
        <c:crossBetween val="midCat"/>
      </c:valAx>
      <c:valAx>
        <c:axId val="-1337929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353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Sheet2!$K$6:$K$8</c:f>
              <c:numCache>
                <c:formatCode>0.00</c:formatCode>
                <c:ptCount val="3"/>
                <c:pt idx="0">
                  <c:v>5.95779611916769</c:v>
                </c:pt>
                <c:pt idx="1">
                  <c:v>7.4472451489596114</c:v>
                </c:pt>
                <c:pt idx="2">
                  <c:v>15.639214812815185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Sheet2!$K$12:$K$14</c:f>
              <c:numCache>
                <c:formatCode>0.00</c:formatCode>
                <c:ptCount val="3"/>
                <c:pt idx="0">
                  <c:v>6.9631302517911173</c:v>
                </c:pt>
                <c:pt idx="1">
                  <c:v>9.2287457665530024</c:v>
                </c:pt>
                <c:pt idx="2">
                  <c:v>16.992116360714142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791360"/>
        <c:axId val="-133790816"/>
      </c:scatterChart>
      <c:valAx>
        <c:axId val="-1337913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0816"/>
        <c:crosses val="autoZero"/>
        <c:crossBetween val="midCat"/>
      </c:valAx>
      <c:valAx>
        <c:axId val="-1337908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7913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Sheet2!$K$9:$K$11</c:f>
              <c:numCache>
                <c:formatCode>0.00</c:formatCode>
                <c:ptCount val="3"/>
                <c:pt idx="0">
                  <c:v>2.6597304103427186</c:v>
                </c:pt>
                <c:pt idx="1">
                  <c:v>3.4399179973765821</c:v>
                </c:pt>
                <c:pt idx="2">
                  <c:v>5.4657459932542869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Sheet2!$K$15:$K$17</c:f>
              <c:numCache>
                <c:formatCode>0.00</c:formatCode>
                <c:ptCount val="3"/>
                <c:pt idx="0">
                  <c:v>3.0398740278341814</c:v>
                </c:pt>
                <c:pt idx="1">
                  <c:v>3.741383418872839</c:v>
                </c:pt>
                <c:pt idx="2">
                  <c:v>6.0537662263706347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15280"/>
        <c:axId val="-133021808"/>
      </c:scatterChart>
      <c:valAx>
        <c:axId val="-1330152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1808"/>
        <c:crosses val="autoZero"/>
        <c:crossBetween val="midCat"/>
      </c:valAx>
      <c:valAx>
        <c:axId val="-1330218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1528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Sheet2!$K$6:$K$8</c:f>
              <c:numCache>
                <c:formatCode>0.00</c:formatCode>
                <c:ptCount val="3"/>
                <c:pt idx="0">
                  <c:v>5.95779611916769</c:v>
                </c:pt>
                <c:pt idx="1">
                  <c:v>7.4472451489596114</c:v>
                </c:pt>
                <c:pt idx="2">
                  <c:v>15.639214812815185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Sheet2!$K$12:$K$14</c:f>
              <c:numCache>
                <c:formatCode>0.00</c:formatCode>
                <c:ptCount val="3"/>
                <c:pt idx="0">
                  <c:v>6.9631302517911173</c:v>
                </c:pt>
                <c:pt idx="1">
                  <c:v>9.2287457665530024</c:v>
                </c:pt>
                <c:pt idx="2">
                  <c:v>16.992116360714142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02768"/>
        <c:axId val="-133022896"/>
      </c:scatterChart>
      <c:valAx>
        <c:axId val="-1330027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2896"/>
        <c:crosses val="autoZero"/>
        <c:crossBetween val="midCat"/>
      </c:valAx>
      <c:valAx>
        <c:axId val="-133022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0276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Sheet2!$K$9:$K$11</c:f>
              <c:numCache>
                <c:formatCode>0.00</c:formatCode>
                <c:ptCount val="3"/>
                <c:pt idx="0">
                  <c:v>2.6597304103427186</c:v>
                </c:pt>
                <c:pt idx="1">
                  <c:v>3.4399179973765821</c:v>
                </c:pt>
                <c:pt idx="2">
                  <c:v>5.4657459932542869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Sheet2!$K$15:$K$17</c:f>
              <c:numCache>
                <c:formatCode>0.00</c:formatCode>
                <c:ptCount val="3"/>
                <c:pt idx="0">
                  <c:v>3.0398740278341814</c:v>
                </c:pt>
                <c:pt idx="1">
                  <c:v>3.741383418872839</c:v>
                </c:pt>
                <c:pt idx="2">
                  <c:v>6.0537662263706347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2997872"/>
        <c:axId val="-133003312"/>
      </c:scatterChart>
      <c:valAx>
        <c:axId val="-1329978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03312"/>
        <c:crosses val="autoZero"/>
        <c:crossBetween val="midCat"/>
      </c:valAx>
      <c:valAx>
        <c:axId val="-133003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29978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Sheet2!$H$6:$H$8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Sheet2!$K$6:$K$8</c:f>
              <c:numCache>
                <c:formatCode>0.00</c:formatCode>
                <c:ptCount val="3"/>
                <c:pt idx="0">
                  <c:v>5.95779611916769</c:v>
                </c:pt>
                <c:pt idx="1">
                  <c:v>7.4472451489596114</c:v>
                </c:pt>
                <c:pt idx="2">
                  <c:v>15.639214812815185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Sheet2!$H$12:$H$14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Sheet2!$K$12:$K$14</c:f>
              <c:numCache>
                <c:formatCode>0.00</c:formatCode>
                <c:ptCount val="3"/>
                <c:pt idx="0">
                  <c:v>6.9631302517911173</c:v>
                </c:pt>
                <c:pt idx="1">
                  <c:v>9.2287457665530024</c:v>
                </c:pt>
                <c:pt idx="2">
                  <c:v>16.992116360714142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00592"/>
        <c:axId val="-133022352"/>
      </c:scatterChart>
      <c:valAx>
        <c:axId val="-1330005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2352"/>
        <c:crosses val="autoZero"/>
        <c:crossBetween val="midCat"/>
      </c:valAx>
      <c:valAx>
        <c:axId val="-1330223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0059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Sheet2!$H$9:$H$11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Sheet2!$K$9:$K$11</c:f>
              <c:numCache>
                <c:formatCode>0.00</c:formatCode>
                <c:ptCount val="3"/>
                <c:pt idx="0">
                  <c:v>2.6597304103427186</c:v>
                </c:pt>
                <c:pt idx="1">
                  <c:v>3.4399179973765821</c:v>
                </c:pt>
                <c:pt idx="2">
                  <c:v>5.4657459932542869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Sheet2!$H$15:$H$17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Sheet2!$K$15:$K$17</c:f>
              <c:numCache>
                <c:formatCode>0.00</c:formatCode>
                <c:ptCount val="3"/>
                <c:pt idx="0">
                  <c:v>3.0398740278341814</c:v>
                </c:pt>
                <c:pt idx="1">
                  <c:v>3.741383418872839</c:v>
                </c:pt>
                <c:pt idx="2">
                  <c:v>6.0537662263706347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23984"/>
        <c:axId val="-132997328"/>
      </c:scatterChart>
      <c:valAx>
        <c:axId val="-133023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2997328"/>
        <c:crosses val="autoZero"/>
        <c:crossBetween val="midCat"/>
      </c:valAx>
      <c:valAx>
        <c:axId val="-1329973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39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Sheet2!$H$27:$H$29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Sheet2!$I$27:$I$29</c:f>
              <c:numCache>
                <c:formatCode>0.00</c:formatCode>
                <c:ptCount val="3"/>
                <c:pt idx="0">
                  <c:v>6.3150000000000004</c:v>
                </c:pt>
                <c:pt idx="1">
                  <c:v>10.504</c:v>
                </c:pt>
                <c:pt idx="2">
                  <c:v>15.625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Sheet2!$H$33:$H$35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Sheet2!$I$33:$I$35</c:f>
              <c:numCache>
                <c:formatCode>0.00</c:formatCode>
                <c:ptCount val="3"/>
                <c:pt idx="0">
                  <c:v>6.62</c:v>
                </c:pt>
                <c:pt idx="1">
                  <c:v>10.885999999999999</c:v>
                </c:pt>
                <c:pt idx="2">
                  <c:v>16.297000000000001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18000"/>
        <c:axId val="-133001136"/>
      </c:scatterChart>
      <c:valAx>
        <c:axId val="-13301800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01136"/>
        <c:crosses val="autoZero"/>
        <c:crossBetween val="midCat"/>
      </c:valAx>
      <c:valAx>
        <c:axId val="-1330011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1800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Sheet2!$H$30:$H$32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Sheet2!$I$30:$I$32</c:f>
              <c:numCache>
                <c:formatCode>0.00</c:formatCode>
                <c:ptCount val="3"/>
                <c:pt idx="0">
                  <c:v>3.0914000000000001</c:v>
                </c:pt>
                <c:pt idx="1">
                  <c:v>4.6409000000000002</c:v>
                </c:pt>
                <c:pt idx="2">
                  <c:v>6.3150000000000004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Sheet2!$H$36:$H$38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Sheet2!$I$36:$I$38</c:f>
              <c:numCache>
                <c:formatCode>0.00</c:formatCode>
                <c:ptCount val="3"/>
                <c:pt idx="0">
                  <c:v>3.1829999999999998</c:v>
                </c:pt>
                <c:pt idx="1">
                  <c:v>4.8120000000000003</c:v>
                </c:pt>
                <c:pt idx="2">
                  <c:v>6.62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2998960"/>
        <c:axId val="-133024528"/>
      </c:scatterChart>
      <c:valAx>
        <c:axId val="-1329989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4528"/>
        <c:crosses val="autoZero"/>
        <c:crossBetween val="midCat"/>
      </c:valAx>
      <c:valAx>
        <c:axId val="-13302452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299896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Sheet2!$H$51:$H$53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Sheet2!$I$51:$I$53</c:f>
              <c:numCache>
                <c:formatCode>0.00</c:formatCode>
                <c:ptCount val="3"/>
                <c:pt idx="0">
                  <c:v>1.9055</c:v>
                </c:pt>
                <c:pt idx="1">
                  <c:v>6.2960000000000003</c:v>
                </c:pt>
                <c:pt idx="2">
                  <c:v>15.084160000000001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Sheet2!$H$57:$H$59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Sheet2!$I$57:$I$59</c:f>
              <c:numCache>
                <c:formatCode>0.00</c:formatCode>
                <c:ptCount val="3"/>
                <c:pt idx="0">
                  <c:v>1.9055</c:v>
                </c:pt>
                <c:pt idx="1">
                  <c:v>6.2960000000000003</c:v>
                </c:pt>
                <c:pt idx="2">
                  <c:v>15.084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2996240"/>
        <c:axId val="-132998416"/>
      </c:scatterChart>
      <c:valAx>
        <c:axId val="-13299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2998416"/>
        <c:crosses val="autoZero"/>
        <c:crossBetween val="midCat"/>
      </c:valAx>
      <c:valAx>
        <c:axId val="-132998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29962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67523181859321"/>
          <c:y val="0.10276256918662373"/>
          <c:w val="0.44649503451566985"/>
          <c:h val="0.1165811268410101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latin typeface="Times New Roman" panose="02020603050405020304" pitchFamily="18" charset="0"/>
                <a:cs typeface="Times New Roman" panose="02020603050405020304" pitchFamily="18" charset="0"/>
              </a:rPr>
              <a:t>Plate Size= 0.15m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Sheet2!$H$48:$H$50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Sheet2!$I$48:$I$50</c:f>
              <c:numCache>
                <c:formatCode>0.00</c:formatCode>
                <c:ptCount val="3"/>
                <c:pt idx="0">
                  <c:v>6.5419999999999998</c:v>
                </c:pt>
                <c:pt idx="1">
                  <c:v>22.7547</c:v>
                </c:pt>
                <c:pt idx="2">
                  <c:v>56.015999999999998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Sheet2!$H$54:$H$56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Sheet2!$I$54:$I$56</c:f>
              <c:numCache>
                <c:formatCode>0.00</c:formatCode>
                <c:ptCount val="3"/>
                <c:pt idx="0">
                  <c:v>6.5422000000000002</c:v>
                </c:pt>
                <c:pt idx="1">
                  <c:v>22.754000000000001</c:v>
                </c:pt>
                <c:pt idx="2">
                  <c:v>56.015999999999998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10928"/>
        <c:axId val="-133009296"/>
      </c:scatterChart>
      <c:valAx>
        <c:axId val="-133010928"/>
        <c:scaling>
          <c:orientation val="minMax"/>
          <c:min val="1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09296"/>
        <c:crosses val="autoZero"/>
        <c:crossBetween val="midCat"/>
      </c:valAx>
      <c:valAx>
        <c:axId val="-133009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1092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767523181859321"/>
          <c:y val="0.1240484070765915"/>
          <c:w val="0.44649503451566985"/>
          <c:h val="0.1027403958626561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Sheet2!$H$72:$H$74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Sheet2!$I$72:$I$74</c:f>
              <c:numCache>
                <c:formatCode>0.00</c:formatCode>
                <c:ptCount val="3"/>
                <c:pt idx="0">
                  <c:v>1.9150058954467573</c:v>
                </c:pt>
                <c:pt idx="1">
                  <c:v>3.18</c:v>
                </c:pt>
                <c:pt idx="2">
                  <c:v>4.62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Sheet2!$H$78:$H$80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Sheet2!$I$78:$I$80</c:f>
              <c:numCache>
                <c:formatCode>0.00</c:formatCode>
                <c:ptCount val="3"/>
                <c:pt idx="0">
                  <c:v>2.2799999999999998</c:v>
                </c:pt>
                <c:pt idx="1">
                  <c:v>3.8106682970001136</c:v>
                </c:pt>
                <c:pt idx="2">
                  <c:v>5.5860932990115302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23440"/>
        <c:axId val="-132994064"/>
      </c:scatterChart>
      <c:valAx>
        <c:axId val="-1330234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2994064"/>
        <c:crosses val="autoZero"/>
        <c:crossBetween val="midCat"/>
      </c:valAx>
      <c:valAx>
        <c:axId val="-132994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344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Sheet2!$H$69:$H$71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Sheet2!$I$69:$I$71</c:f>
              <c:numCache>
                <c:formatCode>0.00</c:formatCode>
                <c:ptCount val="3"/>
                <c:pt idx="0">
                  <c:v>4.62</c:v>
                </c:pt>
                <c:pt idx="1">
                  <c:v>8.0855804474418633</c:v>
                </c:pt>
                <c:pt idx="2">
                  <c:v>12.33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Sheet2!$H$75:$H$77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Sheet2!$I$75:$I$77</c:f>
              <c:numCache>
                <c:formatCode>0.00</c:formatCode>
                <c:ptCount val="3"/>
                <c:pt idx="0">
                  <c:v>5.59</c:v>
                </c:pt>
                <c:pt idx="1">
                  <c:v>9.9</c:v>
                </c:pt>
                <c:pt idx="2">
                  <c:v>15.24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2993520"/>
        <c:axId val="-133020720"/>
      </c:scatterChart>
      <c:valAx>
        <c:axId val="-13299352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0720"/>
        <c:crosses val="autoZero"/>
        <c:crossBetween val="midCat"/>
      </c:valAx>
      <c:valAx>
        <c:axId val="-1330207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29935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30cm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Sheet2!$H$95:$H$97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Sheet2!$I$95:$I$97</c:f>
              <c:numCache>
                <c:formatCode>0.00</c:formatCode>
                <c:ptCount val="3"/>
                <c:pt idx="0">
                  <c:v>3.125</c:v>
                </c:pt>
                <c:pt idx="1">
                  <c:v>5</c:v>
                </c:pt>
                <c:pt idx="2">
                  <c:v>6.25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Sheet2!$H$101:$H$103</c:f>
              <c:numCache>
                <c:formatCode>0.00</c:formatCode>
                <c:ptCount val="3"/>
                <c:pt idx="0">
                  <c:v>1</c:v>
                </c:pt>
                <c:pt idx="1">
                  <c:v>1.5</c:v>
                </c:pt>
                <c:pt idx="2">
                  <c:v>2</c:v>
                </c:pt>
              </c:numCache>
            </c:numRef>
          </c:xVal>
          <c:yVal>
            <c:numRef>
              <c:f>Sheet2!$I$101:$I$103</c:f>
              <c:numCache>
                <c:formatCode>0.00</c:formatCode>
                <c:ptCount val="3"/>
                <c:pt idx="0">
                  <c:v>3.75</c:v>
                </c:pt>
                <c:pt idx="1">
                  <c:v>5.625</c:v>
                </c:pt>
                <c:pt idx="2">
                  <c:v>7.5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19088"/>
        <c:axId val="-133001680"/>
      </c:scatterChart>
      <c:valAx>
        <c:axId val="-133019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01680"/>
        <c:crosses val="autoZero"/>
        <c:crossBetween val="midCat"/>
      </c:valAx>
      <c:valAx>
        <c:axId val="-133001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19088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Plate Size= 15cm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76227034120735"/>
          <c:y val="0.20875000000000005"/>
          <c:w val="0.79355796150481195"/>
          <c:h val="0.62836431904345291"/>
        </c:manualLayout>
      </c:layout>
      <c:scatterChart>
        <c:scatterStyle val="smoothMarker"/>
        <c:varyColors val="0"/>
        <c:ser>
          <c:idx val="0"/>
          <c:order val="0"/>
          <c:tx>
            <c:v>41.28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Sheet2!$H$92:$H$94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Sheet2!$I$92:$I$94</c:f>
              <c:numCache>
                <c:formatCode>0.00</c:formatCode>
                <c:ptCount val="3"/>
                <c:pt idx="0">
                  <c:v>6.25</c:v>
                </c:pt>
                <c:pt idx="1">
                  <c:v>11.76</c:v>
                </c:pt>
                <c:pt idx="2">
                  <c:v>17.05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B-79D0-4092-8315-F9981D9286F9}"/>
            </c:ext>
          </c:extLst>
        </c:ser>
        <c:ser>
          <c:idx val="1"/>
          <c:order val="1"/>
          <c:tx>
            <c:v>46.45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Sheet2!$H$98:$H$100</c:f>
              <c:numCache>
                <c:formatCode>0.00</c:formatCode>
                <c:ptCount val="3"/>
                <c:pt idx="0">
                  <c:v>2</c:v>
                </c:pt>
                <c:pt idx="1">
                  <c:v>3</c:v>
                </c:pt>
                <c:pt idx="2">
                  <c:v>4</c:v>
                </c:pt>
              </c:numCache>
            </c:numRef>
          </c:xVal>
          <c:yVal>
            <c:numRef>
              <c:f>Sheet2!$I$98:$I$100</c:f>
              <c:numCache>
                <c:formatCode>0.00</c:formatCode>
                <c:ptCount val="3"/>
                <c:pt idx="0">
                  <c:v>7.5</c:v>
                </c:pt>
                <c:pt idx="1">
                  <c:v>12.35</c:v>
                </c:pt>
                <c:pt idx="2">
                  <c:v>18.23</c:v>
                </c:pt>
              </c:numCache>
            </c:numRef>
          </c:yVal>
          <c:smooth val="1"/>
          <c:extLst xmlns:c16r2="http://schemas.microsoft.com/office/drawing/2015/06/chart">
            <c:ext xmlns:c16="http://schemas.microsoft.com/office/drawing/2014/chart" uri="{C3380CC4-5D6E-409C-BE32-E72D297353CC}">
              <c16:uniqueId val="{0000000E-79D0-4092-8315-F9981D9286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33025072"/>
        <c:axId val="-133017456"/>
      </c:scatterChart>
      <c:valAx>
        <c:axId val="-13302507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EMBEDMENT RATIO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17456"/>
        <c:crosses val="autoZero"/>
        <c:crossBetween val="midCat"/>
      </c:valAx>
      <c:valAx>
        <c:axId val="-1330174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BREAKOUT FACTOR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33025072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 cap="all" spc="1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800" b="0" i="0" u="none" strike="noStrike" kern="1200" baseline="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phClr"/>
        </a:solidFill>
        <a:round/>
      </a:ln>
    </cs:spPr>
  </cs:dataPointMarker>
  <cs:dataPointMarkerLayout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15000"/>
            <a:lumOff val="8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spc="12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8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45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3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7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65000"/>
            <a:lumOff val="35000"/>
            <a:alpha val="2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spPr>
      <a:ln w="9525" cap="flat" cmpd="sng" algn="ctr">
        <a:solidFill>
          <a:schemeClr val="lt1">
            <a:lumMod val="50000"/>
          </a:schemeClr>
        </a:solidFill>
        <a:round/>
      </a:ln>
    </cs:spPr>
    <cs:defRPr sz="900" kern="1200"/>
    <cs:bodyPr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.xml"/><Relationship Id="rId3" Type="http://schemas.openxmlformats.org/officeDocument/2006/relationships/chart" Target="../charts/chart5.xml"/><Relationship Id="rId7" Type="http://schemas.openxmlformats.org/officeDocument/2006/relationships/chart" Target="../charts/chart9.xml"/><Relationship Id="rId2" Type="http://schemas.openxmlformats.org/officeDocument/2006/relationships/chart" Target="../charts/chart4.xml"/><Relationship Id="rId1" Type="http://schemas.openxmlformats.org/officeDocument/2006/relationships/chart" Target="../charts/chart3.xml"/><Relationship Id="rId6" Type="http://schemas.openxmlformats.org/officeDocument/2006/relationships/chart" Target="../charts/chart8.xml"/><Relationship Id="rId11" Type="http://schemas.openxmlformats.org/officeDocument/2006/relationships/chart" Target="../charts/chart13.xml"/><Relationship Id="rId5" Type="http://schemas.openxmlformats.org/officeDocument/2006/relationships/chart" Target="../charts/chart7.xml"/><Relationship Id="rId10" Type="http://schemas.openxmlformats.org/officeDocument/2006/relationships/chart" Target="../charts/chart12.xml"/><Relationship Id="rId4" Type="http://schemas.openxmlformats.org/officeDocument/2006/relationships/chart" Target="../charts/chart6.xml"/><Relationship Id="rId9" Type="http://schemas.openxmlformats.org/officeDocument/2006/relationships/chart" Target="../charts/chart11.xml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chart" Target="../charts/chart17.xm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chart" Target="../charts/chart16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9.xml"/><Relationship Id="rId2" Type="http://schemas.openxmlformats.org/officeDocument/2006/relationships/chart" Target="../charts/chart18.xml"/><Relationship Id="rId1" Type="http://schemas.openxmlformats.org/officeDocument/2006/relationships/image" Target="../media/image4.png"/><Relationship Id="rId5" Type="http://schemas.openxmlformats.org/officeDocument/2006/relationships/chart" Target="../charts/chart21.xml"/><Relationship Id="rId4" Type="http://schemas.openxmlformats.org/officeDocument/2006/relationships/chart" Target="../charts/chart20.xml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4.xml"/><Relationship Id="rId2" Type="http://schemas.openxmlformats.org/officeDocument/2006/relationships/chart" Target="../charts/chart23.xml"/><Relationship Id="rId1" Type="http://schemas.openxmlformats.org/officeDocument/2006/relationships/chart" Target="../charts/chart22.xml"/><Relationship Id="rId4" Type="http://schemas.openxmlformats.org/officeDocument/2006/relationships/chart" Target="../charts/chart25.xml"/></Relationships>
</file>

<file path=xl/drawings/_rels/drawing2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4" Type="http://schemas.openxmlformats.org/officeDocument/2006/relationships/chart" Target="../charts/chart29.xml"/></Relationships>
</file>

<file path=xl/drawings/_rels/drawing3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4" Type="http://schemas.openxmlformats.org/officeDocument/2006/relationships/chart" Target="../charts/chart33.xml"/></Relationships>
</file>

<file path=xl/drawings/_rels/drawing39.xml.rels><?xml version="1.0" encoding="UTF-8" standalone="yes"?>
<Relationships xmlns="http://schemas.openxmlformats.org/package/2006/relationships"><Relationship Id="rId13" Type="http://schemas.openxmlformats.org/officeDocument/2006/relationships/chart" Target="../charts/chart46.xml"/><Relationship Id="rId18" Type="http://schemas.openxmlformats.org/officeDocument/2006/relationships/chart" Target="../charts/chart51.xml"/><Relationship Id="rId26" Type="http://schemas.openxmlformats.org/officeDocument/2006/relationships/chart" Target="../charts/chart59.xml"/><Relationship Id="rId39" Type="http://schemas.openxmlformats.org/officeDocument/2006/relationships/chart" Target="../charts/chart72.xml"/><Relationship Id="rId21" Type="http://schemas.openxmlformats.org/officeDocument/2006/relationships/chart" Target="../charts/chart54.xml"/><Relationship Id="rId34" Type="http://schemas.openxmlformats.org/officeDocument/2006/relationships/chart" Target="../charts/chart67.xml"/><Relationship Id="rId7" Type="http://schemas.openxmlformats.org/officeDocument/2006/relationships/chart" Target="../charts/chart40.xml"/><Relationship Id="rId12" Type="http://schemas.openxmlformats.org/officeDocument/2006/relationships/chart" Target="../charts/chart45.xml"/><Relationship Id="rId17" Type="http://schemas.openxmlformats.org/officeDocument/2006/relationships/chart" Target="../charts/chart50.xml"/><Relationship Id="rId25" Type="http://schemas.openxmlformats.org/officeDocument/2006/relationships/chart" Target="../charts/chart58.xml"/><Relationship Id="rId33" Type="http://schemas.openxmlformats.org/officeDocument/2006/relationships/chart" Target="../charts/chart66.xml"/><Relationship Id="rId38" Type="http://schemas.openxmlformats.org/officeDocument/2006/relationships/chart" Target="../charts/chart71.xml"/><Relationship Id="rId2" Type="http://schemas.openxmlformats.org/officeDocument/2006/relationships/chart" Target="../charts/chart35.xml"/><Relationship Id="rId16" Type="http://schemas.openxmlformats.org/officeDocument/2006/relationships/chart" Target="../charts/chart49.xml"/><Relationship Id="rId20" Type="http://schemas.openxmlformats.org/officeDocument/2006/relationships/chart" Target="../charts/chart53.xml"/><Relationship Id="rId29" Type="http://schemas.openxmlformats.org/officeDocument/2006/relationships/chart" Target="../charts/chart62.xml"/><Relationship Id="rId1" Type="http://schemas.openxmlformats.org/officeDocument/2006/relationships/chart" Target="../charts/chart34.xml"/><Relationship Id="rId6" Type="http://schemas.openxmlformats.org/officeDocument/2006/relationships/chart" Target="../charts/chart39.xml"/><Relationship Id="rId11" Type="http://schemas.openxmlformats.org/officeDocument/2006/relationships/chart" Target="../charts/chart44.xml"/><Relationship Id="rId24" Type="http://schemas.openxmlformats.org/officeDocument/2006/relationships/chart" Target="../charts/chart57.xml"/><Relationship Id="rId32" Type="http://schemas.openxmlformats.org/officeDocument/2006/relationships/chart" Target="../charts/chart65.xml"/><Relationship Id="rId37" Type="http://schemas.openxmlformats.org/officeDocument/2006/relationships/chart" Target="../charts/chart70.xml"/><Relationship Id="rId40" Type="http://schemas.openxmlformats.org/officeDocument/2006/relationships/chart" Target="../charts/chart73.xml"/><Relationship Id="rId5" Type="http://schemas.openxmlformats.org/officeDocument/2006/relationships/chart" Target="../charts/chart38.xml"/><Relationship Id="rId15" Type="http://schemas.openxmlformats.org/officeDocument/2006/relationships/chart" Target="../charts/chart48.xml"/><Relationship Id="rId23" Type="http://schemas.openxmlformats.org/officeDocument/2006/relationships/chart" Target="../charts/chart56.xml"/><Relationship Id="rId28" Type="http://schemas.openxmlformats.org/officeDocument/2006/relationships/chart" Target="../charts/chart61.xml"/><Relationship Id="rId36" Type="http://schemas.openxmlformats.org/officeDocument/2006/relationships/chart" Target="../charts/chart69.xml"/><Relationship Id="rId10" Type="http://schemas.openxmlformats.org/officeDocument/2006/relationships/chart" Target="../charts/chart43.xml"/><Relationship Id="rId19" Type="http://schemas.openxmlformats.org/officeDocument/2006/relationships/chart" Target="../charts/chart52.xml"/><Relationship Id="rId31" Type="http://schemas.openxmlformats.org/officeDocument/2006/relationships/chart" Target="../charts/chart64.xml"/><Relationship Id="rId4" Type="http://schemas.openxmlformats.org/officeDocument/2006/relationships/chart" Target="../charts/chart37.xml"/><Relationship Id="rId9" Type="http://schemas.openxmlformats.org/officeDocument/2006/relationships/chart" Target="../charts/chart42.xml"/><Relationship Id="rId14" Type="http://schemas.openxmlformats.org/officeDocument/2006/relationships/chart" Target="../charts/chart47.xml"/><Relationship Id="rId22" Type="http://schemas.openxmlformats.org/officeDocument/2006/relationships/chart" Target="../charts/chart55.xml"/><Relationship Id="rId27" Type="http://schemas.openxmlformats.org/officeDocument/2006/relationships/chart" Target="../charts/chart60.xml"/><Relationship Id="rId30" Type="http://schemas.openxmlformats.org/officeDocument/2006/relationships/chart" Target="../charts/chart63.xml"/><Relationship Id="rId35" Type="http://schemas.openxmlformats.org/officeDocument/2006/relationships/chart" Target="../charts/chart68.xml"/><Relationship Id="rId8" Type="http://schemas.openxmlformats.org/officeDocument/2006/relationships/chart" Target="../charts/chart41.xml"/><Relationship Id="rId3" Type="http://schemas.openxmlformats.org/officeDocument/2006/relationships/chart" Target="../charts/chart3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485775</xdr:colOff>
      <xdr:row>9</xdr:row>
      <xdr:rowOff>85725</xdr:rowOff>
    </xdr:from>
    <xdr:to>
      <xdr:col>14</xdr:col>
      <xdr:colOff>285750</xdr:colOff>
      <xdr:row>28</xdr:row>
      <xdr:rowOff>114299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485775</xdr:colOff>
      <xdr:row>29</xdr:row>
      <xdr:rowOff>76200</xdr:rowOff>
    </xdr:from>
    <xdr:to>
      <xdr:col>14</xdr:col>
      <xdr:colOff>285750</xdr:colOff>
      <xdr:row>48</xdr:row>
      <xdr:rowOff>104774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0.02039</cdr:x>
      <cdr:y>0.10183</cdr:y>
    </cdr:from>
    <cdr:to>
      <cdr:x>0.16761</cdr:x>
      <cdr:y>0.20104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71450" y="371475"/>
          <a:ext cx="1238250" cy="3619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0.15 m PLATE</a:t>
          </a:r>
        </a:p>
      </cdr:txBody>
    </cdr:sp>
  </cdr:relSizeAnchor>
  <cdr:relSizeAnchor xmlns:cdr="http://schemas.openxmlformats.org/drawingml/2006/chartDrawing">
    <cdr:from>
      <cdr:x>0.00604</cdr:x>
      <cdr:y>0.10009</cdr:y>
    </cdr:from>
    <cdr:to>
      <cdr:x>0.15327</cdr:x>
      <cdr:y>0.1993</cdr:y>
    </cdr:to>
    <cdr:sp macro="" textlink="">
      <cdr:nvSpPr>
        <cdr:cNvPr id="3" name="TextBox 1"/>
        <cdr:cNvSpPr txBox="1"/>
      </cdr:nvSpPr>
      <cdr:spPr>
        <a:xfrm xmlns:a="http://schemas.openxmlformats.org/drawingml/2006/main">
          <a:off x="50800" y="365125"/>
          <a:ext cx="1238289" cy="3619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non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400" b="1">
              <a:solidFill>
                <a:sysClr val="windowText" lastClr="000000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0.15 m PLATE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0.02151</cdr:x>
      <cdr:y>0.09922</cdr:y>
    </cdr:from>
    <cdr:to>
      <cdr:x>0.16874</cdr:x>
      <cdr:y>0.19843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180953" y="361957"/>
          <a:ext cx="1238289" cy="3619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400" b="1">
              <a:solidFill>
                <a:schemeClr val="bg1"/>
              </a:solidFill>
              <a:latin typeface="Times New Roman" panose="02020603050405020304" pitchFamily="18" charset="0"/>
              <a:cs typeface="Times New Roman" panose="02020603050405020304" pitchFamily="18" charset="0"/>
            </a:rPr>
            <a:t>0.30 m PLATE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378277</xdr:colOff>
      <xdr:row>10</xdr:row>
      <xdr:rowOff>94567</xdr:rowOff>
    </xdr:from>
    <xdr:to>
      <xdr:col>15</xdr:col>
      <xdr:colOff>370794</xdr:colOff>
      <xdr:row>33</xdr:row>
      <xdr:rowOff>144574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14</xdr:col>
      <xdr:colOff>333376</xdr:colOff>
      <xdr:row>9</xdr:row>
      <xdr:rowOff>182164</xdr:rowOff>
    </xdr:from>
    <xdr:to>
      <xdr:col>20</xdr:col>
      <xdr:colOff>35719</xdr:colOff>
      <xdr:row>24</xdr:row>
      <xdr:rowOff>67864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14</xdr:col>
      <xdr:colOff>381000</xdr:colOff>
      <xdr:row>10</xdr:row>
      <xdr:rowOff>91281</xdr:rowOff>
    </xdr:from>
    <xdr:ext cx="596382" cy="264560"/>
    <xdr:sp macro="" textlink="">
      <xdr:nvSpPr>
        <xdr:cNvPr id="7" name="TextBox 6"/>
        <xdr:cNvSpPr txBox="1"/>
      </xdr:nvSpPr>
      <xdr:spPr>
        <a:xfrm>
          <a:off x="12223750" y="3409156"/>
          <a:ext cx="596382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>
              <a:solidFill>
                <a:schemeClr val="bg1"/>
              </a:solidFill>
            </a:rPr>
            <a:t>70% Dr</a:t>
          </a:r>
        </a:p>
      </xdr:txBody>
    </xdr:sp>
    <xdr:clientData/>
  </xdr:oneCellAnchor>
  <xdr:twoCellAnchor>
    <xdr:from>
      <xdr:col>20</xdr:col>
      <xdr:colOff>83344</xdr:colOff>
      <xdr:row>9</xdr:row>
      <xdr:rowOff>166687</xdr:rowOff>
    </xdr:from>
    <xdr:to>
      <xdr:col>28</xdr:col>
      <xdr:colOff>523875</xdr:colOff>
      <xdr:row>24</xdr:row>
      <xdr:rowOff>52387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14</xdr:col>
      <xdr:colOff>333375</xdr:colOff>
      <xdr:row>24</xdr:row>
      <xdr:rowOff>142477</xdr:rowOff>
    </xdr:from>
    <xdr:to>
      <xdr:col>20</xdr:col>
      <xdr:colOff>31750</xdr:colOff>
      <xdr:row>39</xdr:row>
      <xdr:rowOff>28177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20</xdr:col>
      <xdr:colOff>83345</xdr:colOff>
      <xdr:row>24</xdr:row>
      <xdr:rowOff>127000</xdr:rowOff>
    </xdr:from>
    <xdr:to>
      <xdr:col>28</xdr:col>
      <xdr:colOff>523875</xdr:colOff>
      <xdr:row>39</xdr:row>
      <xdr:rowOff>12700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381000</xdr:colOff>
      <xdr:row>40</xdr:row>
      <xdr:rowOff>111125</xdr:rowOff>
    </xdr:from>
    <xdr:to>
      <xdr:col>20</xdr:col>
      <xdr:colOff>83343</xdr:colOff>
      <xdr:row>54</xdr:row>
      <xdr:rowOff>187325</xdr:rowOff>
    </xdr:to>
    <xdr:graphicFrame macro="">
      <xdr:nvGraphicFramePr>
        <xdr:cNvPr id="13" name="Chart 1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20</xdr:col>
      <xdr:colOff>142875</xdr:colOff>
      <xdr:row>40</xdr:row>
      <xdr:rowOff>111523</xdr:rowOff>
    </xdr:from>
    <xdr:to>
      <xdr:col>28</xdr:col>
      <xdr:colOff>544285</xdr:colOff>
      <xdr:row>54</xdr:row>
      <xdr:rowOff>187723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14</xdr:col>
      <xdr:colOff>322036</xdr:colOff>
      <xdr:row>55</xdr:row>
      <xdr:rowOff>147410</xdr:rowOff>
    </xdr:from>
    <xdr:to>
      <xdr:col>20</xdr:col>
      <xdr:colOff>24379</xdr:colOff>
      <xdr:row>70</xdr:row>
      <xdr:rowOff>33110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20</xdr:col>
      <xdr:colOff>122464</xdr:colOff>
      <xdr:row>55</xdr:row>
      <xdr:rowOff>149678</xdr:rowOff>
    </xdr:from>
    <xdr:to>
      <xdr:col>28</xdr:col>
      <xdr:colOff>491556</xdr:colOff>
      <xdr:row>70</xdr:row>
      <xdr:rowOff>35378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20</xdr:col>
      <xdr:colOff>95251</xdr:colOff>
      <xdr:row>71</xdr:row>
      <xdr:rowOff>108856</xdr:rowOff>
    </xdr:from>
    <xdr:to>
      <xdr:col>28</xdr:col>
      <xdr:colOff>435429</xdr:colOff>
      <xdr:row>85</xdr:row>
      <xdr:rowOff>185056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14</xdr:col>
      <xdr:colOff>312964</xdr:colOff>
      <xdr:row>71</xdr:row>
      <xdr:rowOff>54429</xdr:rowOff>
    </xdr:from>
    <xdr:to>
      <xdr:col>20</xdr:col>
      <xdr:colOff>9072</xdr:colOff>
      <xdr:row>85</xdr:row>
      <xdr:rowOff>130629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0.01804</cdr:x>
      <cdr:y>0.0489</cdr:y>
    </cdr:from>
    <cdr:to>
      <cdr:x>0.14928</cdr:x>
      <cdr:y>0.14534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95033" y="134144"/>
          <a:ext cx="691178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85%</a:t>
          </a:r>
          <a:r>
            <a:rPr lang="en-US" sz="1100" baseline="0">
              <a:solidFill>
                <a:schemeClr val="bg1"/>
              </a:solidFill>
            </a:rPr>
            <a:t> Dr</a:t>
          </a:r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0.04745</cdr:y>
    </cdr:from>
    <cdr:to>
      <cdr:x>0.13078</cdr:x>
      <cdr:y>0.1439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0" y="130175"/>
          <a:ext cx="689291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70% Dr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0.04757</cdr:x>
      <cdr:y>0.20515</cdr:y>
    </cdr:from>
    <cdr:to>
      <cdr:x>0.08265</cdr:x>
      <cdr:y>0.30159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250529" y="562767"/>
          <a:ext cx="184731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chemeClr val="bg1"/>
            </a:solidFill>
          </a:endParaRPr>
        </a:p>
      </cdr:txBody>
    </cdr:sp>
  </cdr:relSizeAnchor>
  <cdr:relSizeAnchor xmlns:cdr="http://schemas.openxmlformats.org/drawingml/2006/chartDrawing">
    <cdr:from>
      <cdr:x>0.00362</cdr:x>
      <cdr:y>0.05324</cdr:y>
    </cdr:from>
    <cdr:to>
      <cdr:x>0.13486</cdr:x>
      <cdr:y>0.14968</cdr:y>
    </cdr:to>
    <cdr:sp macro="" textlink="">
      <cdr:nvSpPr>
        <cdr:cNvPr id="3" name="TextBox 6"/>
        <cdr:cNvSpPr txBox="1"/>
      </cdr:nvSpPr>
      <cdr:spPr>
        <a:xfrm xmlns:a="http://schemas.openxmlformats.org/drawingml/2006/main">
          <a:off x="19050" y="146050"/>
          <a:ext cx="691178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85%</a:t>
          </a:r>
          <a:r>
            <a:rPr lang="en-US" sz="1100" baseline="0">
              <a:solidFill>
                <a:schemeClr val="bg1"/>
              </a:solidFill>
            </a:rPr>
            <a:t> Dr</a:t>
          </a:r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0.00963</cdr:x>
      <cdr:y>0.01852</cdr:y>
    </cdr:from>
    <cdr:to>
      <cdr:x>0.14032</cdr:x>
      <cdr:y>0.11496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50800" y="50800"/>
          <a:ext cx="689291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70% Dr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0.01804</cdr:x>
      <cdr:y>0.04311</cdr:y>
    </cdr:from>
    <cdr:to>
      <cdr:x>0.14928</cdr:x>
      <cdr:y>0.13955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95023" y="118267"/>
          <a:ext cx="691179" cy="264555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85%</a:t>
          </a:r>
          <a:r>
            <a:rPr lang="en-US" sz="1100" baseline="0">
              <a:solidFill>
                <a:schemeClr val="bg1"/>
              </a:solidFill>
            </a:rPr>
            <a:t> Dr</a:t>
          </a:r>
          <a:endParaRPr lang="en-US" sz="1100">
            <a:solidFill>
              <a:schemeClr val="bg1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0.00963</cdr:x>
      <cdr:y>0.01852</cdr:y>
    </cdr:from>
    <cdr:to>
      <cdr:x>0.14032</cdr:x>
      <cdr:y>0.11496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50800" y="50800"/>
          <a:ext cx="689291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70% Dr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0.00963</cdr:x>
      <cdr:y>0.01852</cdr:y>
    </cdr:from>
    <cdr:to>
      <cdr:x>0.12285</cdr:x>
      <cdr:y>0.11496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50728" y="50804"/>
          <a:ext cx="596382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85% Dr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0.00963</cdr:x>
      <cdr:y>0.01852</cdr:y>
    </cdr:from>
    <cdr:to>
      <cdr:x>0.12116</cdr:x>
      <cdr:y>0.11496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51492" y="50804"/>
          <a:ext cx="596382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85% Dr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0.00963</cdr:x>
      <cdr:y>0.01852</cdr:y>
    </cdr:from>
    <cdr:to>
      <cdr:x>0.13462</cdr:x>
      <cdr:y>0.11496</cdr:y>
    </cdr:to>
    <cdr:sp macro="" textlink="">
      <cdr:nvSpPr>
        <cdr:cNvPr id="2" name="TextBox 6"/>
        <cdr:cNvSpPr txBox="1"/>
      </cdr:nvSpPr>
      <cdr:spPr>
        <a:xfrm xmlns:a="http://schemas.openxmlformats.org/drawingml/2006/main">
          <a:off x="45950" y="50804"/>
          <a:ext cx="596382" cy="264560"/>
        </a:xfrm>
        <a:prstGeom xmlns:a="http://schemas.openxmlformats.org/drawingml/2006/main" prst="rect">
          <a:avLst/>
        </a:prstGeom>
        <a:noFill xmlns:a="http://schemas.openxmlformats.org/drawingml/2006/main"/>
      </cdr:spPr>
      <cdr:style>
        <a:lnRef xmlns:a="http://schemas.openxmlformats.org/drawingml/2006/main" idx="0">
          <a:scrgbClr r="0" g="0" b="0"/>
        </a:lnRef>
        <a:fillRef xmlns:a="http://schemas.openxmlformats.org/drawingml/2006/main" idx="0">
          <a:scrgbClr r="0" g="0" b="0"/>
        </a:fillRef>
        <a:effectRef xmlns:a="http://schemas.openxmlformats.org/drawingml/2006/main" idx="0">
          <a:scrgbClr r="0" g="0" b="0"/>
        </a:effectRef>
        <a:fontRef xmlns:a="http://schemas.openxmlformats.org/drawingml/2006/main" idx="minor">
          <a:schemeClr val="tx1"/>
        </a:fontRef>
      </cdr:style>
      <cdr:txBody>
        <a:bodyPr xmlns:a="http://schemas.openxmlformats.org/drawingml/2006/main" wrap="none" rtlCol="0" anchor="t">
          <a:spAutoFit/>
        </a:bodyPr>
        <a:lstStyle xmlns:a="http://schemas.openxmlformats.org/drawingml/2006/main">
          <a:lvl1pPr marL="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en-US" sz="1100">
              <a:solidFill>
                <a:schemeClr val="bg1"/>
              </a:solidFill>
            </a:rPr>
            <a:t>70% Dr</a:t>
          </a:r>
        </a:p>
      </cdr:txBody>
    </cdr:sp>
  </cdr:relSizeAnchor>
</c:userShapes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11906</xdr:colOff>
      <xdr:row>46</xdr:row>
      <xdr:rowOff>152400</xdr:rowOff>
    </xdr:from>
    <xdr:to>
      <xdr:col>8</xdr:col>
      <xdr:colOff>500189</xdr:colOff>
      <xdr:row>61</xdr:row>
      <xdr:rowOff>95250</xdr:rowOff>
    </xdr:to>
    <xdr:pic>
      <xdr:nvPicPr>
        <xdr:cNvPr id="2" name="tabl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786187" y="10117931"/>
          <a:ext cx="2917158" cy="2800350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49</xdr:row>
      <xdr:rowOff>114300</xdr:rowOff>
    </xdr:from>
    <xdr:to>
      <xdr:col>4</xdr:col>
      <xdr:colOff>450057</xdr:colOff>
      <xdr:row>62</xdr:row>
      <xdr:rowOff>466230</xdr:rowOff>
    </xdr:to>
    <xdr:pic>
      <xdr:nvPicPr>
        <xdr:cNvPr id="3" name="table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9075" y="10344150"/>
          <a:ext cx="2962275" cy="2828430"/>
        </a:xfrm>
        <a:prstGeom prst="rect">
          <a:avLst/>
        </a:prstGeom>
      </xdr:spPr>
    </xdr:pic>
    <xdr:clientData/>
  </xdr:twoCellAnchor>
  <xdr:twoCellAnchor editAs="oneCell">
    <xdr:from>
      <xdr:col>1</xdr:col>
      <xdr:colOff>46206</xdr:colOff>
      <xdr:row>62</xdr:row>
      <xdr:rowOff>45244</xdr:rowOff>
    </xdr:from>
    <xdr:to>
      <xdr:col>7</xdr:col>
      <xdr:colOff>405026</xdr:colOff>
      <xdr:row>72</xdr:row>
      <xdr:rowOff>100013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53425" y="13058775"/>
          <a:ext cx="4656976" cy="2543175"/>
        </a:xfrm>
        <a:prstGeom prst="rect">
          <a:avLst/>
        </a:prstGeom>
      </xdr:spPr>
    </xdr:pic>
    <xdr:clientData/>
  </xdr:twoCellAnchor>
  <xdr:twoCellAnchor>
    <xdr:from>
      <xdr:col>11</xdr:col>
      <xdr:colOff>202404</xdr:colOff>
      <xdr:row>29</xdr:row>
      <xdr:rowOff>15478</xdr:rowOff>
    </xdr:from>
    <xdr:to>
      <xdr:col>17</xdr:col>
      <xdr:colOff>190499</xdr:colOff>
      <xdr:row>43</xdr:row>
      <xdr:rowOff>55959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11907</xdr:colOff>
      <xdr:row>29</xdr:row>
      <xdr:rowOff>11906</xdr:rowOff>
    </xdr:from>
    <xdr:to>
      <xdr:col>23</xdr:col>
      <xdr:colOff>380999</xdr:colOff>
      <xdr:row>43</xdr:row>
      <xdr:rowOff>52387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214312</xdr:colOff>
      <xdr:row>42</xdr:row>
      <xdr:rowOff>166687</xdr:rowOff>
    </xdr:from>
    <xdr:to>
      <xdr:col>17</xdr:col>
      <xdr:colOff>154780</xdr:colOff>
      <xdr:row>57</xdr:row>
      <xdr:rowOff>40481</xdr:rowOff>
    </xdr:to>
    <xdr:graphicFrame macro="">
      <xdr:nvGraphicFramePr>
        <xdr:cNvPr id="9" name="Chart 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17</xdr:col>
      <xdr:colOff>23812</xdr:colOff>
      <xdr:row>43</xdr:row>
      <xdr:rowOff>0</xdr:rowOff>
    </xdr:from>
    <xdr:to>
      <xdr:col>23</xdr:col>
      <xdr:colOff>392905</xdr:colOff>
      <xdr:row>57</xdr:row>
      <xdr:rowOff>64294</xdr:rowOff>
    </xdr:to>
    <xdr:graphicFrame macro="">
      <xdr:nvGraphicFramePr>
        <xdr:cNvPr id="10" name="Chart 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381000</xdr:colOff>
      <xdr:row>3</xdr:row>
      <xdr:rowOff>95250</xdr:rowOff>
    </xdr:from>
    <xdr:to>
      <xdr:col>15</xdr:col>
      <xdr:colOff>238125</xdr:colOff>
      <xdr:row>5</xdr:row>
      <xdr:rowOff>47625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91525" y="819150"/>
          <a:ext cx="1762125" cy="390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190501</xdr:colOff>
      <xdr:row>32</xdr:row>
      <xdr:rowOff>122464</xdr:rowOff>
    </xdr:from>
    <xdr:to>
      <xdr:col>17</xdr:col>
      <xdr:colOff>353786</xdr:colOff>
      <xdr:row>47</xdr:row>
      <xdr:rowOff>81642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244929</xdr:colOff>
      <xdr:row>33</xdr:row>
      <xdr:rowOff>0</xdr:rowOff>
    </xdr:from>
    <xdr:to>
      <xdr:col>23</xdr:col>
      <xdr:colOff>68036</xdr:colOff>
      <xdr:row>47</xdr:row>
      <xdr:rowOff>114903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12</xdr:col>
      <xdr:colOff>54429</xdr:colOff>
      <xdr:row>47</xdr:row>
      <xdr:rowOff>122464</xdr:rowOff>
    </xdr:from>
    <xdr:to>
      <xdr:col>17</xdr:col>
      <xdr:colOff>176893</xdr:colOff>
      <xdr:row>63</xdr:row>
      <xdr:rowOff>13606</xdr:rowOff>
    </xdr:to>
    <xdr:graphicFrame macro="">
      <xdr:nvGraphicFramePr>
        <xdr:cNvPr id="6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17</xdr:col>
      <xdr:colOff>244930</xdr:colOff>
      <xdr:row>47</xdr:row>
      <xdr:rowOff>122465</xdr:rowOff>
    </xdr:from>
    <xdr:to>
      <xdr:col>23</xdr:col>
      <xdr:colOff>81643</xdr:colOff>
      <xdr:row>62</xdr:row>
      <xdr:rowOff>122464</xdr:rowOff>
    </xdr:to>
    <xdr:graphicFrame macro="">
      <xdr:nvGraphicFramePr>
        <xdr:cNvPr id="7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809625</xdr:colOff>
      <xdr:row>25</xdr:row>
      <xdr:rowOff>174627</xdr:rowOff>
    </xdr:from>
    <xdr:to>
      <xdr:col>16</xdr:col>
      <xdr:colOff>805089</xdr:colOff>
      <xdr:row>39</xdr:row>
      <xdr:rowOff>185964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17</xdr:col>
      <xdr:colOff>13608</xdr:colOff>
      <xdr:row>25</xdr:row>
      <xdr:rowOff>176894</xdr:rowOff>
    </xdr:from>
    <xdr:to>
      <xdr:col>24</xdr:col>
      <xdr:colOff>390527</xdr:colOff>
      <xdr:row>40</xdr:row>
      <xdr:rowOff>27214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0</xdr:colOff>
      <xdr:row>42</xdr:row>
      <xdr:rowOff>0</xdr:rowOff>
    </xdr:from>
    <xdr:to>
      <xdr:col>15</xdr:col>
      <xdr:colOff>598714</xdr:colOff>
      <xdr:row>56</xdr:row>
      <xdr:rowOff>54427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0</xdr:colOff>
      <xdr:row>42</xdr:row>
      <xdr:rowOff>0</xdr:rowOff>
    </xdr:from>
    <xdr:to>
      <xdr:col>24</xdr:col>
      <xdr:colOff>272143</xdr:colOff>
      <xdr:row>56</xdr:row>
      <xdr:rowOff>54427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35719</xdr:colOff>
      <xdr:row>30</xdr:row>
      <xdr:rowOff>190501</xdr:rowOff>
    </xdr:from>
    <xdr:to>
      <xdr:col>18</xdr:col>
      <xdr:colOff>179916</xdr:colOff>
      <xdr:row>45</xdr:row>
      <xdr:rowOff>178595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18</xdr:col>
      <xdr:colOff>0</xdr:colOff>
      <xdr:row>31</xdr:row>
      <xdr:rowOff>0</xdr:rowOff>
    </xdr:from>
    <xdr:to>
      <xdr:col>23</xdr:col>
      <xdr:colOff>239447</xdr:colOff>
      <xdr:row>45</xdr:row>
      <xdr:rowOff>142875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11907</xdr:colOff>
      <xdr:row>46</xdr:row>
      <xdr:rowOff>178594</xdr:rowOff>
    </xdr:from>
    <xdr:to>
      <xdr:col>16</xdr:col>
      <xdr:colOff>369095</xdr:colOff>
      <xdr:row>62</xdr:row>
      <xdr:rowOff>23812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297657</xdr:colOff>
      <xdr:row>47</xdr:row>
      <xdr:rowOff>11906</xdr:rowOff>
    </xdr:from>
    <xdr:to>
      <xdr:col>23</xdr:col>
      <xdr:colOff>261937</xdr:colOff>
      <xdr:row>61</xdr:row>
      <xdr:rowOff>142875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571501</xdr:colOff>
      <xdr:row>26</xdr:row>
      <xdr:rowOff>190501</xdr:rowOff>
    </xdr:from>
    <xdr:to>
      <xdr:col>17</xdr:col>
      <xdr:colOff>279136</xdr:colOff>
      <xdr:row>41</xdr:row>
      <xdr:rowOff>146844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23813</xdr:colOff>
      <xdr:row>27</xdr:row>
      <xdr:rowOff>11905</xdr:rowOff>
    </xdr:from>
    <xdr:to>
      <xdr:col>23</xdr:col>
      <xdr:colOff>447146</xdr:colOff>
      <xdr:row>41</xdr:row>
      <xdr:rowOff>142874</xdr:rowOff>
    </xdr:to>
    <xdr:graphicFrame macro="">
      <xdr:nvGraphicFramePr>
        <xdr:cNvPr id="3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496094</xdr:colOff>
      <xdr:row>42</xdr:row>
      <xdr:rowOff>11907</xdr:rowOff>
    </xdr:from>
    <xdr:to>
      <xdr:col>15</xdr:col>
      <xdr:colOff>47623</xdr:colOff>
      <xdr:row>56</xdr:row>
      <xdr:rowOff>74271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607217</xdr:colOff>
      <xdr:row>42</xdr:row>
      <xdr:rowOff>47624</xdr:rowOff>
    </xdr:from>
    <xdr:to>
      <xdr:col>23</xdr:col>
      <xdr:colOff>416717</xdr:colOff>
      <xdr:row>56</xdr:row>
      <xdr:rowOff>142874</xdr:rowOff>
    </xdr:to>
    <xdr:graphicFrame macro="">
      <xdr:nvGraphicFramePr>
        <xdr:cNvPr id="5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15cm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70%</a:t>
          </a:r>
          <a:endParaRPr lang="en-US" sz="1100"/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</cdr:x>
      <cdr:y>0.74089</cdr:y>
    </cdr:from>
    <cdr:to>
      <cdr:x>0.16667</cdr:x>
      <cdr:y>1</cdr:y>
    </cdr:to>
    <cdr:sp macro="" textlink="">
      <cdr:nvSpPr>
        <cdr:cNvPr id="4" name="TextBox 3"/>
        <cdr:cNvSpPr txBox="1"/>
      </cdr:nvSpPr>
      <cdr:spPr>
        <a:xfrm xmlns:a="http://schemas.openxmlformats.org/drawingml/2006/main">
          <a:off x="0" y="2032396"/>
          <a:ext cx="762000" cy="71080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0.77995</cdr:y>
    </cdr:from>
    <cdr:to>
      <cdr:x>0.15625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0" y="2139552"/>
          <a:ext cx="714376" cy="603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/>
            <a:t>30cm</a:t>
          </a:r>
          <a:r>
            <a:rPr lang="en-US" sz="1100" baseline="0"/>
            <a:t> ,</a:t>
          </a:r>
        </a:p>
        <a:p xmlns:a="http://schemas.openxmlformats.org/drawingml/2006/main">
          <a:r>
            <a:rPr lang="en-US" sz="1100" baseline="0"/>
            <a:t>85%</a:t>
          </a:r>
          <a:endParaRPr lang="en-US" sz="1100"/>
        </a:p>
      </cdr:txBody>
    </cdr:sp>
  </cdr:relSizeAnchor>
</c:userShapes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19050</xdr:colOff>
      <xdr:row>1</xdr:row>
      <xdr:rowOff>9525</xdr:rowOff>
    </xdr:from>
    <xdr:to>
      <xdr:col>25</xdr:col>
      <xdr:colOff>9525</xdr:colOff>
      <xdr:row>11</xdr:row>
      <xdr:rowOff>47626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15</xdr:col>
      <xdr:colOff>25330</xdr:colOff>
      <xdr:row>11</xdr:row>
      <xdr:rowOff>62802</xdr:rowOff>
    </xdr:from>
    <xdr:to>
      <xdr:col>20</xdr:col>
      <xdr:colOff>15805</xdr:colOff>
      <xdr:row>21</xdr:row>
      <xdr:rowOff>139945</xdr:rowOff>
    </xdr:to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15</xdr:col>
      <xdr:colOff>1</xdr:colOff>
      <xdr:row>1</xdr:row>
      <xdr:rowOff>9525</xdr:rowOff>
    </xdr:from>
    <xdr:to>
      <xdr:col>20</xdr:col>
      <xdr:colOff>38101</xdr:colOff>
      <xdr:row>11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20</xdr:col>
      <xdr:colOff>20934</xdr:colOff>
      <xdr:row>11</xdr:row>
      <xdr:rowOff>82793</xdr:rowOff>
    </xdr:from>
    <xdr:to>
      <xdr:col>25</xdr:col>
      <xdr:colOff>13922</xdr:colOff>
      <xdr:row>21</xdr:row>
      <xdr:rowOff>159936</xdr:rowOff>
    </xdr:to>
    <xdr:graphicFrame macro="">
      <xdr:nvGraphicFramePr>
        <xdr:cNvPr id="5" name="Chart 4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600075</xdr:colOff>
      <xdr:row>33</xdr:row>
      <xdr:rowOff>161925</xdr:rowOff>
    </xdr:from>
    <xdr:to>
      <xdr:col>24</xdr:col>
      <xdr:colOff>590550</xdr:colOff>
      <xdr:row>44</xdr:row>
      <xdr:rowOff>28576</xdr:rowOff>
    </xdr:to>
    <xdr:graphicFrame macro="">
      <xdr:nvGraphicFramePr>
        <xdr:cNvPr id="6" name="Chart 5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571500</xdr:colOff>
      <xdr:row>33</xdr:row>
      <xdr:rowOff>161925</xdr:rowOff>
    </xdr:from>
    <xdr:to>
      <xdr:col>19</xdr:col>
      <xdr:colOff>561975</xdr:colOff>
      <xdr:row>44</xdr:row>
      <xdr:rowOff>28576</xdr:rowOff>
    </xdr:to>
    <xdr:graphicFrame macro="">
      <xdr:nvGraphicFramePr>
        <xdr:cNvPr id="7" name="Chart 6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590550</xdr:colOff>
      <xdr:row>22</xdr:row>
      <xdr:rowOff>171450</xdr:rowOff>
    </xdr:from>
    <xdr:to>
      <xdr:col>19</xdr:col>
      <xdr:colOff>581025</xdr:colOff>
      <xdr:row>33</xdr:row>
      <xdr:rowOff>19051</xdr:rowOff>
    </xdr:to>
    <xdr:graphicFrame macro="">
      <xdr:nvGraphicFramePr>
        <xdr:cNvPr id="8" name="Chart 7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600075</xdr:colOff>
      <xdr:row>22</xdr:row>
      <xdr:rowOff>180975</xdr:rowOff>
    </xdr:from>
    <xdr:to>
      <xdr:col>24</xdr:col>
      <xdr:colOff>590550</xdr:colOff>
      <xdr:row>33</xdr:row>
      <xdr:rowOff>28576</xdr:rowOff>
    </xdr:to>
    <xdr:graphicFrame macro="">
      <xdr:nvGraphicFramePr>
        <xdr:cNvPr id="9" name="Chart 8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20</xdr:col>
      <xdr:colOff>28575</xdr:colOff>
      <xdr:row>56</xdr:row>
      <xdr:rowOff>1</xdr:rowOff>
    </xdr:from>
    <xdr:to>
      <xdr:col>25</xdr:col>
      <xdr:colOff>19050</xdr:colOff>
      <xdr:row>65</xdr:row>
      <xdr:rowOff>66676</xdr:rowOff>
    </xdr:to>
    <xdr:graphicFrame macro="">
      <xdr:nvGraphicFramePr>
        <xdr:cNvPr id="10" name="Chart 9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15</xdr:col>
      <xdr:colOff>28575</xdr:colOff>
      <xdr:row>56</xdr:row>
      <xdr:rowOff>1</xdr:rowOff>
    </xdr:from>
    <xdr:to>
      <xdr:col>20</xdr:col>
      <xdr:colOff>19050</xdr:colOff>
      <xdr:row>65</xdr:row>
      <xdr:rowOff>66676</xdr:rowOff>
    </xdr:to>
    <xdr:graphicFrame macro="">
      <xdr:nvGraphicFramePr>
        <xdr:cNvPr id="11" name="Chart 10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15</xdr:col>
      <xdr:colOff>47625</xdr:colOff>
      <xdr:row>45</xdr:row>
      <xdr:rowOff>0</xdr:rowOff>
    </xdr:from>
    <xdr:to>
      <xdr:col>20</xdr:col>
      <xdr:colOff>38100</xdr:colOff>
      <xdr:row>55</xdr:row>
      <xdr:rowOff>57151</xdr:rowOff>
    </xdr:to>
    <xdr:graphicFrame macro="">
      <xdr:nvGraphicFramePr>
        <xdr:cNvPr id="12" name="Chart 11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20</xdr:col>
      <xdr:colOff>28575</xdr:colOff>
      <xdr:row>45</xdr:row>
      <xdr:rowOff>9525</xdr:rowOff>
    </xdr:from>
    <xdr:to>
      <xdr:col>25</xdr:col>
      <xdr:colOff>19050</xdr:colOff>
      <xdr:row>55</xdr:row>
      <xdr:rowOff>66676</xdr:rowOff>
    </xdr:to>
    <xdr:graphicFrame macro="">
      <xdr:nvGraphicFramePr>
        <xdr:cNvPr id="13" name="Chart 12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20</xdr:col>
      <xdr:colOff>28575</xdr:colOff>
      <xdr:row>76</xdr:row>
      <xdr:rowOff>190501</xdr:rowOff>
    </xdr:from>
    <xdr:to>
      <xdr:col>25</xdr:col>
      <xdr:colOff>19050</xdr:colOff>
      <xdr:row>86</xdr:row>
      <xdr:rowOff>76201</xdr:rowOff>
    </xdr:to>
    <xdr:graphicFrame macro="">
      <xdr:nvGraphicFramePr>
        <xdr:cNvPr id="14" name="Chart 13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15</xdr:col>
      <xdr:colOff>0</xdr:colOff>
      <xdr:row>76</xdr:row>
      <xdr:rowOff>190501</xdr:rowOff>
    </xdr:from>
    <xdr:to>
      <xdr:col>19</xdr:col>
      <xdr:colOff>600075</xdr:colOff>
      <xdr:row>86</xdr:row>
      <xdr:rowOff>76201</xdr:rowOff>
    </xdr:to>
    <xdr:graphicFrame macro="">
      <xdr:nvGraphicFramePr>
        <xdr:cNvPr id="15" name="Chart 14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15</xdr:col>
      <xdr:colOff>19050</xdr:colOff>
      <xdr:row>65</xdr:row>
      <xdr:rowOff>190500</xdr:rowOff>
    </xdr:from>
    <xdr:to>
      <xdr:col>20</xdr:col>
      <xdr:colOff>9525</xdr:colOff>
      <xdr:row>76</xdr:row>
      <xdr:rowOff>47626</xdr:rowOff>
    </xdr:to>
    <xdr:graphicFrame macro="">
      <xdr:nvGraphicFramePr>
        <xdr:cNvPr id="16" name="Chart 15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20</xdr:col>
      <xdr:colOff>28575</xdr:colOff>
      <xdr:row>66</xdr:row>
      <xdr:rowOff>0</xdr:rowOff>
    </xdr:from>
    <xdr:to>
      <xdr:col>25</xdr:col>
      <xdr:colOff>19050</xdr:colOff>
      <xdr:row>76</xdr:row>
      <xdr:rowOff>57151</xdr:rowOff>
    </xdr:to>
    <xdr:graphicFrame macro="">
      <xdr:nvGraphicFramePr>
        <xdr:cNvPr id="17" name="Chart 16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20</xdr:col>
      <xdr:colOff>28575</xdr:colOff>
      <xdr:row>99</xdr:row>
      <xdr:rowOff>0</xdr:rowOff>
    </xdr:from>
    <xdr:to>
      <xdr:col>25</xdr:col>
      <xdr:colOff>19050</xdr:colOff>
      <xdr:row>108</xdr:row>
      <xdr:rowOff>74106</xdr:rowOff>
    </xdr:to>
    <xdr:graphicFrame macro="">
      <xdr:nvGraphicFramePr>
        <xdr:cNvPr id="18" name="Chart 17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15</xdr:col>
      <xdr:colOff>0</xdr:colOff>
      <xdr:row>99</xdr:row>
      <xdr:rowOff>0</xdr:rowOff>
    </xdr:from>
    <xdr:to>
      <xdr:col>19</xdr:col>
      <xdr:colOff>600075</xdr:colOff>
      <xdr:row>108</xdr:row>
      <xdr:rowOff>74106</xdr:rowOff>
    </xdr:to>
    <xdr:graphicFrame macro="">
      <xdr:nvGraphicFramePr>
        <xdr:cNvPr id="19" name="Chart 18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15</xdr:col>
      <xdr:colOff>19050</xdr:colOff>
      <xdr:row>88</xdr:row>
      <xdr:rowOff>0</xdr:rowOff>
    </xdr:from>
    <xdr:to>
      <xdr:col>20</xdr:col>
      <xdr:colOff>9525</xdr:colOff>
      <xdr:row>98</xdr:row>
      <xdr:rowOff>45531</xdr:rowOff>
    </xdr:to>
    <xdr:graphicFrame macro="">
      <xdr:nvGraphicFramePr>
        <xdr:cNvPr id="20" name="Chart 19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20</xdr:col>
      <xdr:colOff>28575</xdr:colOff>
      <xdr:row>88</xdr:row>
      <xdr:rowOff>8373</xdr:rowOff>
    </xdr:from>
    <xdr:to>
      <xdr:col>25</xdr:col>
      <xdr:colOff>19050</xdr:colOff>
      <xdr:row>98</xdr:row>
      <xdr:rowOff>55056</xdr:rowOff>
    </xdr:to>
    <xdr:graphicFrame macro="">
      <xdr:nvGraphicFramePr>
        <xdr:cNvPr id="21" name="Chart 20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25</xdr:col>
      <xdr:colOff>125604</xdr:colOff>
      <xdr:row>1</xdr:row>
      <xdr:rowOff>0</xdr:rowOff>
    </xdr:from>
    <xdr:to>
      <xdr:col>30</xdr:col>
      <xdr:colOff>118591</xdr:colOff>
      <xdr:row>11</xdr:row>
      <xdr:rowOff>38101</xdr:rowOff>
    </xdr:to>
    <xdr:graphicFrame macro="">
      <xdr:nvGraphicFramePr>
        <xdr:cNvPr id="22" name="Chart 21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25</xdr:col>
      <xdr:colOff>125604</xdr:colOff>
      <xdr:row>11</xdr:row>
      <xdr:rowOff>41867</xdr:rowOff>
    </xdr:from>
    <xdr:to>
      <xdr:col>30</xdr:col>
      <xdr:colOff>116079</xdr:colOff>
      <xdr:row>21</xdr:row>
      <xdr:rowOff>119010</xdr:rowOff>
    </xdr:to>
    <xdr:graphicFrame macro="">
      <xdr:nvGraphicFramePr>
        <xdr:cNvPr id="23" name="Chart 22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30</xdr:col>
      <xdr:colOff>127489</xdr:colOff>
      <xdr:row>0</xdr:row>
      <xdr:rowOff>180975</xdr:rowOff>
    </xdr:from>
    <xdr:to>
      <xdr:col>35</xdr:col>
      <xdr:colOff>117963</xdr:colOff>
      <xdr:row>11</xdr:row>
      <xdr:rowOff>19051</xdr:rowOff>
    </xdr:to>
    <xdr:graphicFrame macro="">
      <xdr:nvGraphicFramePr>
        <xdr:cNvPr id="24" name="Chart 23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30</xdr:col>
      <xdr:colOff>136071</xdr:colOff>
      <xdr:row>11</xdr:row>
      <xdr:rowOff>73269</xdr:rowOff>
    </xdr:from>
    <xdr:to>
      <xdr:col>35</xdr:col>
      <xdr:colOff>129058</xdr:colOff>
      <xdr:row>21</xdr:row>
      <xdr:rowOff>150412</xdr:rowOff>
    </xdr:to>
    <xdr:graphicFrame macro="">
      <xdr:nvGraphicFramePr>
        <xdr:cNvPr id="25" name="Chart 24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30</xdr:col>
      <xdr:colOff>10468</xdr:colOff>
      <xdr:row>23</xdr:row>
      <xdr:rowOff>0</xdr:rowOff>
    </xdr:from>
    <xdr:to>
      <xdr:col>35</xdr:col>
      <xdr:colOff>942</xdr:colOff>
      <xdr:row>33</xdr:row>
      <xdr:rowOff>48568</xdr:rowOff>
    </xdr:to>
    <xdr:graphicFrame macro="">
      <xdr:nvGraphicFramePr>
        <xdr:cNvPr id="26" name="Chart 25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30</xdr:col>
      <xdr:colOff>0</xdr:colOff>
      <xdr:row>33</xdr:row>
      <xdr:rowOff>83736</xdr:rowOff>
    </xdr:from>
    <xdr:to>
      <xdr:col>34</xdr:col>
      <xdr:colOff>600075</xdr:colOff>
      <xdr:row>43</xdr:row>
      <xdr:rowOff>150412</xdr:rowOff>
    </xdr:to>
    <xdr:graphicFrame macro="">
      <xdr:nvGraphicFramePr>
        <xdr:cNvPr id="27" name="Chart 26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30</xdr:col>
      <xdr:colOff>10468</xdr:colOff>
      <xdr:row>45</xdr:row>
      <xdr:rowOff>0</xdr:rowOff>
    </xdr:from>
    <xdr:to>
      <xdr:col>35</xdr:col>
      <xdr:colOff>942</xdr:colOff>
      <xdr:row>55</xdr:row>
      <xdr:rowOff>59035</xdr:rowOff>
    </xdr:to>
    <xdr:graphicFrame macro="">
      <xdr:nvGraphicFramePr>
        <xdr:cNvPr id="28" name="Chart 27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30</xdr:col>
      <xdr:colOff>0</xdr:colOff>
      <xdr:row>55</xdr:row>
      <xdr:rowOff>94203</xdr:rowOff>
    </xdr:from>
    <xdr:to>
      <xdr:col>34</xdr:col>
      <xdr:colOff>600075</xdr:colOff>
      <xdr:row>65</xdr:row>
      <xdr:rowOff>150411</xdr:rowOff>
    </xdr:to>
    <xdr:graphicFrame macro="">
      <xdr:nvGraphicFramePr>
        <xdr:cNvPr id="29" name="Chart 28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30</xdr:col>
      <xdr:colOff>31402</xdr:colOff>
      <xdr:row>65</xdr:row>
      <xdr:rowOff>83737</xdr:rowOff>
    </xdr:from>
    <xdr:to>
      <xdr:col>35</xdr:col>
      <xdr:colOff>21876</xdr:colOff>
      <xdr:row>75</xdr:row>
      <xdr:rowOff>132305</xdr:rowOff>
    </xdr:to>
    <xdr:graphicFrame macro="">
      <xdr:nvGraphicFramePr>
        <xdr:cNvPr id="30" name="Chart 29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30</xdr:col>
      <xdr:colOff>20934</xdr:colOff>
      <xdr:row>75</xdr:row>
      <xdr:rowOff>167473</xdr:rowOff>
    </xdr:from>
    <xdr:to>
      <xdr:col>35</xdr:col>
      <xdr:colOff>13921</xdr:colOff>
      <xdr:row>86</xdr:row>
      <xdr:rowOff>56210</xdr:rowOff>
    </xdr:to>
    <xdr:graphicFrame macro="">
      <xdr:nvGraphicFramePr>
        <xdr:cNvPr id="31" name="Chart 30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30</xdr:col>
      <xdr:colOff>10468</xdr:colOff>
      <xdr:row>88</xdr:row>
      <xdr:rowOff>0</xdr:rowOff>
    </xdr:from>
    <xdr:to>
      <xdr:col>35</xdr:col>
      <xdr:colOff>942</xdr:colOff>
      <xdr:row>98</xdr:row>
      <xdr:rowOff>48567</xdr:rowOff>
    </xdr:to>
    <xdr:graphicFrame macro="">
      <xdr:nvGraphicFramePr>
        <xdr:cNvPr id="32" name="Chart 31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30</xdr:col>
      <xdr:colOff>0</xdr:colOff>
      <xdr:row>98</xdr:row>
      <xdr:rowOff>83735</xdr:rowOff>
    </xdr:from>
    <xdr:to>
      <xdr:col>34</xdr:col>
      <xdr:colOff>600075</xdr:colOff>
      <xdr:row>108</xdr:row>
      <xdr:rowOff>160878</xdr:rowOff>
    </xdr:to>
    <xdr:graphicFrame macro="">
      <xdr:nvGraphicFramePr>
        <xdr:cNvPr id="33" name="Chart 32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25</xdr:col>
      <xdr:colOff>0</xdr:colOff>
      <xdr:row>23</xdr:row>
      <xdr:rowOff>0</xdr:rowOff>
    </xdr:from>
    <xdr:to>
      <xdr:col>29</xdr:col>
      <xdr:colOff>597563</xdr:colOff>
      <xdr:row>33</xdr:row>
      <xdr:rowOff>46475</xdr:rowOff>
    </xdr:to>
    <xdr:graphicFrame macro="">
      <xdr:nvGraphicFramePr>
        <xdr:cNvPr id="34" name="Chart 33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25</xdr:col>
      <xdr:colOff>0</xdr:colOff>
      <xdr:row>34</xdr:row>
      <xdr:rowOff>0</xdr:rowOff>
    </xdr:from>
    <xdr:to>
      <xdr:col>29</xdr:col>
      <xdr:colOff>597563</xdr:colOff>
      <xdr:row>44</xdr:row>
      <xdr:rowOff>55058</xdr:rowOff>
    </xdr:to>
    <xdr:graphicFrame macro="">
      <xdr:nvGraphicFramePr>
        <xdr:cNvPr id="35" name="Chart 34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25</xdr:col>
      <xdr:colOff>0</xdr:colOff>
      <xdr:row>56</xdr:row>
      <xdr:rowOff>1</xdr:rowOff>
    </xdr:from>
    <xdr:to>
      <xdr:col>29</xdr:col>
      <xdr:colOff>600075</xdr:colOff>
      <xdr:row>65</xdr:row>
      <xdr:rowOff>66676</xdr:rowOff>
    </xdr:to>
    <xdr:graphicFrame macro="">
      <xdr:nvGraphicFramePr>
        <xdr:cNvPr id="36" name="Chart 35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25</xdr:col>
      <xdr:colOff>19050</xdr:colOff>
      <xdr:row>44</xdr:row>
      <xdr:rowOff>161925</xdr:rowOff>
    </xdr:from>
    <xdr:to>
      <xdr:col>30</xdr:col>
      <xdr:colOff>9525</xdr:colOff>
      <xdr:row>55</xdr:row>
      <xdr:rowOff>28576</xdr:rowOff>
    </xdr:to>
    <xdr:graphicFrame macro="">
      <xdr:nvGraphicFramePr>
        <xdr:cNvPr id="37" name="Chart 36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25</xdr:col>
      <xdr:colOff>0</xdr:colOff>
      <xdr:row>77</xdr:row>
      <xdr:rowOff>1</xdr:rowOff>
    </xdr:from>
    <xdr:to>
      <xdr:col>29</xdr:col>
      <xdr:colOff>600075</xdr:colOff>
      <xdr:row>86</xdr:row>
      <xdr:rowOff>92076</xdr:rowOff>
    </xdr:to>
    <xdr:graphicFrame macro="">
      <xdr:nvGraphicFramePr>
        <xdr:cNvPr id="38" name="Chart 37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25</xdr:col>
      <xdr:colOff>19050</xdr:colOff>
      <xdr:row>66</xdr:row>
      <xdr:rowOff>0</xdr:rowOff>
    </xdr:from>
    <xdr:to>
      <xdr:col>30</xdr:col>
      <xdr:colOff>9525</xdr:colOff>
      <xdr:row>76</xdr:row>
      <xdr:rowOff>63501</xdr:rowOff>
    </xdr:to>
    <xdr:graphicFrame macro="">
      <xdr:nvGraphicFramePr>
        <xdr:cNvPr id="39" name="Chart 38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25</xdr:col>
      <xdr:colOff>0</xdr:colOff>
      <xdr:row>99</xdr:row>
      <xdr:rowOff>0</xdr:rowOff>
    </xdr:from>
    <xdr:to>
      <xdr:col>29</xdr:col>
      <xdr:colOff>600075</xdr:colOff>
      <xdr:row>108</xdr:row>
      <xdr:rowOff>74106</xdr:rowOff>
    </xdr:to>
    <xdr:graphicFrame macro="">
      <xdr:nvGraphicFramePr>
        <xdr:cNvPr id="40" name="Chart 39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25</xdr:col>
      <xdr:colOff>19050</xdr:colOff>
      <xdr:row>88</xdr:row>
      <xdr:rowOff>0</xdr:rowOff>
    </xdr:from>
    <xdr:to>
      <xdr:col>30</xdr:col>
      <xdr:colOff>9525</xdr:colOff>
      <xdr:row>98</xdr:row>
      <xdr:rowOff>45531</xdr:rowOff>
    </xdr:to>
    <xdr:graphicFrame macro="">
      <xdr:nvGraphicFramePr>
        <xdr:cNvPr id="41" name="Chart 40">
          <a:extLst>
            <a:ext uri="{FF2B5EF4-FFF2-40B4-BE49-F238E27FC236}">
              <a16:creationId xmlns="" xmlns:a16="http://schemas.microsoft.com/office/drawing/2014/main" id="{DEB3F284-0D29-4641-85D2-7D1E20E65F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</xdr:wsDr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0.16301</cdr:x>
      <cdr:y>0.09048</cdr:y>
    </cdr:from>
    <cdr:to>
      <cdr:x>0.46395</cdr:x>
      <cdr:y>0.54762</cdr:y>
    </cdr:to>
    <cdr:sp macro="" textlink="">
      <cdr:nvSpPr>
        <cdr:cNvPr id="2" name="TextBox 1"/>
        <cdr:cNvSpPr txBox="1"/>
      </cdr:nvSpPr>
      <cdr:spPr>
        <a:xfrm xmlns:a="http://schemas.openxmlformats.org/drawingml/2006/main">
          <a:off x="495300" y="1809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en-US" sz="1100">
              <a:solidFill>
                <a:schemeClr val="bg1"/>
              </a:solidFill>
            </a:rPr>
            <a:t>DENSITIES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0.68542</cdr:x>
      <cdr:y>0.28819</cdr:y>
    </cdr:from>
    <cdr:to>
      <cdr:x>0.88542</cdr:x>
      <cdr:y>0.62153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="" xmlns:a16="http://schemas.microsoft.com/office/drawing/2014/main" id="{F4A5953A-9F19-498B-82E3-65598A5D79A9}"/>
            </a:ext>
          </a:extLst>
        </cdr:cNvPr>
        <cdr:cNvSpPr txBox="1"/>
      </cdr:nvSpPr>
      <cdr:spPr>
        <a:xfrm xmlns:a="http://schemas.openxmlformats.org/drawingml/2006/main">
          <a:off x="3133725" y="790575"/>
          <a:ext cx="914400" cy="9144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U9"/>
  <sheetViews>
    <sheetView zoomScale="70" zoomScaleNormal="70" workbookViewId="0">
      <selection activeCell="P18" sqref="P18"/>
    </sheetView>
  </sheetViews>
  <sheetFormatPr defaultRowHeight="15" x14ac:dyDescent="0.25"/>
  <cols>
    <col min="8" max="8" width="9.7109375" customWidth="1"/>
    <col min="9" max="9" width="14.28515625" customWidth="1"/>
    <col min="10" max="10" width="12.85546875" customWidth="1"/>
    <col min="11" max="11" width="13.42578125" customWidth="1"/>
    <col min="12" max="12" width="10.42578125" customWidth="1"/>
    <col min="13" max="13" width="11.28515625" customWidth="1"/>
    <col min="14" max="14" width="12.28515625" customWidth="1"/>
    <col min="15" max="15" width="11.85546875" customWidth="1"/>
    <col min="16" max="16" width="14.140625" customWidth="1"/>
    <col min="17" max="17" width="12" customWidth="1"/>
    <col min="18" max="18" width="12.85546875" customWidth="1"/>
    <col min="19" max="19" width="11" customWidth="1"/>
    <col min="20" max="20" width="11.42578125" customWidth="1"/>
    <col min="21" max="21" width="11.5703125" customWidth="1"/>
  </cols>
  <sheetData>
    <row r="1" spans="3:21" ht="15.75" thickBot="1" x14ac:dyDescent="0.3"/>
    <row r="2" spans="3:21" ht="23.25" thickBot="1" x14ac:dyDescent="0.35">
      <c r="C2" s="219" t="s">
        <v>33</v>
      </c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0"/>
      <c r="P2" s="221"/>
    </row>
    <row r="4" spans="3:21" ht="15.75" thickBot="1" x14ac:dyDescent="0.3"/>
    <row r="5" spans="3:21" ht="94.5" x14ac:dyDescent="0.25">
      <c r="C5" s="61" t="s">
        <v>11</v>
      </c>
      <c r="D5" s="62" t="s">
        <v>13</v>
      </c>
      <c r="E5" s="222" t="s">
        <v>10</v>
      </c>
      <c r="F5" s="222"/>
      <c r="G5" s="62" t="s">
        <v>3</v>
      </c>
      <c r="H5" s="62" t="s">
        <v>4</v>
      </c>
      <c r="I5" s="62" t="s">
        <v>5</v>
      </c>
      <c r="J5" s="65" t="s">
        <v>12</v>
      </c>
      <c r="K5" s="67" t="s">
        <v>17</v>
      </c>
      <c r="L5" s="67" t="s">
        <v>28</v>
      </c>
      <c r="M5" s="67" t="s">
        <v>34</v>
      </c>
      <c r="N5" s="67" t="s">
        <v>29</v>
      </c>
      <c r="O5" s="67" t="s">
        <v>34</v>
      </c>
      <c r="P5" s="67" t="s">
        <v>30</v>
      </c>
      <c r="Q5" s="67" t="s">
        <v>34</v>
      </c>
      <c r="R5" s="67" t="s">
        <v>31</v>
      </c>
      <c r="S5" s="67" t="s">
        <v>34</v>
      </c>
      <c r="T5" s="67" t="s">
        <v>32</v>
      </c>
      <c r="U5" s="67" t="s">
        <v>34</v>
      </c>
    </row>
    <row r="6" spans="3:21" ht="15.75" x14ac:dyDescent="0.25">
      <c r="C6" s="63">
        <v>1</v>
      </c>
      <c r="D6" s="63">
        <v>70</v>
      </c>
      <c r="E6" s="218">
        <v>0.15</v>
      </c>
      <c r="F6" s="218"/>
      <c r="G6" s="64">
        <v>17.73</v>
      </c>
      <c r="H6" s="63">
        <v>41.28</v>
      </c>
      <c r="I6" s="63">
        <v>0.3</v>
      </c>
      <c r="J6" s="66">
        <f>I6/E6</f>
        <v>2</v>
      </c>
      <c r="K6" s="72">
        <v>0.55000000000000004</v>
      </c>
      <c r="L6" s="68">
        <v>0.65</v>
      </c>
      <c r="M6" s="68">
        <f>(100*(L6-K6)/L6)</f>
        <v>15.384615384615381</v>
      </c>
      <c r="N6" s="70">
        <v>0.56000000000000005</v>
      </c>
      <c r="O6" s="70">
        <f>(100*(N6-K6)/N6)</f>
        <v>1.7857142857142871</v>
      </c>
      <c r="P6" s="70">
        <v>0.61</v>
      </c>
      <c r="Q6" s="70">
        <f>(100*(P6-K6)/P6)</f>
        <v>9.8360655737704832</v>
      </c>
      <c r="R6" s="70">
        <v>1.66</v>
      </c>
      <c r="S6" s="70">
        <f>(100*(R6-K6)/R6)</f>
        <v>66.867469879518069</v>
      </c>
      <c r="T6" s="70">
        <v>0.65</v>
      </c>
      <c r="U6" s="70">
        <f>(100*(T6-K6)/T6)</f>
        <v>15.384615384615381</v>
      </c>
    </row>
    <row r="7" spans="3:21" ht="15.75" x14ac:dyDescent="0.25">
      <c r="C7" s="63">
        <v>2</v>
      </c>
      <c r="D7" s="63">
        <v>85</v>
      </c>
      <c r="E7" s="218">
        <v>0.15</v>
      </c>
      <c r="F7" s="218"/>
      <c r="G7" s="64">
        <v>18.149999999999999</v>
      </c>
      <c r="H7" s="63">
        <v>46.45</v>
      </c>
      <c r="I7" s="63">
        <v>0.3</v>
      </c>
      <c r="J7" s="66">
        <f>I7/E7</f>
        <v>2</v>
      </c>
      <c r="K7" s="72">
        <v>0.66</v>
      </c>
      <c r="L7" s="68">
        <v>0.92</v>
      </c>
      <c r="M7" s="68">
        <f>(100*(L7-K7)/L7)</f>
        <v>28.260869565217391</v>
      </c>
      <c r="N7" s="70">
        <v>0.63</v>
      </c>
      <c r="O7" s="70">
        <f>(100*(N7-K7)/N7)</f>
        <v>-4.7619047619047663</v>
      </c>
      <c r="P7" s="70">
        <v>0.63</v>
      </c>
      <c r="Q7" s="70">
        <f>(100*(P7-K7)/P7)</f>
        <v>-4.7619047619047663</v>
      </c>
      <c r="R7" s="70">
        <v>1.96</v>
      </c>
      <c r="S7" s="70">
        <f>(100*(R7-K7)/R7)</f>
        <v>66.326530612244881</v>
      </c>
      <c r="T7" s="70">
        <v>0.66</v>
      </c>
      <c r="U7" s="70">
        <f>(100*(T7-K7)/T7)</f>
        <v>0</v>
      </c>
    </row>
    <row r="8" spans="3:21" ht="15.75" x14ac:dyDescent="0.25">
      <c r="C8" s="63">
        <v>3</v>
      </c>
      <c r="D8" s="63">
        <v>70</v>
      </c>
      <c r="E8" s="218">
        <v>0.3</v>
      </c>
      <c r="F8" s="218"/>
      <c r="G8" s="64">
        <v>17.73</v>
      </c>
      <c r="H8" s="63">
        <v>41.28</v>
      </c>
      <c r="I8" s="63">
        <v>0.3</v>
      </c>
      <c r="J8" s="66">
        <f>I8/E8</f>
        <v>1</v>
      </c>
      <c r="K8" s="72">
        <v>0.99</v>
      </c>
      <c r="L8" s="68">
        <v>1.25</v>
      </c>
      <c r="M8" s="68">
        <f>(100*(L8-K8)/L8)</f>
        <v>20.8</v>
      </c>
      <c r="N8" s="70">
        <v>1.19</v>
      </c>
      <c r="O8" s="70">
        <f>(100*(N8-K8)/N8)</f>
        <v>16.806722689075627</v>
      </c>
      <c r="P8" s="70">
        <v>0.72</v>
      </c>
      <c r="Q8" s="70">
        <f>(100*(P8-K8)/P8)</f>
        <v>-37.5</v>
      </c>
      <c r="R8" s="70">
        <v>3.64</v>
      </c>
      <c r="S8" s="70">
        <f>(100*(R8-K8)/R8)</f>
        <v>72.80219780219781</v>
      </c>
      <c r="T8" s="70">
        <v>1.41</v>
      </c>
      <c r="U8" s="70">
        <f>(100*(T8-K8)/T8)</f>
        <v>29.787234042553187</v>
      </c>
    </row>
    <row r="9" spans="3:21" ht="16.5" thickBot="1" x14ac:dyDescent="0.3">
      <c r="C9" s="63">
        <v>4</v>
      </c>
      <c r="D9" s="63">
        <v>85</v>
      </c>
      <c r="E9" s="218">
        <v>0.3</v>
      </c>
      <c r="F9" s="218"/>
      <c r="G9" s="64">
        <v>18.149999999999999</v>
      </c>
      <c r="H9" s="63">
        <v>46.45</v>
      </c>
      <c r="I9" s="63">
        <v>0.3</v>
      </c>
      <c r="J9" s="66">
        <f>I9/E9</f>
        <v>1</v>
      </c>
      <c r="K9" s="73">
        <v>1.1599999999999999</v>
      </c>
      <c r="L9" s="69">
        <v>1.59</v>
      </c>
      <c r="M9" s="68">
        <f>(100*(L9-K9)/L9)</f>
        <v>27.044025157232713</v>
      </c>
      <c r="N9" s="71">
        <v>1.23</v>
      </c>
      <c r="O9" s="70">
        <f>(100*(N9-K9)/N9)</f>
        <v>5.6910569105691104</v>
      </c>
      <c r="P9" s="71">
        <v>0.73</v>
      </c>
      <c r="Q9" s="70">
        <f>(100*(P9-K9)/P9)</f>
        <v>-58.904109589041084</v>
      </c>
      <c r="R9" s="71">
        <v>4.12</v>
      </c>
      <c r="S9" s="70">
        <f>(100*(R9-K9)/R9)</f>
        <v>71.84466019417475</v>
      </c>
      <c r="T9" s="71">
        <v>1.44</v>
      </c>
      <c r="U9" s="70">
        <f>(100*(T9-K9)/T9)</f>
        <v>19.444444444444446</v>
      </c>
    </row>
  </sheetData>
  <mergeCells count="6">
    <mergeCell ref="E9:F9"/>
    <mergeCell ref="C2:P2"/>
    <mergeCell ref="E5:F5"/>
    <mergeCell ref="E6:F6"/>
    <mergeCell ref="E7:F7"/>
    <mergeCell ref="E8:F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T9"/>
  <sheetViews>
    <sheetView topLeftCell="A3" zoomScale="60" zoomScaleNormal="60" workbookViewId="0">
      <selection activeCell="F6" sqref="F6"/>
    </sheetView>
  </sheetViews>
  <sheetFormatPr defaultRowHeight="15" x14ac:dyDescent="0.25"/>
  <cols>
    <col min="3" max="3" width="11.140625" bestFit="1" customWidth="1"/>
    <col min="6" max="6" width="15.7109375" customWidth="1"/>
    <col min="7" max="7" width="9.7109375" customWidth="1"/>
    <col min="8" max="8" width="14.28515625" customWidth="1"/>
    <col min="9" max="9" width="18.140625" customWidth="1"/>
    <col min="10" max="10" width="17.42578125" customWidth="1"/>
    <col min="11" max="11" width="13.7109375" customWidth="1"/>
    <col min="12" max="12" width="15.42578125" customWidth="1"/>
    <col min="13" max="13" width="12.28515625" customWidth="1"/>
    <col min="14" max="14" width="15.5703125" customWidth="1"/>
    <col min="15" max="15" width="15.140625" customWidth="1"/>
    <col min="16" max="16" width="12" customWidth="1"/>
    <col min="17" max="17" width="14.5703125" customWidth="1"/>
    <col min="18" max="18" width="11" customWidth="1"/>
    <col min="19" max="19" width="15.7109375" customWidth="1"/>
    <col min="20" max="20" width="15.140625" customWidth="1"/>
  </cols>
  <sheetData>
    <row r="1" spans="3:20" ht="15.75" thickBot="1" x14ac:dyDescent="0.3"/>
    <row r="2" spans="3:20" ht="23.25" thickBot="1" x14ac:dyDescent="0.35">
      <c r="C2" s="219" t="s">
        <v>33</v>
      </c>
      <c r="D2" s="220"/>
      <c r="E2" s="220"/>
      <c r="F2" s="220"/>
      <c r="G2" s="220"/>
      <c r="H2" s="220"/>
      <c r="I2" s="220"/>
      <c r="J2" s="220"/>
      <c r="K2" s="220"/>
      <c r="L2" s="220"/>
      <c r="M2" s="220"/>
      <c r="N2" s="220"/>
      <c r="O2" s="221"/>
    </row>
    <row r="4" spans="3:20" ht="15.75" thickBot="1" x14ac:dyDescent="0.3"/>
    <row r="5" spans="3:20" ht="94.5" x14ac:dyDescent="0.25">
      <c r="C5" s="61" t="s">
        <v>11</v>
      </c>
      <c r="D5" s="62" t="s">
        <v>13</v>
      </c>
      <c r="E5" s="75" t="s">
        <v>10</v>
      </c>
      <c r="F5" s="62" t="s">
        <v>3</v>
      </c>
      <c r="G5" s="62" t="s">
        <v>4</v>
      </c>
      <c r="H5" s="62" t="s">
        <v>5</v>
      </c>
      <c r="I5" s="65" t="s">
        <v>12</v>
      </c>
      <c r="J5" s="67" t="s">
        <v>17</v>
      </c>
      <c r="K5" s="67" t="s">
        <v>37</v>
      </c>
      <c r="L5" s="67" t="s">
        <v>34</v>
      </c>
      <c r="M5" s="67" t="s">
        <v>38</v>
      </c>
      <c r="N5" s="67" t="s">
        <v>34</v>
      </c>
      <c r="O5" s="67" t="s">
        <v>39</v>
      </c>
      <c r="P5" s="67" t="s">
        <v>34</v>
      </c>
      <c r="Q5" s="67" t="s">
        <v>40</v>
      </c>
      <c r="R5" s="67" t="s">
        <v>34</v>
      </c>
      <c r="S5" s="67" t="s">
        <v>41</v>
      </c>
      <c r="T5" s="67" t="s">
        <v>34</v>
      </c>
    </row>
    <row r="6" spans="3:20" ht="15.75" x14ac:dyDescent="0.25">
      <c r="C6" s="63">
        <v>1</v>
      </c>
      <c r="D6" s="63">
        <v>70</v>
      </c>
      <c r="E6" s="74">
        <v>0.15</v>
      </c>
      <c r="F6" s="64">
        <v>17.73</v>
      </c>
      <c r="G6" s="63">
        <v>41.28</v>
      </c>
      <c r="H6" s="63">
        <v>0.3</v>
      </c>
      <c r="I6" s="66">
        <f>H6/E6</f>
        <v>2</v>
      </c>
      <c r="J6" s="72">
        <v>0.55000000000000004</v>
      </c>
      <c r="K6" s="68">
        <v>0.65</v>
      </c>
      <c r="L6" s="76">
        <f>ROUNDDOWN((100*(K6-J6)/K6),0)</f>
        <v>15</v>
      </c>
      <c r="M6" s="70">
        <v>0.56000000000000005</v>
      </c>
      <c r="N6" s="70">
        <f>ROUNDDOWN((100*(M6-J6)/M6),0)</f>
        <v>1</v>
      </c>
      <c r="O6" s="70">
        <v>0.61</v>
      </c>
      <c r="P6" s="70">
        <f>ROUNDDOWN((100*(O6-J6)/O6),0)</f>
        <v>9</v>
      </c>
      <c r="Q6" s="70">
        <v>1.66</v>
      </c>
      <c r="R6" s="70">
        <f>ROUNDDOWN((100*(Q6-J6)/Q6),0)</f>
        <v>66</v>
      </c>
      <c r="S6" s="70">
        <v>0.65</v>
      </c>
      <c r="T6" s="70">
        <f>ROUNDDOWN((100*(S6-J6)/S6),0)</f>
        <v>15</v>
      </c>
    </row>
    <row r="7" spans="3:20" ht="15.75" x14ac:dyDescent="0.25">
      <c r="C7" s="63">
        <v>3</v>
      </c>
      <c r="D7" s="63">
        <v>70</v>
      </c>
      <c r="E7" s="74">
        <v>0.3</v>
      </c>
      <c r="F7" s="64">
        <v>17.73</v>
      </c>
      <c r="G7" s="63">
        <v>41.28</v>
      </c>
      <c r="H7" s="63">
        <v>0.3</v>
      </c>
      <c r="I7" s="66">
        <f>H7/E7</f>
        <v>1</v>
      </c>
      <c r="J7" s="72">
        <v>0.99</v>
      </c>
      <c r="K7" s="68">
        <v>1.25</v>
      </c>
      <c r="L7" s="76">
        <f>ROUNDDOWN((100*(K7-J7)/K7),0)</f>
        <v>20</v>
      </c>
      <c r="M7" s="70">
        <v>1.19</v>
      </c>
      <c r="N7" s="70">
        <f>ROUNDDOWN((100*(M7-J7)/M7),0)</f>
        <v>16</v>
      </c>
      <c r="O7" s="70">
        <v>0.72</v>
      </c>
      <c r="P7" s="70">
        <f>ROUNDDOWN((100*(O7-J7)/O7),0)</f>
        <v>-37</v>
      </c>
      <c r="Q7" s="70">
        <v>3.64</v>
      </c>
      <c r="R7" s="70">
        <f>ROUNDDOWN((100*(Q7-J7)/Q7),0)</f>
        <v>72</v>
      </c>
      <c r="S7" s="70">
        <v>1.41</v>
      </c>
      <c r="T7" s="70">
        <f>ROUNDDOWN((100*(S7-J7)/S7),0)</f>
        <v>29</v>
      </c>
    </row>
    <row r="8" spans="3:20" ht="15.75" x14ac:dyDescent="0.25">
      <c r="C8" s="63">
        <v>2</v>
      </c>
      <c r="D8" s="63">
        <v>85</v>
      </c>
      <c r="E8" s="74">
        <v>0.15</v>
      </c>
      <c r="F8" s="64">
        <v>18.149999999999999</v>
      </c>
      <c r="G8" s="63">
        <v>46.45</v>
      </c>
      <c r="H8" s="63">
        <v>0.3</v>
      </c>
      <c r="I8" s="66">
        <f>H8/E8</f>
        <v>2</v>
      </c>
      <c r="J8" s="72">
        <v>0.66</v>
      </c>
      <c r="K8" s="68">
        <v>0.92</v>
      </c>
      <c r="L8" s="76">
        <f>ROUNDDOWN((100*(K8-J8)/K8),0)</f>
        <v>28</v>
      </c>
      <c r="M8" s="70">
        <v>0.63</v>
      </c>
      <c r="N8" s="70">
        <f>ROUNDDOWN((100*(M8-J8)/M8),0)</f>
        <v>-4</v>
      </c>
      <c r="O8" s="70">
        <v>0.63</v>
      </c>
      <c r="P8" s="70">
        <f>ROUNDDOWN((100*(O8-J8)/O8),0)</f>
        <v>-4</v>
      </c>
      <c r="Q8" s="70">
        <v>1.96</v>
      </c>
      <c r="R8" s="70">
        <f>ROUNDDOWN((100*(Q8-J8)/Q8),0)</f>
        <v>66</v>
      </c>
      <c r="S8" s="70">
        <v>0.66</v>
      </c>
      <c r="T8" s="70">
        <f>ROUNDDOWN((100*(S8-J8)/S8),0)</f>
        <v>0</v>
      </c>
    </row>
    <row r="9" spans="3:20" ht="16.5" thickBot="1" x14ac:dyDescent="0.3">
      <c r="C9" s="63">
        <v>4</v>
      </c>
      <c r="D9" s="63">
        <v>85</v>
      </c>
      <c r="E9" s="74">
        <v>0.3</v>
      </c>
      <c r="F9" s="64">
        <v>18.149999999999999</v>
      </c>
      <c r="G9" s="63">
        <v>46.45</v>
      </c>
      <c r="H9" s="63">
        <v>0.3</v>
      </c>
      <c r="I9" s="66">
        <f>H9/E9</f>
        <v>1</v>
      </c>
      <c r="J9" s="73">
        <v>1.1599999999999999</v>
      </c>
      <c r="K9" s="69">
        <v>1.59</v>
      </c>
      <c r="L9" s="76">
        <f>ROUNDDOWN((100*(K9-J9)/K9),0)</f>
        <v>27</v>
      </c>
      <c r="M9" s="71">
        <v>1.23</v>
      </c>
      <c r="N9" s="70">
        <f>ROUNDDOWN((100*(M9-J9)/M9),0)</f>
        <v>5</v>
      </c>
      <c r="O9" s="71">
        <v>0.73</v>
      </c>
      <c r="P9" s="70">
        <f>ROUNDDOWN((100*(O9-J9)/O9),0)</f>
        <v>-58</v>
      </c>
      <c r="Q9" s="71">
        <v>4.12</v>
      </c>
      <c r="R9" s="70">
        <f>ROUNDDOWN((100*(Q9-J9)/Q9),0)</f>
        <v>71</v>
      </c>
      <c r="S9" s="71">
        <v>1.44</v>
      </c>
      <c r="T9" s="70">
        <f>ROUNDDOWN((100*(S9-J9)/S9),0)</f>
        <v>19</v>
      </c>
    </row>
  </sheetData>
  <mergeCells count="1">
    <mergeCell ref="C2:O2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</sheetPr>
  <dimension ref="B2:V65"/>
  <sheetViews>
    <sheetView topLeftCell="B17" zoomScale="80" zoomScaleNormal="80" workbookViewId="0">
      <selection activeCell="J36" sqref="J36:K38"/>
    </sheetView>
  </sheetViews>
  <sheetFormatPr defaultRowHeight="15" x14ac:dyDescent="0.25"/>
  <cols>
    <col min="1" max="1" width="9.140625" customWidth="1"/>
    <col min="2" max="2" width="10.5703125" customWidth="1"/>
    <col min="3" max="3" width="13.140625" customWidth="1"/>
    <col min="4" max="4" width="8" customWidth="1"/>
    <col min="6" max="6" width="9.85546875" customWidth="1"/>
    <col min="7" max="7" width="13.7109375" customWidth="1"/>
    <col min="8" max="8" width="12.85546875" customWidth="1"/>
    <col min="9" max="9" width="14.28515625" customWidth="1"/>
    <col min="10" max="10" width="3.7109375" customWidth="1"/>
    <col min="11" max="11" width="11.28515625" customWidth="1"/>
    <col min="12" max="12" width="13.42578125" customWidth="1"/>
    <col min="13" max="13" width="13.7109375" customWidth="1"/>
    <col min="14" max="14" width="3.140625" customWidth="1"/>
    <col min="15" max="15" width="19.42578125" customWidth="1"/>
    <col min="17" max="17" width="11.7109375" customWidth="1"/>
    <col min="18" max="18" width="14.85546875" customWidth="1"/>
    <col min="19" max="19" width="6.28515625" customWidth="1"/>
    <col min="20" max="20" width="7.5703125" customWidth="1"/>
    <col min="21" max="21" width="14.140625" customWidth="1"/>
    <col min="22" max="22" width="12.85546875" customWidth="1"/>
    <col min="25" max="25" width="14.85546875" customWidth="1"/>
  </cols>
  <sheetData>
    <row r="2" spans="2:22" ht="15.75" thickBot="1" x14ac:dyDescent="0.3"/>
    <row r="3" spans="2:22" ht="26.25" thickBot="1" x14ac:dyDescent="0.4">
      <c r="F3" s="321" t="s">
        <v>19</v>
      </c>
      <c r="G3" s="322"/>
      <c r="H3" s="322"/>
      <c r="I3" s="322"/>
      <c r="J3" s="323"/>
    </row>
    <row r="5" spans="2:22" ht="15.75" thickBot="1" x14ac:dyDescent="0.3"/>
    <row r="6" spans="2:22" ht="16.5" thickBot="1" x14ac:dyDescent="0.3">
      <c r="B6" s="14" t="s">
        <v>0</v>
      </c>
      <c r="C6" s="8">
        <v>70</v>
      </c>
      <c r="D6" s="17" t="s">
        <v>8</v>
      </c>
      <c r="E6" s="18">
        <v>0.38840000000000002</v>
      </c>
      <c r="K6" s="14" t="s">
        <v>0</v>
      </c>
      <c r="L6" s="44">
        <v>85</v>
      </c>
      <c r="M6" s="46" t="s">
        <v>8</v>
      </c>
      <c r="N6" s="47">
        <v>0.54830000000000001</v>
      </c>
    </row>
    <row r="7" spans="2:22" ht="16.5" thickBot="1" x14ac:dyDescent="0.3">
      <c r="B7" s="15" t="s">
        <v>1</v>
      </c>
      <c r="C7" s="9">
        <v>41.28</v>
      </c>
      <c r="D7" s="19" t="s">
        <v>9</v>
      </c>
      <c r="E7" s="20">
        <v>0.95499999999999996</v>
      </c>
      <c r="K7" s="15" t="s">
        <v>1</v>
      </c>
      <c r="L7" s="45">
        <v>46.45</v>
      </c>
      <c r="M7" s="48" t="s">
        <v>9</v>
      </c>
      <c r="N7" s="49">
        <v>0.96499999999999997</v>
      </c>
    </row>
    <row r="8" spans="2:22" ht="16.5" thickBot="1" x14ac:dyDescent="0.3">
      <c r="B8" s="16" t="s">
        <v>36</v>
      </c>
      <c r="C8" s="10">
        <v>17.73</v>
      </c>
      <c r="K8" s="16" t="s">
        <v>36</v>
      </c>
      <c r="L8" s="13">
        <v>18.149999999999999</v>
      </c>
    </row>
    <row r="10" spans="2:22" x14ac:dyDescent="0.25">
      <c r="M10" s="3"/>
    </row>
    <row r="13" spans="2:22" ht="15.75" thickBot="1" x14ac:dyDescent="0.3"/>
    <row r="14" spans="2:22" x14ac:dyDescent="0.25">
      <c r="B14" s="250" t="s">
        <v>11</v>
      </c>
      <c r="C14" s="265" t="s">
        <v>10</v>
      </c>
      <c r="D14" s="266"/>
      <c r="E14" s="253" t="s">
        <v>50</v>
      </c>
      <c r="F14" s="254"/>
      <c r="G14" s="259" t="s">
        <v>3</v>
      </c>
      <c r="H14" s="260"/>
      <c r="I14" s="265" t="s">
        <v>68</v>
      </c>
      <c r="J14" s="266"/>
      <c r="K14" s="271" t="s">
        <v>69</v>
      </c>
      <c r="L14" s="272"/>
      <c r="M14" s="309" t="s">
        <v>12</v>
      </c>
      <c r="N14" s="310"/>
      <c r="O14" s="315" t="s">
        <v>6</v>
      </c>
      <c r="P14" s="318" t="s">
        <v>14</v>
      </c>
      <c r="Q14" s="318"/>
      <c r="R14" s="253" t="s">
        <v>47</v>
      </c>
      <c r="S14" s="254"/>
      <c r="T14" s="253" t="s">
        <v>48</v>
      </c>
      <c r="U14" s="254"/>
      <c r="V14" s="306" t="s">
        <v>67</v>
      </c>
    </row>
    <row r="15" spans="2:22" x14ac:dyDescent="0.25">
      <c r="B15" s="251"/>
      <c r="C15" s="267"/>
      <c r="D15" s="268"/>
      <c r="E15" s="255"/>
      <c r="F15" s="256"/>
      <c r="G15" s="261"/>
      <c r="H15" s="262"/>
      <c r="I15" s="267"/>
      <c r="J15" s="268"/>
      <c r="K15" s="273"/>
      <c r="L15" s="274"/>
      <c r="M15" s="311"/>
      <c r="N15" s="312"/>
      <c r="O15" s="316"/>
      <c r="P15" s="319"/>
      <c r="Q15" s="319"/>
      <c r="R15" s="255"/>
      <c r="S15" s="256"/>
      <c r="T15" s="255"/>
      <c r="U15" s="256"/>
      <c r="V15" s="307"/>
    </row>
    <row r="16" spans="2:22" ht="15.75" thickBot="1" x14ac:dyDescent="0.3">
      <c r="B16" s="252"/>
      <c r="C16" s="269"/>
      <c r="D16" s="270"/>
      <c r="E16" s="257"/>
      <c r="F16" s="258"/>
      <c r="G16" s="263"/>
      <c r="H16" s="264"/>
      <c r="I16" s="269"/>
      <c r="J16" s="270"/>
      <c r="K16" s="275"/>
      <c r="L16" s="276"/>
      <c r="M16" s="313"/>
      <c r="N16" s="314"/>
      <c r="O16" s="317"/>
      <c r="P16" s="320"/>
      <c r="Q16" s="320"/>
      <c r="R16" s="257"/>
      <c r="S16" s="258"/>
      <c r="T16" s="257"/>
      <c r="U16" s="258"/>
      <c r="V16" s="308"/>
    </row>
    <row r="17" spans="2:22" ht="15" customHeight="1" x14ac:dyDescent="0.25">
      <c r="B17" s="127">
        <v>1</v>
      </c>
      <c r="C17" s="298">
        <v>0.15</v>
      </c>
      <c r="D17" s="299"/>
      <c r="E17" s="298">
        <v>70</v>
      </c>
      <c r="F17" s="299"/>
      <c r="G17" s="279">
        <v>17.73</v>
      </c>
      <c r="H17" s="279"/>
      <c r="I17" s="302">
        <v>41.28</v>
      </c>
      <c r="J17" s="303"/>
      <c r="K17" s="300">
        <v>0.3</v>
      </c>
      <c r="L17" s="301"/>
      <c r="M17" s="302">
        <f t="shared" ref="M17:M28" si="0">(K17/C17)</f>
        <v>2</v>
      </c>
      <c r="N17" s="303"/>
      <c r="O17" s="128" t="s">
        <v>7</v>
      </c>
      <c r="P17" s="324">
        <f>1+2*(1+E6*(K17/C17))*(K17/C17)*E7*TAN(RADIANS(C7))</f>
        <v>6.9586589795063931</v>
      </c>
      <c r="Q17" s="324"/>
      <c r="R17" s="304">
        <f>P17*G17*C17^2*K17*PI()/4</f>
        <v>0.65407559281635408</v>
      </c>
      <c r="S17" s="305"/>
      <c r="T17" s="304">
        <f>55.5/100</f>
        <v>0.55500000000000005</v>
      </c>
      <c r="U17" s="305"/>
      <c r="V17" s="129">
        <f>(R17-T17)/R17*100</f>
        <v>15.147422393449814</v>
      </c>
    </row>
    <row r="18" spans="2:22" ht="16.5" customHeight="1" x14ac:dyDescent="0.25">
      <c r="B18" s="130">
        <v>2</v>
      </c>
      <c r="C18" s="294">
        <v>0.15</v>
      </c>
      <c r="D18" s="295"/>
      <c r="E18" s="294">
        <v>85</v>
      </c>
      <c r="F18" s="295"/>
      <c r="G18" s="280">
        <v>18.149999999999999</v>
      </c>
      <c r="H18" s="280"/>
      <c r="I18" s="288">
        <v>46.45</v>
      </c>
      <c r="J18" s="289"/>
      <c r="K18" s="296">
        <v>0.3</v>
      </c>
      <c r="L18" s="297"/>
      <c r="M18" s="288">
        <f t="shared" si="0"/>
        <v>2</v>
      </c>
      <c r="N18" s="289"/>
      <c r="O18" s="131" t="s">
        <v>7</v>
      </c>
      <c r="P18" s="290">
        <f>1+2*(1+N6*(K18/C18))*(K18/C18)*N7*TAN(RADIANS(L7))</f>
        <v>9.5132207855547311</v>
      </c>
      <c r="Q18" s="290"/>
      <c r="R18" s="292">
        <f t="shared" ref="R18:R27" si="1">P18*G18*C18^2*K18*PI()/4</f>
        <v>0.91537249711537849</v>
      </c>
      <c r="S18" s="293"/>
      <c r="T18" s="292">
        <f>66.6/100</f>
        <v>0.66599999999999993</v>
      </c>
      <c r="U18" s="293"/>
      <c r="V18" s="132">
        <f>(R18-T18)/R18*100</f>
        <v>27.242734285903097</v>
      </c>
    </row>
    <row r="19" spans="2:22" ht="15" customHeight="1" x14ac:dyDescent="0.25">
      <c r="B19" s="130">
        <v>3</v>
      </c>
      <c r="C19" s="294">
        <v>0.15</v>
      </c>
      <c r="D19" s="295"/>
      <c r="E19" s="294">
        <v>70</v>
      </c>
      <c r="F19" s="295"/>
      <c r="G19" s="280">
        <v>17.73</v>
      </c>
      <c r="H19" s="280"/>
      <c r="I19" s="288">
        <v>41.28</v>
      </c>
      <c r="J19" s="289"/>
      <c r="K19" s="296">
        <v>0.45</v>
      </c>
      <c r="L19" s="297"/>
      <c r="M19" s="288">
        <f t="shared" si="0"/>
        <v>3</v>
      </c>
      <c r="N19" s="289"/>
      <c r="O19" s="131" t="s">
        <v>7</v>
      </c>
      <c r="P19" s="290">
        <f>1+2*(1+E6*(K19/C19))*(K19/C19)*E7*TAN(RADIANS(C7))</f>
        <v>11.89179009097302</v>
      </c>
      <c r="Q19" s="290"/>
      <c r="R19" s="292">
        <f t="shared" si="1"/>
        <v>1.6766440939930698</v>
      </c>
      <c r="S19" s="293"/>
      <c r="T19" s="292">
        <f>105.45/100</f>
        <v>1.0545</v>
      </c>
      <c r="U19" s="293"/>
      <c r="V19" s="132">
        <f t="shared" ref="V19:V28" si="2">(R19-T19)/R19*100</f>
        <v>37.106509140612005</v>
      </c>
    </row>
    <row r="20" spans="2:22" ht="15.75" x14ac:dyDescent="0.25">
      <c r="B20" s="130">
        <v>4</v>
      </c>
      <c r="C20" s="294">
        <v>0.15</v>
      </c>
      <c r="D20" s="295"/>
      <c r="E20" s="294">
        <v>85</v>
      </c>
      <c r="F20" s="295"/>
      <c r="G20" s="280">
        <v>18.149999999999999</v>
      </c>
      <c r="H20" s="280"/>
      <c r="I20" s="288">
        <v>46.45</v>
      </c>
      <c r="J20" s="289"/>
      <c r="K20" s="296">
        <v>0.45</v>
      </c>
      <c r="L20" s="297"/>
      <c r="M20" s="288">
        <f t="shared" si="0"/>
        <v>3</v>
      </c>
      <c r="N20" s="289"/>
      <c r="O20" s="131" t="s">
        <v>7</v>
      </c>
      <c r="P20" s="290">
        <f>1+2*(1+N6*(K20/C20))*(K20/C20)*N7*TAN(RADIANS(L7))</f>
        <v>17.109380179133147</v>
      </c>
      <c r="Q20" s="290"/>
      <c r="R20" s="292">
        <f t="shared" si="1"/>
        <v>2.4694248790773066</v>
      </c>
      <c r="S20" s="293"/>
      <c r="T20" s="292">
        <f>133.2/100</f>
        <v>1.3319999999999999</v>
      </c>
      <c r="U20" s="293"/>
      <c r="V20" s="132">
        <f t="shared" si="2"/>
        <v>46.060315043975024</v>
      </c>
    </row>
    <row r="21" spans="2:22" ht="15.75" x14ac:dyDescent="0.25">
      <c r="B21" s="130">
        <v>5</v>
      </c>
      <c r="C21" s="294">
        <v>0.15</v>
      </c>
      <c r="D21" s="295"/>
      <c r="E21" s="294">
        <v>70</v>
      </c>
      <c r="F21" s="295"/>
      <c r="G21" s="280">
        <v>17.73</v>
      </c>
      <c r="H21" s="280"/>
      <c r="I21" s="288">
        <v>41.28</v>
      </c>
      <c r="J21" s="289"/>
      <c r="K21" s="296">
        <v>0.6</v>
      </c>
      <c r="L21" s="297"/>
      <c r="M21" s="288">
        <f t="shared" si="0"/>
        <v>4</v>
      </c>
      <c r="N21" s="289"/>
      <c r="O21" s="131" t="s">
        <v>7</v>
      </c>
      <c r="P21" s="290">
        <f>1+2*(1+E6*(K21/C21))*(K21/C21)*E7*TAN(RADIANS(C7))</f>
        <v>18.127455616915274</v>
      </c>
      <c r="Q21" s="290"/>
      <c r="R21" s="292">
        <f t="shared" si="1"/>
        <v>3.4077618442877204</v>
      </c>
      <c r="S21" s="293"/>
      <c r="T21" s="292">
        <f>294.15/100</f>
        <v>2.9414999999999996</v>
      </c>
      <c r="U21" s="293"/>
      <c r="V21" s="132">
        <f t="shared" si="2"/>
        <v>13.682348285849107</v>
      </c>
    </row>
    <row r="22" spans="2:22" ht="15.75" x14ac:dyDescent="0.25">
      <c r="B22" s="130">
        <v>6</v>
      </c>
      <c r="C22" s="294">
        <v>0.15</v>
      </c>
      <c r="D22" s="295"/>
      <c r="E22" s="294">
        <v>85</v>
      </c>
      <c r="F22" s="295"/>
      <c r="G22" s="280">
        <v>18.149999999999999</v>
      </c>
      <c r="H22" s="280"/>
      <c r="I22" s="288">
        <v>46.45</v>
      </c>
      <c r="J22" s="289"/>
      <c r="K22" s="296">
        <v>0.6</v>
      </c>
      <c r="L22" s="297"/>
      <c r="M22" s="288">
        <f t="shared" si="0"/>
        <v>4</v>
      </c>
      <c r="N22" s="289"/>
      <c r="O22" s="131" t="s">
        <v>7</v>
      </c>
      <c r="P22" s="290">
        <f>1+2*(1+N6*(K22/C22))*(K22/C22)*N7*TAN(RADIANS(L7))</f>
        <v>26.931905573245601</v>
      </c>
      <c r="Q22" s="290"/>
      <c r="R22" s="292">
        <f t="shared" si="1"/>
        <v>5.1828347543643956</v>
      </c>
      <c r="S22" s="293"/>
      <c r="T22" s="292">
        <f>327.45/100</f>
        <v>3.2744999999999997</v>
      </c>
      <c r="U22" s="293"/>
      <c r="V22" s="132">
        <f t="shared" si="2"/>
        <v>36.820289374601664</v>
      </c>
    </row>
    <row r="23" spans="2:22" ht="15.75" x14ac:dyDescent="0.25">
      <c r="B23" s="130">
        <v>7</v>
      </c>
      <c r="C23" s="294">
        <v>0.3</v>
      </c>
      <c r="D23" s="295"/>
      <c r="E23" s="294">
        <v>70</v>
      </c>
      <c r="F23" s="295"/>
      <c r="G23" s="280">
        <v>17.73</v>
      </c>
      <c r="H23" s="280"/>
      <c r="I23" s="288">
        <v>41.28</v>
      </c>
      <c r="J23" s="289"/>
      <c r="K23" s="296">
        <v>0.3</v>
      </c>
      <c r="L23" s="297"/>
      <c r="M23" s="288">
        <f t="shared" si="0"/>
        <v>1</v>
      </c>
      <c r="N23" s="289"/>
      <c r="O23" s="131" t="s">
        <v>7</v>
      </c>
      <c r="P23" s="290">
        <f>1+2*(1+E6*(K23/C23))*(K23/C23)*E7*TAN(RADIANS(C7))</f>
        <v>3.3280622825153863</v>
      </c>
      <c r="Q23" s="290"/>
      <c r="R23" s="292">
        <f t="shared" si="1"/>
        <v>1.2512780504271297</v>
      </c>
      <c r="S23" s="293"/>
      <c r="T23" s="292">
        <f>99.9/100</f>
        <v>0.99900000000000011</v>
      </c>
      <c r="U23" s="293"/>
      <c r="V23" s="132">
        <f t="shared" si="2"/>
        <v>20.161629970334193</v>
      </c>
    </row>
    <row r="24" spans="2:22" ht="15.75" x14ac:dyDescent="0.25">
      <c r="B24" s="130">
        <v>8</v>
      </c>
      <c r="C24" s="294">
        <v>0.3</v>
      </c>
      <c r="D24" s="295"/>
      <c r="E24" s="294">
        <v>85</v>
      </c>
      <c r="F24" s="295"/>
      <c r="G24" s="280">
        <v>18.149999999999999</v>
      </c>
      <c r="H24" s="280"/>
      <c r="I24" s="288">
        <v>46.45</v>
      </c>
      <c r="J24" s="289"/>
      <c r="K24" s="296">
        <v>0.3</v>
      </c>
      <c r="L24" s="297"/>
      <c r="M24" s="288">
        <f t="shared" si="0"/>
        <v>1</v>
      </c>
      <c r="N24" s="289"/>
      <c r="O24" s="131" t="s">
        <v>7</v>
      </c>
      <c r="P24" s="290">
        <f>1+2*(1+N6*(K24/C24))*(K24/C24)*N7*TAN(RADIANS(L7))</f>
        <v>4.1434273925103469</v>
      </c>
      <c r="Q24" s="290"/>
      <c r="R24" s="292">
        <f t="shared" si="1"/>
        <v>1.5947404414948811</v>
      </c>
      <c r="S24" s="293"/>
      <c r="T24" s="292">
        <f>116.55/100</f>
        <v>1.1655</v>
      </c>
      <c r="U24" s="293"/>
      <c r="V24" s="132">
        <f t="shared" si="2"/>
        <v>26.916006537873894</v>
      </c>
    </row>
    <row r="25" spans="2:22" ht="15.75" x14ac:dyDescent="0.25">
      <c r="B25" s="130">
        <v>9</v>
      </c>
      <c r="C25" s="294">
        <v>0.3</v>
      </c>
      <c r="D25" s="295"/>
      <c r="E25" s="294">
        <v>70</v>
      </c>
      <c r="F25" s="295"/>
      <c r="G25" s="280">
        <v>17.73</v>
      </c>
      <c r="H25" s="280"/>
      <c r="I25" s="288">
        <v>41.28</v>
      </c>
      <c r="J25" s="289"/>
      <c r="K25" s="296">
        <v>0.45</v>
      </c>
      <c r="L25" s="297"/>
      <c r="M25" s="288">
        <f t="shared" si="0"/>
        <v>1.5</v>
      </c>
      <c r="N25" s="289"/>
      <c r="O25" s="131" t="s">
        <v>7</v>
      </c>
      <c r="P25" s="290">
        <f>1+2*(1+E6*(K25/C25))*(K25/C25)*E7*TAN(RADIANS(C7))</f>
        <v>4.9805438292014363</v>
      </c>
      <c r="Q25" s="290"/>
      <c r="R25" s="292">
        <f t="shared" si="1"/>
        <v>2.8088620240423188</v>
      </c>
      <c r="S25" s="293"/>
      <c r="T25" s="292">
        <f>194.25/100</f>
        <v>1.9424999999999999</v>
      </c>
      <c r="U25" s="293"/>
      <c r="V25" s="132">
        <f t="shared" si="2"/>
        <v>30.84387971451552</v>
      </c>
    </row>
    <row r="26" spans="2:22" ht="15.75" x14ac:dyDescent="0.25">
      <c r="B26" s="130">
        <v>10</v>
      </c>
      <c r="C26" s="294">
        <v>0.3</v>
      </c>
      <c r="D26" s="295"/>
      <c r="E26" s="294">
        <v>85</v>
      </c>
      <c r="F26" s="295"/>
      <c r="G26" s="280">
        <v>18.149999999999999</v>
      </c>
      <c r="H26" s="280"/>
      <c r="I26" s="288">
        <v>46.45</v>
      </c>
      <c r="J26" s="289"/>
      <c r="K26" s="296">
        <v>0.45</v>
      </c>
      <c r="L26" s="297"/>
      <c r="M26" s="288">
        <f t="shared" si="0"/>
        <v>1.5</v>
      </c>
      <c r="N26" s="289"/>
      <c r="O26" s="131" t="s">
        <v>7</v>
      </c>
      <c r="P26" s="290">
        <f>1+2*(1+N6*(K26/C26))*(K26/C26)*N7*TAN(RADIANS(L7))</f>
        <v>6.5500283389657836</v>
      </c>
      <c r="Q26" s="290"/>
      <c r="R26" s="292">
        <f t="shared" si="1"/>
        <v>3.7815052958214217</v>
      </c>
      <c r="S26" s="293"/>
      <c r="T26" s="292">
        <f>216.45/100</f>
        <v>2.1644999999999999</v>
      </c>
      <c r="U26" s="293"/>
      <c r="V26" s="132">
        <f t="shared" si="2"/>
        <v>42.760889363508738</v>
      </c>
    </row>
    <row r="27" spans="2:22" ht="15.75" x14ac:dyDescent="0.25">
      <c r="B27" s="130">
        <v>11</v>
      </c>
      <c r="C27" s="294">
        <v>0.3</v>
      </c>
      <c r="D27" s="295"/>
      <c r="E27" s="294">
        <v>70</v>
      </c>
      <c r="F27" s="295"/>
      <c r="G27" s="280">
        <v>17.73</v>
      </c>
      <c r="H27" s="280"/>
      <c r="I27" s="288">
        <v>41.28</v>
      </c>
      <c r="J27" s="289"/>
      <c r="K27" s="296">
        <v>0.6</v>
      </c>
      <c r="L27" s="297"/>
      <c r="M27" s="288">
        <f t="shared" si="0"/>
        <v>2</v>
      </c>
      <c r="N27" s="289"/>
      <c r="O27" s="131" t="s">
        <v>7</v>
      </c>
      <c r="P27" s="290">
        <f>1+2*(1+E6*(K27/C27))*(K27/C27)*E7*TAN(RADIANS(C7))</f>
        <v>6.9586589795063931</v>
      </c>
      <c r="Q27" s="290"/>
      <c r="R27" s="292">
        <f t="shared" si="1"/>
        <v>5.2326047425308326</v>
      </c>
      <c r="S27" s="293"/>
      <c r="T27" s="292">
        <f>410.7/100</f>
        <v>4.1070000000000002</v>
      </c>
      <c r="U27" s="293"/>
      <c r="V27" s="132">
        <f t="shared" si="2"/>
        <v>21.511365713941082</v>
      </c>
    </row>
    <row r="28" spans="2:22" ht="16.5" thickBot="1" x14ac:dyDescent="0.3">
      <c r="B28" s="133">
        <v>12</v>
      </c>
      <c r="C28" s="281">
        <v>0.3</v>
      </c>
      <c r="D28" s="282"/>
      <c r="E28" s="281">
        <v>85</v>
      </c>
      <c r="F28" s="282"/>
      <c r="G28" s="287">
        <v>18.149999999999999</v>
      </c>
      <c r="H28" s="287"/>
      <c r="I28" s="285">
        <v>46.45</v>
      </c>
      <c r="J28" s="286"/>
      <c r="K28" s="283">
        <v>0.6</v>
      </c>
      <c r="L28" s="284"/>
      <c r="M28" s="285">
        <f t="shared" si="0"/>
        <v>2</v>
      </c>
      <c r="N28" s="286"/>
      <c r="O28" s="134" t="s">
        <v>7</v>
      </c>
      <c r="P28" s="291">
        <f>1+2*(1+N6*(K28/C28))*(K28/C28)*N7*TAN(RADIANS(L7))</f>
        <v>9.5132207855547311</v>
      </c>
      <c r="Q28" s="291"/>
      <c r="R28" s="277">
        <f>P28*G28*C28^2*K28*PI()/4</f>
        <v>7.3229799769230279</v>
      </c>
      <c r="S28" s="278"/>
      <c r="T28" s="277">
        <f>466.2/100</f>
        <v>4.6619999999999999</v>
      </c>
      <c r="U28" s="278"/>
      <c r="V28" s="135">
        <f t="shared" si="2"/>
        <v>36.337392500165208</v>
      </c>
    </row>
    <row r="29" spans="2:22" ht="15.75" thickBot="1" x14ac:dyDescent="0.3"/>
    <row r="30" spans="2:22" x14ac:dyDescent="0.25">
      <c r="B30" s="237" t="s">
        <v>42</v>
      </c>
      <c r="C30" s="233" t="s">
        <v>43</v>
      </c>
      <c r="D30" s="235" t="s">
        <v>52</v>
      </c>
      <c r="E30" s="235"/>
      <c r="F30" s="233" t="s">
        <v>44</v>
      </c>
      <c r="G30" s="235" t="s">
        <v>51</v>
      </c>
      <c r="H30" s="233" t="s">
        <v>45</v>
      </c>
      <c r="I30" s="233" t="s">
        <v>46</v>
      </c>
      <c r="J30" s="227" t="s">
        <v>67</v>
      </c>
      <c r="K30" s="228"/>
    </row>
    <row r="31" spans="2:22" x14ac:dyDescent="0.25">
      <c r="B31" s="238"/>
      <c r="C31" s="234"/>
      <c r="D31" s="236"/>
      <c r="E31" s="236"/>
      <c r="F31" s="234"/>
      <c r="G31" s="236"/>
      <c r="H31" s="234"/>
      <c r="I31" s="234"/>
      <c r="J31" s="229"/>
      <c r="K31" s="230"/>
    </row>
    <row r="32" spans="2:22" ht="15.75" thickBot="1" x14ac:dyDescent="0.3">
      <c r="B32" s="238"/>
      <c r="C32" s="234"/>
      <c r="D32" s="236"/>
      <c r="E32" s="236"/>
      <c r="F32" s="234"/>
      <c r="G32" s="236"/>
      <c r="H32" s="234"/>
      <c r="I32" s="234"/>
      <c r="J32" s="229"/>
      <c r="K32" s="230"/>
    </row>
    <row r="33" spans="2:11" ht="15.75" customHeight="1" x14ac:dyDescent="0.25">
      <c r="B33" s="78">
        <v>1</v>
      </c>
      <c r="C33" s="243">
        <v>70</v>
      </c>
      <c r="D33" s="246">
        <v>0.15</v>
      </c>
      <c r="E33" s="247"/>
      <c r="F33" s="197">
        <v>0.3</v>
      </c>
      <c r="G33" s="79">
        <f t="shared" ref="G33:G44" si="3">F33/D33</f>
        <v>2</v>
      </c>
      <c r="H33" s="80">
        <v>0.65</v>
      </c>
      <c r="I33" s="204">
        <v>0.56000000000000005</v>
      </c>
      <c r="J33" s="231">
        <f>(H33-I33)/H33*100</f>
        <v>13.846153846153841</v>
      </c>
      <c r="K33" s="232"/>
    </row>
    <row r="34" spans="2:11" ht="15" customHeight="1" x14ac:dyDescent="0.25">
      <c r="B34" s="82">
        <v>2</v>
      </c>
      <c r="C34" s="244"/>
      <c r="D34" s="248">
        <v>0.15</v>
      </c>
      <c r="E34" s="249"/>
      <c r="F34" s="198">
        <v>0.45</v>
      </c>
      <c r="G34" s="83">
        <f t="shared" si="3"/>
        <v>3</v>
      </c>
      <c r="H34" s="84">
        <v>1.68</v>
      </c>
      <c r="I34" s="205">
        <v>1.05</v>
      </c>
      <c r="J34" s="223">
        <f t="shared" ref="J34:J44" si="4">(H34-I34)/H34*100</f>
        <v>37.499999999999993</v>
      </c>
      <c r="K34" s="224"/>
    </row>
    <row r="35" spans="2:11" x14ac:dyDescent="0.25">
      <c r="B35" s="82">
        <v>3</v>
      </c>
      <c r="C35" s="244"/>
      <c r="D35" s="248">
        <v>0.15</v>
      </c>
      <c r="E35" s="249"/>
      <c r="F35" s="198">
        <v>0.6</v>
      </c>
      <c r="G35" s="83">
        <f t="shared" si="3"/>
        <v>4</v>
      </c>
      <c r="H35" s="84">
        <v>3.41</v>
      </c>
      <c r="I35" s="205">
        <v>2.94</v>
      </c>
      <c r="J35" s="223">
        <f t="shared" si="4"/>
        <v>13.782991202346045</v>
      </c>
      <c r="K35" s="224"/>
    </row>
    <row r="36" spans="2:11" x14ac:dyDescent="0.25">
      <c r="B36" s="82">
        <v>4</v>
      </c>
      <c r="C36" s="244"/>
      <c r="D36" s="239">
        <v>0.3</v>
      </c>
      <c r="E36" s="240"/>
      <c r="F36" s="198">
        <v>0.3</v>
      </c>
      <c r="G36" s="83">
        <f t="shared" si="3"/>
        <v>1</v>
      </c>
      <c r="H36" s="84">
        <v>1.25</v>
      </c>
      <c r="I36" s="205">
        <v>1</v>
      </c>
      <c r="J36" s="223">
        <f t="shared" si="4"/>
        <v>20</v>
      </c>
      <c r="K36" s="224"/>
    </row>
    <row r="37" spans="2:11" x14ac:dyDescent="0.25">
      <c r="B37" s="82">
        <v>5</v>
      </c>
      <c r="C37" s="244"/>
      <c r="D37" s="239">
        <v>0.3</v>
      </c>
      <c r="E37" s="240"/>
      <c r="F37" s="198">
        <v>0.45</v>
      </c>
      <c r="G37" s="83">
        <f t="shared" si="3"/>
        <v>1.5</v>
      </c>
      <c r="H37" s="84">
        <v>2.81</v>
      </c>
      <c r="I37" s="205">
        <v>1.94</v>
      </c>
      <c r="J37" s="223">
        <f t="shared" si="4"/>
        <v>30.960854092526695</v>
      </c>
      <c r="K37" s="224"/>
    </row>
    <row r="38" spans="2:11" ht="15.75" thickBot="1" x14ac:dyDescent="0.3">
      <c r="B38" s="86">
        <v>6</v>
      </c>
      <c r="C38" s="245"/>
      <c r="D38" s="241">
        <v>0.3</v>
      </c>
      <c r="E38" s="242"/>
      <c r="F38" s="87">
        <v>0.6</v>
      </c>
      <c r="G38" s="88">
        <f t="shared" si="3"/>
        <v>2</v>
      </c>
      <c r="H38" s="89">
        <v>5.23</v>
      </c>
      <c r="I38" s="206">
        <v>4.1100000000000003</v>
      </c>
      <c r="J38" s="225">
        <f t="shared" si="4"/>
        <v>21.414913957934992</v>
      </c>
      <c r="K38" s="226"/>
    </row>
    <row r="39" spans="2:11" x14ac:dyDescent="0.25">
      <c r="B39" s="78">
        <v>7</v>
      </c>
      <c r="C39" s="243">
        <v>85</v>
      </c>
      <c r="D39" s="246">
        <v>0.15</v>
      </c>
      <c r="E39" s="247"/>
      <c r="F39" s="197">
        <v>0.3</v>
      </c>
      <c r="G39" s="79">
        <f t="shared" si="3"/>
        <v>2</v>
      </c>
      <c r="H39" s="80">
        <v>0.92</v>
      </c>
      <c r="I39" s="204">
        <v>0.67</v>
      </c>
      <c r="J39" s="231">
        <f t="shared" si="4"/>
        <v>27.173913043478258</v>
      </c>
      <c r="K39" s="232"/>
    </row>
    <row r="40" spans="2:11" x14ac:dyDescent="0.25">
      <c r="B40" s="82">
        <v>8</v>
      </c>
      <c r="C40" s="244"/>
      <c r="D40" s="248">
        <v>0.15</v>
      </c>
      <c r="E40" s="249"/>
      <c r="F40" s="198">
        <v>0.45</v>
      </c>
      <c r="G40" s="83">
        <f t="shared" si="3"/>
        <v>3</v>
      </c>
      <c r="H40" s="84">
        <v>2.4700000000000002</v>
      </c>
      <c r="I40" s="205">
        <v>1.3320000000000001</v>
      </c>
      <c r="J40" s="223">
        <f t="shared" si="4"/>
        <v>46.072874493927131</v>
      </c>
      <c r="K40" s="224"/>
    </row>
    <row r="41" spans="2:11" x14ac:dyDescent="0.25">
      <c r="B41" s="82">
        <v>9</v>
      </c>
      <c r="C41" s="244"/>
      <c r="D41" s="248">
        <v>0.15</v>
      </c>
      <c r="E41" s="249"/>
      <c r="F41" s="198">
        <v>0.6</v>
      </c>
      <c r="G41" s="83">
        <f t="shared" si="3"/>
        <v>4</v>
      </c>
      <c r="H41" s="84">
        <v>5.18</v>
      </c>
      <c r="I41" s="205">
        <v>3.27</v>
      </c>
      <c r="J41" s="223">
        <f t="shared" si="4"/>
        <v>36.872586872586872</v>
      </c>
      <c r="K41" s="224"/>
    </row>
    <row r="42" spans="2:11" x14ac:dyDescent="0.25">
      <c r="B42" s="82">
        <v>10</v>
      </c>
      <c r="C42" s="244"/>
      <c r="D42" s="239">
        <v>0.3</v>
      </c>
      <c r="E42" s="240"/>
      <c r="F42" s="198">
        <v>0.3</v>
      </c>
      <c r="G42" s="83">
        <f t="shared" si="3"/>
        <v>1</v>
      </c>
      <c r="H42" s="84">
        <v>1.59</v>
      </c>
      <c r="I42" s="205">
        <v>1.17</v>
      </c>
      <c r="J42" s="223">
        <f t="shared" si="4"/>
        <v>26.415094339622652</v>
      </c>
      <c r="K42" s="224"/>
    </row>
    <row r="43" spans="2:11" x14ac:dyDescent="0.25">
      <c r="B43" s="82">
        <v>11</v>
      </c>
      <c r="C43" s="244"/>
      <c r="D43" s="239">
        <v>0.3</v>
      </c>
      <c r="E43" s="240"/>
      <c r="F43" s="198">
        <v>0.45</v>
      </c>
      <c r="G43" s="83">
        <f t="shared" si="3"/>
        <v>1.5</v>
      </c>
      <c r="H43" s="84">
        <v>3.78</v>
      </c>
      <c r="I43" s="205">
        <v>2.16</v>
      </c>
      <c r="J43" s="223">
        <f t="shared" si="4"/>
        <v>42.857142857142847</v>
      </c>
      <c r="K43" s="224"/>
    </row>
    <row r="44" spans="2:11" ht="15.75" thickBot="1" x14ac:dyDescent="0.3">
      <c r="B44" s="86">
        <v>12</v>
      </c>
      <c r="C44" s="245"/>
      <c r="D44" s="241">
        <v>0.3</v>
      </c>
      <c r="E44" s="242"/>
      <c r="F44" s="87">
        <v>0.6</v>
      </c>
      <c r="G44" s="88">
        <f t="shared" si="3"/>
        <v>2</v>
      </c>
      <c r="H44" s="89">
        <v>7.32</v>
      </c>
      <c r="I44" s="206">
        <v>4.66</v>
      </c>
      <c r="J44" s="225">
        <f t="shared" si="4"/>
        <v>36.338797814207652</v>
      </c>
      <c r="K44" s="226"/>
    </row>
    <row r="63" ht="60" customHeight="1" x14ac:dyDescent="0.25"/>
    <row r="64" ht="15" customHeight="1" x14ac:dyDescent="0.25"/>
    <row r="65" ht="15.75" customHeight="1" x14ac:dyDescent="0.25"/>
  </sheetData>
  <mergeCells count="155">
    <mergeCell ref="V14:V16"/>
    <mergeCell ref="M14:N16"/>
    <mergeCell ref="O14:O16"/>
    <mergeCell ref="R14:S16"/>
    <mergeCell ref="T14:U16"/>
    <mergeCell ref="P14:Q16"/>
    <mergeCell ref="F3:J3"/>
    <mergeCell ref="T18:U18"/>
    <mergeCell ref="C19:D19"/>
    <mergeCell ref="E19:F19"/>
    <mergeCell ref="K19:L19"/>
    <mergeCell ref="M19:N19"/>
    <mergeCell ref="R19:S19"/>
    <mergeCell ref="T19:U19"/>
    <mergeCell ref="I17:J17"/>
    <mergeCell ref="I18:J18"/>
    <mergeCell ref="P17:Q17"/>
    <mergeCell ref="P18:Q18"/>
    <mergeCell ref="C18:D18"/>
    <mergeCell ref="E18:F18"/>
    <mergeCell ref="K18:L18"/>
    <mergeCell ref="M18:N18"/>
    <mergeCell ref="R18:S18"/>
    <mergeCell ref="C17:D17"/>
    <mergeCell ref="E17:F17"/>
    <mergeCell ref="K17:L17"/>
    <mergeCell ref="M17:N17"/>
    <mergeCell ref="R17:S17"/>
    <mergeCell ref="T17:U17"/>
    <mergeCell ref="T20:U20"/>
    <mergeCell ref="C21:D21"/>
    <mergeCell ref="E21:F21"/>
    <mergeCell ref="K21:L21"/>
    <mergeCell ref="M21:N21"/>
    <mergeCell ref="R21:S21"/>
    <mergeCell ref="T21:U21"/>
    <mergeCell ref="I19:J19"/>
    <mergeCell ref="I20:J20"/>
    <mergeCell ref="P19:Q19"/>
    <mergeCell ref="P20:Q20"/>
    <mergeCell ref="C20:D20"/>
    <mergeCell ref="E20:F20"/>
    <mergeCell ref="K20:L20"/>
    <mergeCell ref="M20:N20"/>
    <mergeCell ref="R20:S20"/>
    <mergeCell ref="I21:J21"/>
    <mergeCell ref="P21:Q21"/>
    <mergeCell ref="P22:Q22"/>
    <mergeCell ref="C22:D22"/>
    <mergeCell ref="E22:F22"/>
    <mergeCell ref="K22:L22"/>
    <mergeCell ref="M22:N22"/>
    <mergeCell ref="R22:S22"/>
    <mergeCell ref="T22:U22"/>
    <mergeCell ref="P23:Q23"/>
    <mergeCell ref="C23:D23"/>
    <mergeCell ref="E23:F23"/>
    <mergeCell ref="K23:L23"/>
    <mergeCell ref="M23:N23"/>
    <mergeCell ref="R23:S23"/>
    <mergeCell ref="C26:D26"/>
    <mergeCell ref="E26:F26"/>
    <mergeCell ref="K26:L26"/>
    <mergeCell ref="M26:N26"/>
    <mergeCell ref="R26:S26"/>
    <mergeCell ref="T23:U23"/>
    <mergeCell ref="G22:H22"/>
    <mergeCell ref="G23:H23"/>
    <mergeCell ref="I23:J23"/>
    <mergeCell ref="I22:J22"/>
    <mergeCell ref="T24:U24"/>
    <mergeCell ref="C25:D25"/>
    <mergeCell ref="E25:F25"/>
    <mergeCell ref="K25:L25"/>
    <mergeCell ref="M25:N25"/>
    <mergeCell ref="R25:S25"/>
    <mergeCell ref="T25:U25"/>
    <mergeCell ref="G24:H24"/>
    <mergeCell ref="G25:H25"/>
    <mergeCell ref="I24:J24"/>
    <mergeCell ref="P24:Q24"/>
    <mergeCell ref="C24:D24"/>
    <mergeCell ref="E24:F24"/>
    <mergeCell ref="K24:L24"/>
    <mergeCell ref="M24:N24"/>
    <mergeCell ref="R24:S24"/>
    <mergeCell ref="E27:F27"/>
    <mergeCell ref="K27:L27"/>
    <mergeCell ref="M27:N27"/>
    <mergeCell ref="R27:S27"/>
    <mergeCell ref="T27:U27"/>
    <mergeCell ref="G26:H26"/>
    <mergeCell ref="G27:H27"/>
    <mergeCell ref="I25:J25"/>
    <mergeCell ref="I26:J26"/>
    <mergeCell ref="P25:Q25"/>
    <mergeCell ref="P26:Q26"/>
    <mergeCell ref="B14:B16"/>
    <mergeCell ref="E14:F16"/>
    <mergeCell ref="G14:H16"/>
    <mergeCell ref="I14:J16"/>
    <mergeCell ref="K14:L16"/>
    <mergeCell ref="C14:D16"/>
    <mergeCell ref="T28:U28"/>
    <mergeCell ref="G17:H17"/>
    <mergeCell ref="G18:H18"/>
    <mergeCell ref="G19:H19"/>
    <mergeCell ref="G20:H20"/>
    <mergeCell ref="G21:H21"/>
    <mergeCell ref="C28:D28"/>
    <mergeCell ref="E28:F28"/>
    <mergeCell ref="K28:L28"/>
    <mergeCell ref="M28:N28"/>
    <mergeCell ref="R28:S28"/>
    <mergeCell ref="G28:H28"/>
    <mergeCell ref="I27:J27"/>
    <mergeCell ref="I28:J28"/>
    <mergeCell ref="P27:Q27"/>
    <mergeCell ref="P28:Q28"/>
    <mergeCell ref="T26:U26"/>
    <mergeCell ref="C27:D27"/>
    <mergeCell ref="D44:E44"/>
    <mergeCell ref="C33:C38"/>
    <mergeCell ref="C39:C44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F30:F32"/>
    <mergeCell ref="G30:G32"/>
    <mergeCell ref="H30:H32"/>
    <mergeCell ref="I30:I32"/>
    <mergeCell ref="B30:B32"/>
    <mergeCell ref="C30:C32"/>
    <mergeCell ref="D30:E32"/>
    <mergeCell ref="D42:E42"/>
    <mergeCell ref="D43:E43"/>
    <mergeCell ref="J41:K41"/>
    <mergeCell ref="J42:K42"/>
    <mergeCell ref="J43:K43"/>
    <mergeCell ref="J44:K44"/>
    <mergeCell ref="J30:K32"/>
    <mergeCell ref="J33:K33"/>
    <mergeCell ref="J34:K34"/>
    <mergeCell ref="J35:K35"/>
    <mergeCell ref="J36:K36"/>
    <mergeCell ref="J37:K37"/>
    <mergeCell ref="J38:K38"/>
    <mergeCell ref="J39:K39"/>
    <mergeCell ref="J40:K40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V48"/>
  <sheetViews>
    <sheetView topLeftCell="B23" zoomScale="70" zoomScaleNormal="70" workbookViewId="0">
      <selection activeCell="K48" sqref="K48"/>
    </sheetView>
  </sheetViews>
  <sheetFormatPr defaultRowHeight="15" x14ac:dyDescent="0.25"/>
  <cols>
    <col min="4" max="4" width="11" customWidth="1"/>
    <col min="5" max="5" width="11.5703125" customWidth="1"/>
    <col min="6" max="6" width="10.5703125" customWidth="1"/>
    <col min="8" max="8" width="7.5703125" customWidth="1"/>
    <col min="9" max="9" width="13.140625" customWidth="1"/>
    <col min="10" max="10" width="12.140625" customWidth="1"/>
    <col min="11" max="11" width="12.85546875" customWidth="1"/>
    <col min="12" max="12" width="14.85546875" customWidth="1"/>
    <col min="13" max="13" width="15" customWidth="1"/>
    <col min="14" max="14" width="12.28515625" customWidth="1"/>
    <col min="15" max="15" width="20.28515625" customWidth="1"/>
    <col min="16" max="16" width="22.140625" customWidth="1"/>
    <col min="17" max="17" width="1.42578125" customWidth="1"/>
    <col min="18" max="18" width="14.28515625" customWidth="1"/>
    <col min="20" max="20" width="13.85546875" customWidth="1"/>
    <col min="21" max="21" width="11.140625" customWidth="1"/>
    <col min="22" max="22" width="14.140625" customWidth="1"/>
    <col min="23" max="23" width="13.42578125" customWidth="1"/>
  </cols>
  <sheetData>
    <row r="2" spans="3:18" ht="15.75" thickBot="1" x14ac:dyDescent="0.3"/>
    <row r="3" spans="3:18" ht="26.25" thickBot="1" x14ac:dyDescent="0.4">
      <c r="G3" s="321" t="s">
        <v>20</v>
      </c>
      <c r="H3" s="322"/>
      <c r="I3" s="322"/>
      <c r="J3" s="322"/>
      <c r="K3" s="323"/>
    </row>
    <row r="4" spans="3:18" x14ac:dyDescent="0.25">
      <c r="M4" s="43"/>
    </row>
    <row r="5" spans="3:18" ht="19.5" thickBot="1" x14ac:dyDescent="0.4">
      <c r="M5" s="34" t="s">
        <v>15</v>
      </c>
      <c r="N5" s="35"/>
      <c r="O5" s="35"/>
      <c r="P5" s="35"/>
      <c r="Q5" s="35"/>
      <c r="R5" s="35"/>
    </row>
    <row r="6" spans="3:18" ht="16.5" thickBot="1" x14ac:dyDescent="0.3">
      <c r="E6" s="14" t="s">
        <v>0</v>
      </c>
      <c r="F6" s="8">
        <v>70</v>
      </c>
      <c r="L6" s="14" t="s">
        <v>0</v>
      </c>
      <c r="M6" s="11">
        <v>85</v>
      </c>
      <c r="O6" s="38"/>
      <c r="P6" s="41"/>
      <c r="Q6" s="42"/>
    </row>
    <row r="7" spans="3:18" ht="19.5" customHeight="1" thickBot="1" x14ac:dyDescent="0.3">
      <c r="E7" s="15" t="s">
        <v>1</v>
      </c>
      <c r="F7" s="9">
        <v>41.28</v>
      </c>
      <c r="L7" s="15" t="s">
        <v>1</v>
      </c>
      <c r="M7" s="12">
        <v>46.45</v>
      </c>
      <c r="O7" s="36"/>
      <c r="P7" s="36"/>
      <c r="Q7" s="39"/>
      <c r="R7" s="2"/>
    </row>
    <row r="8" spans="3:18" ht="16.5" thickBot="1" x14ac:dyDescent="0.3">
      <c r="E8" s="16" t="s">
        <v>36</v>
      </c>
      <c r="F8" s="10">
        <v>17.73</v>
      </c>
      <c r="L8" s="16" t="s">
        <v>2</v>
      </c>
      <c r="M8" s="13">
        <v>18.149999999999999</v>
      </c>
      <c r="O8" s="36"/>
      <c r="P8" s="36"/>
      <c r="Q8" s="40"/>
      <c r="R8" s="2"/>
    </row>
    <row r="9" spans="3:18" ht="15" customHeight="1" x14ac:dyDescent="0.25">
      <c r="M9" s="1"/>
      <c r="N9" s="39"/>
      <c r="O9" s="36"/>
      <c r="P9" s="36"/>
      <c r="Q9" s="2"/>
    </row>
    <row r="10" spans="3:18" x14ac:dyDescent="0.25">
      <c r="N10" s="37"/>
      <c r="O10" s="37"/>
      <c r="P10" s="37"/>
    </row>
    <row r="11" spans="3:18" ht="15.75" thickBot="1" x14ac:dyDescent="0.3"/>
    <row r="12" spans="3:18" ht="16.5" thickBot="1" x14ac:dyDescent="0.3">
      <c r="C12" s="4"/>
      <c r="D12" s="5"/>
      <c r="E12" s="379"/>
      <c r="F12" s="380"/>
      <c r="G12" s="5"/>
      <c r="H12" s="5"/>
      <c r="I12" s="5"/>
      <c r="J12" s="5"/>
      <c r="K12" s="5"/>
      <c r="L12" s="7"/>
      <c r="M12" s="28"/>
      <c r="N12" s="28"/>
    </row>
    <row r="13" spans="3:18" ht="16.5" thickBot="1" x14ac:dyDescent="0.3">
      <c r="C13" s="21"/>
      <c r="D13" s="21"/>
      <c r="E13" s="377"/>
      <c r="F13" s="378"/>
      <c r="G13" s="23"/>
      <c r="H13" s="21"/>
      <c r="I13" s="21"/>
      <c r="J13" s="21"/>
      <c r="K13" s="23"/>
      <c r="L13" s="24"/>
      <c r="M13" s="29"/>
      <c r="N13" s="30"/>
    </row>
    <row r="14" spans="3:18" ht="16.5" thickBot="1" x14ac:dyDescent="0.3">
      <c r="C14" s="21"/>
      <c r="D14" s="21"/>
      <c r="E14" s="377"/>
      <c r="F14" s="378"/>
      <c r="G14" s="23"/>
      <c r="H14" s="21"/>
      <c r="I14" s="21"/>
      <c r="J14" s="21"/>
      <c r="K14" s="23"/>
      <c r="L14" s="24"/>
      <c r="M14" s="29"/>
      <c r="N14" s="31"/>
    </row>
    <row r="15" spans="3:18" ht="16.5" thickBot="1" x14ac:dyDescent="0.3">
      <c r="C15" s="21"/>
      <c r="D15" s="21"/>
      <c r="E15" s="377"/>
      <c r="F15" s="378"/>
      <c r="G15" s="23"/>
      <c r="H15" s="21"/>
      <c r="I15" s="21"/>
      <c r="J15" s="21"/>
      <c r="K15" s="23"/>
      <c r="L15" s="24"/>
      <c r="M15" s="29"/>
      <c r="N15" s="33"/>
    </row>
    <row r="16" spans="3:18" ht="16.5" thickBot="1" x14ac:dyDescent="0.3">
      <c r="C16" s="21"/>
      <c r="D16" s="21"/>
      <c r="E16" s="377"/>
      <c r="F16" s="378"/>
      <c r="G16" s="23"/>
      <c r="H16" s="21"/>
      <c r="I16" s="21"/>
      <c r="J16" s="21"/>
      <c r="K16" s="23"/>
      <c r="L16" s="24"/>
      <c r="M16" s="29"/>
      <c r="N16" s="32"/>
    </row>
    <row r="17" spans="2:22" ht="15.75" thickBot="1" x14ac:dyDescent="0.3"/>
    <row r="18" spans="2:22" ht="15" customHeight="1" x14ac:dyDescent="0.25">
      <c r="B18" s="362" t="s">
        <v>11</v>
      </c>
      <c r="C18" s="365" t="s">
        <v>10</v>
      </c>
      <c r="D18" s="366"/>
      <c r="E18" s="371" t="s">
        <v>50</v>
      </c>
      <c r="F18" s="372"/>
      <c r="G18" s="365" t="s">
        <v>3</v>
      </c>
      <c r="H18" s="366"/>
      <c r="I18" s="365" t="s">
        <v>68</v>
      </c>
      <c r="J18" s="366"/>
      <c r="K18" s="371" t="s">
        <v>69</v>
      </c>
      <c r="L18" s="372"/>
      <c r="M18" s="381" t="s">
        <v>12</v>
      </c>
      <c r="N18" s="325"/>
      <c r="O18" s="336" t="s">
        <v>16</v>
      </c>
      <c r="P18" s="381" t="s">
        <v>14</v>
      </c>
      <c r="Q18" s="325"/>
      <c r="R18" s="371" t="s">
        <v>47</v>
      </c>
      <c r="S18" s="372"/>
      <c r="T18" s="371" t="s">
        <v>48</v>
      </c>
      <c r="U18" s="372"/>
      <c r="V18" s="325" t="s">
        <v>67</v>
      </c>
    </row>
    <row r="19" spans="2:22" ht="15" customHeight="1" x14ac:dyDescent="0.25">
      <c r="B19" s="363"/>
      <c r="C19" s="367"/>
      <c r="D19" s="368"/>
      <c r="E19" s="373"/>
      <c r="F19" s="374"/>
      <c r="G19" s="367"/>
      <c r="H19" s="368"/>
      <c r="I19" s="367"/>
      <c r="J19" s="368"/>
      <c r="K19" s="373"/>
      <c r="L19" s="374"/>
      <c r="M19" s="382"/>
      <c r="N19" s="326"/>
      <c r="O19" s="337"/>
      <c r="P19" s="382"/>
      <c r="Q19" s="326"/>
      <c r="R19" s="373"/>
      <c r="S19" s="374"/>
      <c r="T19" s="373"/>
      <c r="U19" s="374"/>
      <c r="V19" s="326"/>
    </row>
    <row r="20" spans="2:22" ht="15.75" customHeight="1" thickBot="1" x14ac:dyDescent="0.3">
      <c r="B20" s="364"/>
      <c r="C20" s="369"/>
      <c r="D20" s="370"/>
      <c r="E20" s="375"/>
      <c r="F20" s="376"/>
      <c r="G20" s="369"/>
      <c r="H20" s="370"/>
      <c r="I20" s="369"/>
      <c r="J20" s="370"/>
      <c r="K20" s="375"/>
      <c r="L20" s="376"/>
      <c r="M20" s="383"/>
      <c r="N20" s="327"/>
      <c r="O20" s="338"/>
      <c r="P20" s="383"/>
      <c r="Q20" s="327"/>
      <c r="R20" s="375"/>
      <c r="S20" s="376"/>
      <c r="T20" s="375"/>
      <c r="U20" s="376"/>
      <c r="V20" s="327"/>
    </row>
    <row r="21" spans="2:22" ht="16.5" thickBot="1" x14ac:dyDescent="0.3">
      <c r="B21" s="121">
        <v>1</v>
      </c>
      <c r="C21" s="384">
        <v>0.15</v>
      </c>
      <c r="D21" s="385"/>
      <c r="E21" s="384">
        <v>70</v>
      </c>
      <c r="F21" s="385"/>
      <c r="G21" s="384">
        <v>17.73</v>
      </c>
      <c r="H21" s="385"/>
      <c r="I21" s="384">
        <v>41.28</v>
      </c>
      <c r="J21" s="385"/>
      <c r="K21" s="384">
        <v>0.3</v>
      </c>
      <c r="L21" s="385"/>
      <c r="M21" s="384">
        <f t="shared" ref="M21:M32" si="0">(K21/C21)</f>
        <v>2</v>
      </c>
      <c r="N21" s="385"/>
      <c r="O21" s="121">
        <v>1.24</v>
      </c>
      <c r="P21" s="360">
        <f t="shared" ref="P21:P32" si="1">R21/(PI()/4*K21*G21*C21^2)</f>
        <v>6.3152681418864063</v>
      </c>
      <c r="Q21" s="361"/>
      <c r="R21" s="360">
        <f t="shared" ref="R21:R32" si="2">O21*G21*K21^3</f>
        <v>0.59360039999999992</v>
      </c>
      <c r="S21" s="361"/>
      <c r="T21" s="360">
        <f>55.5/100</f>
        <v>0.55500000000000005</v>
      </c>
      <c r="U21" s="361"/>
      <c r="V21" s="126">
        <f>(R21-T21)/R21*100</f>
        <v>6.502758421321797</v>
      </c>
    </row>
    <row r="22" spans="2:22" ht="16.5" thickBot="1" x14ac:dyDescent="0.3">
      <c r="B22" s="122">
        <v>2</v>
      </c>
      <c r="C22" s="354">
        <v>0.15</v>
      </c>
      <c r="D22" s="355"/>
      <c r="E22" s="354">
        <v>85</v>
      </c>
      <c r="F22" s="355"/>
      <c r="G22" s="354">
        <v>18.149999999999999</v>
      </c>
      <c r="H22" s="355"/>
      <c r="I22" s="354">
        <v>46.45</v>
      </c>
      <c r="J22" s="355"/>
      <c r="K22" s="354">
        <v>0.3</v>
      </c>
      <c r="L22" s="355"/>
      <c r="M22" s="354">
        <f t="shared" si="0"/>
        <v>2</v>
      </c>
      <c r="N22" s="355"/>
      <c r="O22" s="122">
        <v>1.3</v>
      </c>
      <c r="P22" s="358">
        <f t="shared" si="1"/>
        <v>6.6208456326228458</v>
      </c>
      <c r="Q22" s="359"/>
      <c r="R22" s="358">
        <f t="shared" si="2"/>
        <v>0.63706499999999999</v>
      </c>
      <c r="S22" s="359"/>
      <c r="T22" s="358">
        <f>66.6/100</f>
        <v>0.66599999999999993</v>
      </c>
      <c r="U22" s="359"/>
      <c r="V22" s="124">
        <f t="shared" ref="V22:V32" si="3">(R22-T22)/R22*100</f>
        <v>-4.5419227237408952</v>
      </c>
    </row>
    <row r="23" spans="2:22" ht="16.5" thickBot="1" x14ac:dyDescent="0.3">
      <c r="B23" s="122">
        <v>3</v>
      </c>
      <c r="C23" s="354">
        <v>0.15</v>
      </c>
      <c r="D23" s="355"/>
      <c r="E23" s="354">
        <v>70</v>
      </c>
      <c r="F23" s="355"/>
      <c r="G23" s="354">
        <v>17.73</v>
      </c>
      <c r="H23" s="355"/>
      <c r="I23" s="354">
        <v>41.28</v>
      </c>
      <c r="J23" s="355"/>
      <c r="K23" s="354">
        <v>0.45</v>
      </c>
      <c r="L23" s="355"/>
      <c r="M23" s="354">
        <f t="shared" si="0"/>
        <v>3</v>
      </c>
      <c r="N23" s="355"/>
      <c r="O23" s="122">
        <v>0.91669999999999996</v>
      </c>
      <c r="P23" s="358">
        <f t="shared" si="1"/>
        <v>10.504608215928515</v>
      </c>
      <c r="Q23" s="359"/>
      <c r="R23" s="358">
        <f t="shared" si="2"/>
        <v>1.4810629173750003</v>
      </c>
      <c r="S23" s="359"/>
      <c r="T23" s="358">
        <f>105.45/100</f>
        <v>1.0545</v>
      </c>
      <c r="U23" s="359"/>
      <c r="V23" s="124">
        <f t="shared" si="3"/>
        <v>28.801134129468984</v>
      </c>
    </row>
    <row r="24" spans="2:22" ht="16.5" thickBot="1" x14ac:dyDescent="0.3">
      <c r="B24" s="122">
        <v>4</v>
      </c>
      <c r="C24" s="354">
        <v>0.15</v>
      </c>
      <c r="D24" s="355"/>
      <c r="E24" s="354">
        <v>85</v>
      </c>
      <c r="F24" s="355"/>
      <c r="G24" s="354">
        <v>18.149999999999999</v>
      </c>
      <c r="H24" s="355"/>
      <c r="I24" s="354">
        <v>46.45</v>
      </c>
      <c r="J24" s="355"/>
      <c r="K24" s="354">
        <v>0.45</v>
      </c>
      <c r="L24" s="355"/>
      <c r="M24" s="354">
        <f t="shared" si="0"/>
        <v>3</v>
      </c>
      <c r="N24" s="355"/>
      <c r="O24" s="122">
        <v>0.95</v>
      </c>
      <c r="P24" s="358">
        <f t="shared" si="1"/>
        <v>10.886198107485642</v>
      </c>
      <c r="Q24" s="359"/>
      <c r="R24" s="358">
        <f t="shared" si="2"/>
        <v>1.5712228124999998</v>
      </c>
      <c r="S24" s="359"/>
      <c r="T24" s="358">
        <f>133.2/100</f>
        <v>1.3319999999999999</v>
      </c>
      <c r="U24" s="359"/>
      <c r="V24" s="124">
        <f t="shared" si="3"/>
        <v>15.225263444295875</v>
      </c>
    </row>
    <row r="25" spans="2:22" ht="16.5" thickBot="1" x14ac:dyDescent="0.3">
      <c r="B25" s="122">
        <v>5</v>
      </c>
      <c r="C25" s="354">
        <v>0.15</v>
      </c>
      <c r="D25" s="355"/>
      <c r="E25" s="354">
        <v>70</v>
      </c>
      <c r="F25" s="355"/>
      <c r="G25" s="354">
        <v>17.73</v>
      </c>
      <c r="H25" s="355"/>
      <c r="I25" s="354">
        <v>41.28</v>
      </c>
      <c r="J25" s="355"/>
      <c r="K25" s="354">
        <v>0.6</v>
      </c>
      <c r="L25" s="355"/>
      <c r="M25" s="354">
        <f t="shared" si="0"/>
        <v>4</v>
      </c>
      <c r="N25" s="355"/>
      <c r="O25" s="122">
        <v>0.76700000000000002</v>
      </c>
      <c r="P25" s="358">
        <f t="shared" si="1"/>
        <v>15.625195692989916</v>
      </c>
      <c r="Q25" s="359"/>
      <c r="R25" s="358">
        <f t="shared" si="2"/>
        <v>2.9373645599999998</v>
      </c>
      <c r="S25" s="359"/>
      <c r="T25" s="358">
        <f>294.15/100</f>
        <v>2.9414999999999996</v>
      </c>
      <c r="U25" s="359"/>
      <c r="V25" s="124">
        <f t="shared" si="3"/>
        <v>-0.14078742748907438</v>
      </c>
    </row>
    <row r="26" spans="2:22" ht="16.5" thickBot="1" x14ac:dyDescent="0.3">
      <c r="B26" s="122">
        <v>6</v>
      </c>
      <c r="C26" s="354">
        <v>0.15</v>
      </c>
      <c r="D26" s="355"/>
      <c r="E26" s="354">
        <v>85</v>
      </c>
      <c r="F26" s="355"/>
      <c r="G26" s="354">
        <v>18.149999999999999</v>
      </c>
      <c r="H26" s="355"/>
      <c r="I26" s="354">
        <v>46.45</v>
      </c>
      <c r="J26" s="355"/>
      <c r="K26" s="354">
        <v>0.6</v>
      </c>
      <c r="L26" s="355"/>
      <c r="M26" s="354">
        <f t="shared" si="0"/>
        <v>4</v>
      </c>
      <c r="N26" s="355"/>
      <c r="O26" s="122">
        <v>0.8</v>
      </c>
      <c r="P26" s="358">
        <f t="shared" si="1"/>
        <v>16.297466172610083</v>
      </c>
      <c r="Q26" s="359"/>
      <c r="R26" s="358">
        <f t="shared" si="2"/>
        <v>3.13632</v>
      </c>
      <c r="S26" s="359"/>
      <c r="T26" s="358">
        <f>327.45/100</f>
        <v>3.2744999999999997</v>
      </c>
      <c r="U26" s="359"/>
      <c r="V26" s="124">
        <f t="shared" si="3"/>
        <v>-4.4058004285276935</v>
      </c>
    </row>
    <row r="27" spans="2:22" ht="16.5" thickBot="1" x14ac:dyDescent="0.3">
      <c r="B27" s="122">
        <v>7</v>
      </c>
      <c r="C27" s="354">
        <v>0.3</v>
      </c>
      <c r="D27" s="355"/>
      <c r="E27" s="354">
        <v>70</v>
      </c>
      <c r="F27" s="355"/>
      <c r="G27" s="354">
        <v>17.73</v>
      </c>
      <c r="H27" s="355"/>
      <c r="I27" s="354">
        <v>41.28</v>
      </c>
      <c r="J27" s="355"/>
      <c r="K27" s="354">
        <v>0.3</v>
      </c>
      <c r="L27" s="355"/>
      <c r="M27" s="354">
        <f t="shared" si="0"/>
        <v>1</v>
      </c>
      <c r="N27" s="355"/>
      <c r="O27" s="122">
        <v>2.4279999999999999</v>
      </c>
      <c r="P27" s="358">
        <f t="shared" si="1"/>
        <v>3.0914256146169752</v>
      </c>
      <c r="Q27" s="359"/>
      <c r="R27" s="358">
        <f t="shared" si="2"/>
        <v>1.16230788</v>
      </c>
      <c r="S27" s="359"/>
      <c r="T27" s="358">
        <f>99.9/100</f>
        <v>0.99900000000000011</v>
      </c>
      <c r="U27" s="359"/>
      <c r="V27" s="124">
        <f t="shared" si="3"/>
        <v>14.050311695383142</v>
      </c>
    </row>
    <row r="28" spans="2:22" ht="16.5" thickBot="1" x14ac:dyDescent="0.3">
      <c r="B28" s="122">
        <v>8</v>
      </c>
      <c r="C28" s="354">
        <v>0.3</v>
      </c>
      <c r="D28" s="355"/>
      <c r="E28" s="354">
        <v>85</v>
      </c>
      <c r="F28" s="355"/>
      <c r="G28" s="354">
        <v>18.149999999999999</v>
      </c>
      <c r="H28" s="355"/>
      <c r="I28" s="354">
        <v>46.45</v>
      </c>
      <c r="J28" s="355"/>
      <c r="K28" s="354">
        <v>0.3</v>
      </c>
      <c r="L28" s="355"/>
      <c r="M28" s="354">
        <f t="shared" si="0"/>
        <v>1</v>
      </c>
      <c r="N28" s="355"/>
      <c r="O28" s="122">
        <v>2.5</v>
      </c>
      <c r="P28" s="358">
        <f t="shared" si="1"/>
        <v>3.183098861837907</v>
      </c>
      <c r="Q28" s="359"/>
      <c r="R28" s="358">
        <f t="shared" si="2"/>
        <v>1.225125</v>
      </c>
      <c r="S28" s="359"/>
      <c r="T28" s="358">
        <f>116.55/100</f>
        <v>1.1655</v>
      </c>
      <c r="U28" s="359"/>
      <c r="V28" s="124">
        <f t="shared" si="3"/>
        <v>4.8668503213957788</v>
      </c>
    </row>
    <row r="29" spans="2:22" ht="16.5" thickBot="1" x14ac:dyDescent="0.3">
      <c r="B29" s="122">
        <v>9</v>
      </c>
      <c r="C29" s="354">
        <v>0.3</v>
      </c>
      <c r="D29" s="355"/>
      <c r="E29" s="354">
        <v>70</v>
      </c>
      <c r="F29" s="355"/>
      <c r="G29" s="354">
        <v>17.73</v>
      </c>
      <c r="H29" s="355"/>
      <c r="I29" s="354">
        <v>41.28</v>
      </c>
      <c r="J29" s="355"/>
      <c r="K29" s="354">
        <v>0.45</v>
      </c>
      <c r="L29" s="355"/>
      <c r="M29" s="354">
        <f t="shared" si="0"/>
        <v>1.5</v>
      </c>
      <c r="N29" s="355"/>
      <c r="O29" s="122">
        <v>1.62</v>
      </c>
      <c r="P29" s="358">
        <f t="shared" si="1"/>
        <v>4.6409581405596692</v>
      </c>
      <c r="Q29" s="359"/>
      <c r="R29" s="358">
        <f t="shared" si="2"/>
        <v>2.6173469250000005</v>
      </c>
      <c r="S29" s="359"/>
      <c r="T29" s="358">
        <f>194.25/100</f>
        <v>1.9424999999999999</v>
      </c>
      <c r="U29" s="359"/>
      <c r="V29" s="124">
        <f t="shared" si="3"/>
        <v>25.783625340381672</v>
      </c>
    </row>
    <row r="30" spans="2:22" ht="16.5" thickBot="1" x14ac:dyDescent="0.3">
      <c r="B30" s="122">
        <v>10</v>
      </c>
      <c r="C30" s="354">
        <v>0.3</v>
      </c>
      <c r="D30" s="355"/>
      <c r="E30" s="354">
        <v>85</v>
      </c>
      <c r="F30" s="355"/>
      <c r="G30" s="354">
        <v>18.149999999999999</v>
      </c>
      <c r="H30" s="355"/>
      <c r="I30" s="354">
        <v>46.45</v>
      </c>
      <c r="J30" s="355"/>
      <c r="K30" s="354">
        <v>0.45</v>
      </c>
      <c r="L30" s="355"/>
      <c r="M30" s="354">
        <f t="shared" si="0"/>
        <v>1.5</v>
      </c>
      <c r="N30" s="355"/>
      <c r="O30" s="122">
        <v>1.68</v>
      </c>
      <c r="P30" s="358">
        <f t="shared" si="1"/>
        <v>4.8128454790989164</v>
      </c>
      <c r="Q30" s="359"/>
      <c r="R30" s="358">
        <f t="shared" si="2"/>
        <v>2.7785835000000003</v>
      </c>
      <c r="S30" s="359"/>
      <c r="T30" s="358">
        <f>216.45/100</f>
        <v>2.1644999999999999</v>
      </c>
      <c r="U30" s="359"/>
      <c r="V30" s="124">
        <f t="shared" si="3"/>
        <v>22.100595501268916</v>
      </c>
    </row>
    <row r="31" spans="2:22" ht="16.5" thickBot="1" x14ac:dyDescent="0.3">
      <c r="B31" s="122">
        <v>11</v>
      </c>
      <c r="C31" s="354">
        <v>0.3</v>
      </c>
      <c r="D31" s="355"/>
      <c r="E31" s="354">
        <v>70</v>
      </c>
      <c r="F31" s="355"/>
      <c r="G31" s="354">
        <v>17.73</v>
      </c>
      <c r="H31" s="355"/>
      <c r="I31" s="354">
        <v>41.28</v>
      </c>
      <c r="J31" s="355"/>
      <c r="K31" s="354">
        <v>0.6</v>
      </c>
      <c r="L31" s="355"/>
      <c r="M31" s="354">
        <f t="shared" si="0"/>
        <v>2</v>
      </c>
      <c r="N31" s="355"/>
      <c r="O31" s="122">
        <v>1.24</v>
      </c>
      <c r="P31" s="358">
        <f t="shared" si="1"/>
        <v>6.3152681418864063</v>
      </c>
      <c r="Q31" s="359"/>
      <c r="R31" s="358">
        <f t="shared" si="2"/>
        <v>4.7488031999999993</v>
      </c>
      <c r="S31" s="359"/>
      <c r="T31" s="358">
        <f>410.7/100</f>
        <v>4.1070000000000002</v>
      </c>
      <c r="U31" s="359"/>
      <c r="V31" s="124">
        <f t="shared" si="3"/>
        <v>13.515051539722666</v>
      </c>
    </row>
    <row r="32" spans="2:22" ht="16.5" thickBot="1" x14ac:dyDescent="0.3">
      <c r="B32" s="123">
        <v>12</v>
      </c>
      <c r="C32" s="352">
        <v>0.3</v>
      </c>
      <c r="D32" s="353"/>
      <c r="E32" s="352">
        <v>85</v>
      </c>
      <c r="F32" s="353"/>
      <c r="G32" s="352">
        <v>18.149999999999999</v>
      </c>
      <c r="H32" s="353"/>
      <c r="I32" s="352">
        <v>46.45</v>
      </c>
      <c r="J32" s="353"/>
      <c r="K32" s="352">
        <v>0.6</v>
      </c>
      <c r="L32" s="353"/>
      <c r="M32" s="352">
        <f t="shared" si="0"/>
        <v>2</v>
      </c>
      <c r="N32" s="353"/>
      <c r="O32" s="123">
        <v>1.3</v>
      </c>
      <c r="P32" s="356">
        <f t="shared" si="1"/>
        <v>6.6208456326228458</v>
      </c>
      <c r="Q32" s="357"/>
      <c r="R32" s="356">
        <f t="shared" si="2"/>
        <v>5.0965199999999999</v>
      </c>
      <c r="S32" s="357"/>
      <c r="T32" s="356">
        <f>466.2/100</f>
        <v>4.6619999999999999</v>
      </c>
      <c r="U32" s="357"/>
      <c r="V32" s="125">
        <f t="shared" si="3"/>
        <v>8.5258176167267088</v>
      </c>
    </row>
    <row r="33" spans="2:11" ht="15.75" thickBot="1" x14ac:dyDescent="0.3"/>
    <row r="34" spans="2:11" x14ac:dyDescent="0.25">
      <c r="B34" s="237" t="s">
        <v>42</v>
      </c>
      <c r="C34" s="233" t="s">
        <v>43</v>
      </c>
      <c r="D34" s="235" t="s">
        <v>52</v>
      </c>
      <c r="E34" s="235"/>
      <c r="F34" s="233" t="s">
        <v>44</v>
      </c>
      <c r="G34" s="235" t="s">
        <v>51</v>
      </c>
      <c r="H34" s="233" t="s">
        <v>45</v>
      </c>
      <c r="I34" s="342" t="s">
        <v>46</v>
      </c>
      <c r="J34" s="362" t="s">
        <v>6</v>
      </c>
      <c r="K34" s="325" t="s">
        <v>67</v>
      </c>
    </row>
    <row r="35" spans="2:11" x14ac:dyDescent="0.25">
      <c r="B35" s="238"/>
      <c r="C35" s="234"/>
      <c r="D35" s="236"/>
      <c r="E35" s="236"/>
      <c r="F35" s="234"/>
      <c r="G35" s="236"/>
      <c r="H35" s="234"/>
      <c r="I35" s="343"/>
      <c r="J35" s="363"/>
      <c r="K35" s="326"/>
    </row>
    <row r="36" spans="2:11" ht="15.75" thickBot="1" x14ac:dyDescent="0.3">
      <c r="B36" s="339"/>
      <c r="C36" s="340"/>
      <c r="D36" s="341"/>
      <c r="E36" s="341"/>
      <c r="F36" s="340"/>
      <c r="G36" s="341"/>
      <c r="H36" s="340"/>
      <c r="I36" s="344"/>
      <c r="J36" s="364"/>
      <c r="K36" s="327"/>
    </row>
    <row r="37" spans="2:11" ht="16.5" thickBot="1" x14ac:dyDescent="0.3">
      <c r="B37" s="78">
        <v>1</v>
      </c>
      <c r="C37" s="243">
        <v>70</v>
      </c>
      <c r="D37" s="246">
        <v>0.15</v>
      </c>
      <c r="E37" s="247"/>
      <c r="F37" s="197">
        <v>0.3</v>
      </c>
      <c r="G37" s="79">
        <f t="shared" ref="G37:G48" si="4">F37/D37</f>
        <v>2</v>
      </c>
      <c r="H37" s="80">
        <v>0.59</v>
      </c>
      <c r="I37" s="81">
        <v>0.56000000000000005</v>
      </c>
      <c r="J37" s="121" t="s">
        <v>7</v>
      </c>
      <c r="K37" s="207">
        <f>(H37-I37)/H37*100</f>
        <v>5.08474576271185</v>
      </c>
    </row>
    <row r="38" spans="2:11" ht="16.5" thickBot="1" x14ac:dyDescent="0.3">
      <c r="B38" s="82">
        <v>2</v>
      </c>
      <c r="C38" s="244"/>
      <c r="D38" s="248">
        <v>0.15</v>
      </c>
      <c r="E38" s="249"/>
      <c r="F38" s="198">
        <v>0.45</v>
      </c>
      <c r="G38" s="83">
        <f t="shared" si="4"/>
        <v>3</v>
      </c>
      <c r="H38" s="84">
        <v>1.48</v>
      </c>
      <c r="I38" s="85">
        <v>1.05</v>
      </c>
      <c r="J38" s="122" t="s">
        <v>7</v>
      </c>
      <c r="K38" s="207">
        <f t="shared" ref="K38:K48" si="5">(H38-I38)/H38*100</f>
        <v>29.054054054054053</v>
      </c>
    </row>
    <row r="39" spans="2:11" ht="16.5" thickBot="1" x14ac:dyDescent="0.3">
      <c r="B39" s="82">
        <v>3</v>
      </c>
      <c r="C39" s="244"/>
      <c r="D39" s="346">
        <v>0.15</v>
      </c>
      <c r="E39" s="347"/>
      <c r="F39" s="210">
        <v>0.6</v>
      </c>
      <c r="G39" s="211">
        <f t="shared" si="4"/>
        <v>4</v>
      </c>
      <c r="H39" s="212">
        <v>2.94</v>
      </c>
      <c r="I39" s="213">
        <v>2.94</v>
      </c>
      <c r="J39" s="214" t="s">
        <v>7</v>
      </c>
      <c r="K39" s="207">
        <f t="shared" si="5"/>
        <v>0</v>
      </c>
    </row>
    <row r="40" spans="2:11" ht="16.5" thickBot="1" x14ac:dyDescent="0.3">
      <c r="B40" s="82">
        <v>4</v>
      </c>
      <c r="C40" s="329"/>
      <c r="D40" s="348">
        <v>0.3</v>
      </c>
      <c r="E40" s="349"/>
      <c r="F40" s="197">
        <v>0.3</v>
      </c>
      <c r="G40" s="79">
        <f t="shared" si="4"/>
        <v>1</v>
      </c>
      <c r="H40" s="80">
        <v>1.1599999999999999</v>
      </c>
      <c r="I40" s="215">
        <v>1</v>
      </c>
      <c r="J40" s="216" t="s">
        <v>7</v>
      </c>
      <c r="K40" s="207">
        <f t="shared" si="5"/>
        <v>13.793103448275856</v>
      </c>
    </row>
    <row r="41" spans="2:11" ht="16.5" thickBot="1" x14ac:dyDescent="0.3">
      <c r="B41" s="82">
        <v>5</v>
      </c>
      <c r="C41" s="329"/>
      <c r="D41" s="350">
        <v>0.3</v>
      </c>
      <c r="E41" s="240"/>
      <c r="F41" s="198">
        <v>0.45</v>
      </c>
      <c r="G41" s="83">
        <f t="shared" si="4"/>
        <v>1.5</v>
      </c>
      <c r="H41" s="84">
        <v>2.62</v>
      </c>
      <c r="I41" s="85">
        <v>1.94</v>
      </c>
      <c r="J41" s="122" t="s">
        <v>7</v>
      </c>
      <c r="K41" s="207">
        <f t="shared" si="5"/>
        <v>25.954198473282446</v>
      </c>
    </row>
    <row r="42" spans="2:11" ht="16.5" thickBot="1" x14ac:dyDescent="0.3">
      <c r="B42" s="86">
        <v>6</v>
      </c>
      <c r="C42" s="345"/>
      <c r="D42" s="351">
        <v>0.3</v>
      </c>
      <c r="E42" s="242"/>
      <c r="F42" s="87">
        <v>0.6</v>
      </c>
      <c r="G42" s="88">
        <f t="shared" si="4"/>
        <v>2</v>
      </c>
      <c r="H42" s="89">
        <v>4.75</v>
      </c>
      <c r="I42" s="90">
        <v>4.1100000000000003</v>
      </c>
      <c r="J42" s="123" t="s">
        <v>7</v>
      </c>
      <c r="K42" s="110">
        <f t="shared" si="5"/>
        <v>13.47368421052631</v>
      </c>
    </row>
    <row r="43" spans="2:11" ht="16.5" thickBot="1" x14ac:dyDescent="0.3">
      <c r="B43" s="200">
        <v>7</v>
      </c>
      <c r="C43" s="328">
        <v>85</v>
      </c>
      <c r="D43" s="330">
        <v>0.15</v>
      </c>
      <c r="E43" s="247"/>
      <c r="F43" s="197">
        <v>0.3</v>
      </c>
      <c r="G43" s="79">
        <f t="shared" si="4"/>
        <v>2</v>
      </c>
      <c r="H43" s="80">
        <v>0.64</v>
      </c>
      <c r="I43" s="81">
        <v>0.67</v>
      </c>
      <c r="J43" s="216" t="s">
        <v>7</v>
      </c>
      <c r="K43" s="207">
        <f t="shared" si="5"/>
        <v>-4.6875000000000044</v>
      </c>
    </row>
    <row r="44" spans="2:11" ht="16.5" thickBot="1" x14ac:dyDescent="0.3">
      <c r="B44" s="82">
        <v>8</v>
      </c>
      <c r="C44" s="329"/>
      <c r="D44" s="331">
        <v>0.15</v>
      </c>
      <c r="E44" s="249"/>
      <c r="F44" s="198">
        <v>0.45</v>
      </c>
      <c r="G44" s="83">
        <f t="shared" si="4"/>
        <v>3</v>
      </c>
      <c r="H44" s="84">
        <v>1.57</v>
      </c>
      <c r="I44" s="85">
        <v>1.3320000000000001</v>
      </c>
      <c r="J44" s="122" t="s">
        <v>7</v>
      </c>
      <c r="K44" s="207">
        <f t="shared" si="5"/>
        <v>15.159235668789808</v>
      </c>
    </row>
    <row r="45" spans="2:11" ht="16.5" thickBot="1" x14ac:dyDescent="0.3">
      <c r="B45" s="82">
        <v>9</v>
      </c>
      <c r="C45" s="329"/>
      <c r="D45" s="332">
        <v>0.15</v>
      </c>
      <c r="E45" s="333"/>
      <c r="F45" s="87">
        <v>0.6</v>
      </c>
      <c r="G45" s="88">
        <f t="shared" si="4"/>
        <v>4</v>
      </c>
      <c r="H45" s="89">
        <v>3.14</v>
      </c>
      <c r="I45" s="90">
        <v>3.27</v>
      </c>
      <c r="J45" s="123" t="s">
        <v>7</v>
      </c>
      <c r="K45" s="110">
        <f t="shared" si="5"/>
        <v>-4.1401273885350278</v>
      </c>
    </row>
    <row r="46" spans="2:11" ht="16.5" thickBot="1" x14ac:dyDescent="0.3">
      <c r="B46" s="82">
        <v>10</v>
      </c>
      <c r="C46" s="244"/>
      <c r="D46" s="334">
        <v>0.3</v>
      </c>
      <c r="E46" s="335"/>
      <c r="F46" s="201">
        <v>0.3</v>
      </c>
      <c r="G46" s="202">
        <f t="shared" si="4"/>
        <v>1</v>
      </c>
      <c r="H46" s="203">
        <v>1.23</v>
      </c>
      <c r="I46" s="217">
        <v>1.17</v>
      </c>
      <c r="J46" s="121" t="s">
        <v>7</v>
      </c>
      <c r="K46" s="208">
        <f t="shared" si="5"/>
        <v>4.8780487804878092</v>
      </c>
    </row>
    <row r="47" spans="2:11" ht="16.5" thickBot="1" x14ac:dyDescent="0.3">
      <c r="B47" s="82">
        <v>11</v>
      </c>
      <c r="C47" s="244"/>
      <c r="D47" s="239">
        <v>0.3</v>
      </c>
      <c r="E47" s="240"/>
      <c r="F47" s="98">
        <v>0.45</v>
      </c>
      <c r="G47" s="83">
        <f t="shared" si="4"/>
        <v>1.5</v>
      </c>
      <c r="H47" s="84">
        <v>2.78</v>
      </c>
      <c r="I47" s="85">
        <v>2.16</v>
      </c>
      <c r="J47" s="122" t="s">
        <v>7</v>
      </c>
      <c r="K47" s="207">
        <f t="shared" si="5"/>
        <v>22.302158273381284</v>
      </c>
    </row>
    <row r="48" spans="2:11" ht="16.5" thickBot="1" x14ac:dyDescent="0.3">
      <c r="B48" s="86">
        <v>12</v>
      </c>
      <c r="C48" s="245"/>
      <c r="D48" s="241">
        <v>0.3</v>
      </c>
      <c r="E48" s="242"/>
      <c r="F48" s="87">
        <v>0.6</v>
      </c>
      <c r="G48" s="88">
        <f t="shared" si="4"/>
        <v>2</v>
      </c>
      <c r="H48" s="89">
        <v>5.0999999999999996</v>
      </c>
      <c r="I48" s="90">
        <v>4.66</v>
      </c>
      <c r="J48" s="123" t="s">
        <v>7</v>
      </c>
      <c r="K48" s="207">
        <f t="shared" si="5"/>
        <v>8.6274509803921475</v>
      </c>
    </row>
  </sheetData>
  <mergeCells count="149">
    <mergeCell ref="V18:V20"/>
    <mergeCell ref="B18:B20"/>
    <mergeCell ref="C18:D20"/>
    <mergeCell ref="E18:F20"/>
    <mergeCell ref="G18:H20"/>
    <mergeCell ref="I18:J20"/>
    <mergeCell ref="E16:F16"/>
    <mergeCell ref="G3:K3"/>
    <mergeCell ref="E12:F12"/>
    <mergeCell ref="E13:F13"/>
    <mergeCell ref="E14:F14"/>
    <mergeCell ref="E15:F15"/>
    <mergeCell ref="T18:U20"/>
    <mergeCell ref="K18:L20"/>
    <mergeCell ref="M18:N20"/>
    <mergeCell ref="P18:Q20"/>
    <mergeCell ref="R18:S20"/>
    <mergeCell ref="P21:Q21"/>
    <mergeCell ref="R21:S21"/>
    <mergeCell ref="T21:U21"/>
    <mergeCell ref="M22:N22"/>
    <mergeCell ref="P22:Q22"/>
    <mergeCell ref="R22:S22"/>
    <mergeCell ref="T22:U22"/>
    <mergeCell ref="C23:D23"/>
    <mergeCell ref="E23:F23"/>
    <mergeCell ref="G23:H23"/>
    <mergeCell ref="I23:J23"/>
    <mergeCell ref="K23:L23"/>
    <mergeCell ref="M23:N23"/>
    <mergeCell ref="P23:Q23"/>
    <mergeCell ref="R23:S23"/>
    <mergeCell ref="T23:U23"/>
    <mergeCell ref="C22:D22"/>
    <mergeCell ref="E22:F22"/>
    <mergeCell ref="G22:H22"/>
    <mergeCell ref="I22:J22"/>
    <mergeCell ref="K22:L22"/>
    <mergeCell ref="C21:D21"/>
    <mergeCell ref="E21:F21"/>
    <mergeCell ref="G21:H21"/>
    <mergeCell ref="P24:Q24"/>
    <mergeCell ref="R24:S24"/>
    <mergeCell ref="T24:U24"/>
    <mergeCell ref="C25:D25"/>
    <mergeCell ref="E25:F25"/>
    <mergeCell ref="G25:H25"/>
    <mergeCell ref="I25:J25"/>
    <mergeCell ref="K25:L25"/>
    <mergeCell ref="M25:N25"/>
    <mergeCell ref="P25:Q25"/>
    <mergeCell ref="R25:S25"/>
    <mergeCell ref="T25:U25"/>
    <mergeCell ref="C24:D24"/>
    <mergeCell ref="E24:F24"/>
    <mergeCell ref="G24:H24"/>
    <mergeCell ref="I24:J24"/>
    <mergeCell ref="K24:L24"/>
    <mergeCell ref="P26:Q26"/>
    <mergeCell ref="R26:S26"/>
    <mergeCell ref="T26:U26"/>
    <mergeCell ref="C27:D27"/>
    <mergeCell ref="E27:F27"/>
    <mergeCell ref="G27:H27"/>
    <mergeCell ref="I27:J27"/>
    <mergeCell ref="K27:L27"/>
    <mergeCell ref="M27:N27"/>
    <mergeCell ref="P27:Q27"/>
    <mergeCell ref="R27:S27"/>
    <mergeCell ref="T27:U27"/>
    <mergeCell ref="C26:D26"/>
    <mergeCell ref="E26:F26"/>
    <mergeCell ref="G26:H26"/>
    <mergeCell ref="I26:J26"/>
    <mergeCell ref="K26:L26"/>
    <mergeCell ref="P28:Q28"/>
    <mergeCell ref="R28:S28"/>
    <mergeCell ref="T28:U28"/>
    <mergeCell ref="C29:D29"/>
    <mergeCell ref="E29:F29"/>
    <mergeCell ref="G29:H29"/>
    <mergeCell ref="I29:J29"/>
    <mergeCell ref="K29:L29"/>
    <mergeCell ref="M29:N29"/>
    <mergeCell ref="P29:Q29"/>
    <mergeCell ref="R29:S29"/>
    <mergeCell ref="T29:U29"/>
    <mergeCell ref="C28:D28"/>
    <mergeCell ref="E28:F28"/>
    <mergeCell ref="G28:H28"/>
    <mergeCell ref="I28:J28"/>
    <mergeCell ref="K28:L28"/>
    <mergeCell ref="P32:Q32"/>
    <mergeCell ref="R32:S32"/>
    <mergeCell ref="T32:U32"/>
    <mergeCell ref="C32:D32"/>
    <mergeCell ref="E32:F32"/>
    <mergeCell ref="G32:H32"/>
    <mergeCell ref="I32:J32"/>
    <mergeCell ref="K32:L32"/>
    <mergeCell ref="M30:N30"/>
    <mergeCell ref="P30:Q30"/>
    <mergeCell ref="R30:S30"/>
    <mergeCell ref="T30:U30"/>
    <mergeCell ref="C31:D31"/>
    <mergeCell ref="E31:F31"/>
    <mergeCell ref="G31:H31"/>
    <mergeCell ref="I31:J31"/>
    <mergeCell ref="K31:L31"/>
    <mergeCell ref="M31:N31"/>
    <mergeCell ref="P31:Q31"/>
    <mergeCell ref="R31:S31"/>
    <mergeCell ref="T31:U31"/>
    <mergeCell ref="C30:D30"/>
    <mergeCell ref="E30:F30"/>
    <mergeCell ref="G30:H30"/>
    <mergeCell ref="B34:B36"/>
    <mergeCell ref="C34:C36"/>
    <mergeCell ref="D34:E36"/>
    <mergeCell ref="F34:F36"/>
    <mergeCell ref="G34:G36"/>
    <mergeCell ref="H34:H36"/>
    <mergeCell ref="I34:I36"/>
    <mergeCell ref="C37:C42"/>
    <mergeCell ref="D37:E37"/>
    <mergeCell ref="D38:E38"/>
    <mergeCell ref="D39:E39"/>
    <mergeCell ref="D40:E40"/>
    <mergeCell ref="D41:E41"/>
    <mergeCell ref="D42:E42"/>
    <mergeCell ref="K34:K36"/>
    <mergeCell ref="C43:C48"/>
    <mergeCell ref="D43:E43"/>
    <mergeCell ref="D44:E44"/>
    <mergeCell ref="D45:E45"/>
    <mergeCell ref="D46:E46"/>
    <mergeCell ref="D47:E47"/>
    <mergeCell ref="D48:E48"/>
    <mergeCell ref="O18:O20"/>
    <mergeCell ref="M32:N32"/>
    <mergeCell ref="I30:J30"/>
    <mergeCell ref="K30:L30"/>
    <mergeCell ref="M28:N28"/>
    <mergeCell ref="M26:N26"/>
    <mergeCell ref="M24:N24"/>
    <mergeCell ref="J34:J36"/>
    <mergeCell ref="I21:J21"/>
    <mergeCell ref="K21:L21"/>
    <mergeCell ref="M21:N21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</sheetPr>
  <dimension ref="B3:V41"/>
  <sheetViews>
    <sheetView topLeftCell="A12" zoomScale="60" zoomScaleNormal="60" workbookViewId="0">
      <selection activeCell="J33" sqref="J33:J35"/>
    </sheetView>
  </sheetViews>
  <sheetFormatPr defaultRowHeight="15" x14ac:dyDescent="0.25"/>
  <cols>
    <col min="5" max="5" width="11" customWidth="1"/>
    <col min="6" max="6" width="12.7109375" customWidth="1"/>
    <col min="7" max="7" width="13" customWidth="1"/>
    <col min="8" max="8" width="10.28515625" customWidth="1"/>
    <col min="9" max="9" width="14.85546875" customWidth="1"/>
    <col min="10" max="10" width="13.140625" customWidth="1"/>
    <col min="11" max="11" width="13.42578125" customWidth="1"/>
    <col min="12" max="12" width="10.7109375" customWidth="1"/>
    <col min="13" max="13" width="12" customWidth="1"/>
    <col min="14" max="14" width="15.7109375" customWidth="1"/>
    <col min="15" max="15" width="22.140625" customWidth="1"/>
    <col min="17" max="17" width="15.140625" customWidth="1"/>
    <col min="19" max="19" width="12" customWidth="1"/>
    <col min="20" max="20" width="10.28515625" customWidth="1"/>
    <col min="21" max="21" width="13.85546875" customWidth="1"/>
    <col min="22" max="22" width="11.7109375" customWidth="1"/>
  </cols>
  <sheetData>
    <row r="3" spans="2:22" ht="15.75" thickBot="1" x14ac:dyDescent="0.3"/>
    <row r="4" spans="2:22" ht="26.25" thickBot="1" x14ac:dyDescent="0.4">
      <c r="G4" s="321" t="s">
        <v>21</v>
      </c>
      <c r="H4" s="322"/>
      <c r="I4" s="322"/>
      <c r="J4" s="322"/>
      <c r="K4" s="323"/>
    </row>
    <row r="5" spans="2:22" ht="15.75" thickBot="1" x14ac:dyDescent="0.3"/>
    <row r="6" spans="2:22" ht="16.5" thickBot="1" x14ac:dyDescent="0.3">
      <c r="E6" s="14" t="s">
        <v>0</v>
      </c>
      <c r="F6" s="8">
        <v>70</v>
      </c>
      <c r="L6" s="14" t="s">
        <v>0</v>
      </c>
      <c r="M6" s="11">
        <v>85</v>
      </c>
    </row>
    <row r="7" spans="2:22" ht="16.5" thickBot="1" x14ac:dyDescent="0.3">
      <c r="E7" s="15" t="s">
        <v>1</v>
      </c>
      <c r="F7" s="9">
        <v>41.28</v>
      </c>
      <c r="L7" s="15" t="s">
        <v>1</v>
      </c>
      <c r="M7" s="12">
        <v>46.45</v>
      </c>
    </row>
    <row r="8" spans="2:22" ht="16.5" thickBot="1" x14ac:dyDescent="0.3">
      <c r="E8" s="16" t="s">
        <v>36</v>
      </c>
      <c r="F8" s="10">
        <v>17.73</v>
      </c>
      <c r="L8" s="16" t="s">
        <v>2</v>
      </c>
      <c r="M8" s="13">
        <v>18.149999999999999</v>
      </c>
    </row>
    <row r="10" spans="2:22" ht="15.75" thickBot="1" x14ac:dyDescent="0.3"/>
    <row r="11" spans="2:22" x14ac:dyDescent="0.25">
      <c r="B11" s="402" t="s">
        <v>11</v>
      </c>
      <c r="C11" s="404" t="s">
        <v>10</v>
      </c>
      <c r="D11" s="404"/>
      <c r="E11" s="406" t="s">
        <v>50</v>
      </c>
      <c r="F11" s="406"/>
      <c r="G11" s="404" t="s">
        <v>3</v>
      </c>
      <c r="H11" s="404"/>
      <c r="I11" s="404" t="s">
        <v>4</v>
      </c>
      <c r="J11" s="404"/>
      <c r="K11" s="406" t="s">
        <v>49</v>
      </c>
      <c r="L11" s="406"/>
      <c r="M11" s="422" t="s">
        <v>12</v>
      </c>
      <c r="N11" s="423"/>
      <c r="O11" s="415" t="s">
        <v>6</v>
      </c>
      <c r="P11" s="428" t="s">
        <v>14</v>
      </c>
      <c r="Q11" s="423"/>
      <c r="R11" s="406" t="s">
        <v>47</v>
      </c>
      <c r="S11" s="430"/>
      <c r="T11" s="414" t="s">
        <v>48</v>
      </c>
      <c r="U11" s="415"/>
      <c r="V11" s="408" t="s">
        <v>67</v>
      </c>
    </row>
    <row r="12" spans="2:22" x14ac:dyDescent="0.25">
      <c r="B12" s="403"/>
      <c r="C12" s="405"/>
      <c r="D12" s="405"/>
      <c r="E12" s="407"/>
      <c r="F12" s="407"/>
      <c r="G12" s="405"/>
      <c r="H12" s="405"/>
      <c r="I12" s="405"/>
      <c r="J12" s="405"/>
      <c r="K12" s="407"/>
      <c r="L12" s="407"/>
      <c r="M12" s="424"/>
      <c r="N12" s="425"/>
      <c r="O12" s="417"/>
      <c r="P12" s="429"/>
      <c r="Q12" s="425"/>
      <c r="R12" s="407"/>
      <c r="S12" s="431"/>
      <c r="T12" s="416"/>
      <c r="U12" s="417"/>
      <c r="V12" s="409"/>
    </row>
    <row r="13" spans="2:22" ht="15.75" thickBot="1" x14ac:dyDescent="0.3">
      <c r="B13" s="403"/>
      <c r="C13" s="405"/>
      <c r="D13" s="405"/>
      <c r="E13" s="407"/>
      <c r="F13" s="407"/>
      <c r="G13" s="405"/>
      <c r="H13" s="405"/>
      <c r="I13" s="405"/>
      <c r="J13" s="405"/>
      <c r="K13" s="407"/>
      <c r="L13" s="407"/>
      <c r="M13" s="426"/>
      <c r="N13" s="427"/>
      <c r="O13" s="417"/>
      <c r="P13" s="429"/>
      <c r="Q13" s="425"/>
      <c r="R13" s="432"/>
      <c r="S13" s="433"/>
      <c r="T13" s="418"/>
      <c r="U13" s="419"/>
      <c r="V13" s="410"/>
    </row>
    <row r="14" spans="2:22" ht="16.5" thickBot="1" x14ac:dyDescent="0.3">
      <c r="B14" s="92">
        <v>1</v>
      </c>
      <c r="C14" s="401">
        <v>0.15</v>
      </c>
      <c r="D14" s="401"/>
      <c r="E14" s="401">
        <v>70</v>
      </c>
      <c r="F14" s="401"/>
      <c r="G14" s="394">
        <v>17.73</v>
      </c>
      <c r="H14" s="395"/>
      <c r="I14" s="394">
        <v>41.28</v>
      </c>
      <c r="J14" s="395"/>
      <c r="K14" s="401">
        <v>0.3</v>
      </c>
      <c r="L14" s="401"/>
      <c r="M14" s="394">
        <f t="shared" ref="M14:M25" si="0">(K14/C14)</f>
        <v>2</v>
      </c>
      <c r="N14" s="395"/>
      <c r="O14" s="77" t="s">
        <v>7</v>
      </c>
      <c r="P14" s="396">
        <f>R14/(G14*K14*C14^2*PI()/4)</f>
        <v>6.5422399999999996</v>
      </c>
      <c r="Q14" s="397"/>
      <c r="R14" s="398">
        <f>PI()*G14*K14^3/3*(3*C14^2+1.333*K14^2+3.464*K14)</f>
        <v>0.61493450375267567</v>
      </c>
      <c r="S14" s="399"/>
      <c r="T14" s="420">
        <f>55.5/100</f>
        <v>0.55500000000000005</v>
      </c>
      <c r="U14" s="421"/>
      <c r="V14" s="113">
        <f>(R14-T14)/R14*100</f>
        <v>9.7464857455422678</v>
      </c>
    </row>
    <row r="15" spans="2:22" ht="16.5" thickBot="1" x14ac:dyDescent="0.3">
      <c r="B15" s="92">
        <v>2</v>
      </c>
      <c r="C15" s="401">
        <v>0.15</v>
      </c>
      <c r="D15" s="401"/>
      <c r="E15" s="401">
        <v>85</v>
      </c>
      <c r="F15" s="401"/>
      <c r="G15" s="394">
        <v>18.149999999999999</v>
      </c>
      <c r="H15" s="395"/>
      <c r="I15" s="394">
        <v>46.45</v>
      </c>
      <c r="J15" s="395"/>
      <c r="K15" s="401">
        <v>0.3</v>
      </c>
      <c r="L15" s="401"/>
      <c r="M15" s="394">
        <f t="shared" si="0"/>
        <v>2</v>
      </c>
      <c r="N15" s="395"/>
      <c r="O15" s="77" t="s">
        <v>7</v>
      </c>
      <c r="P15" s="396">
        <f>R15/(G15*K15*C15^2*PI()/4)</f>
        <v>6.5422400000000005</v>
      </c>
      <c r="Q15" s="397"/>
      <c r="R15" s="398">
        <f t="shared" ref="R15:R25" si="1">PI()*G15*K15^3/3*(3*C15^2+1.333*K15^2+3.464*K15)</f>
        <v>0.62950148015290819</v>
      </c>
      <c r="S15" s="399"/>
      <c r="T15" s="400">
        <f>66.6/100</f>
        <v>0.66599999999999993</v>
      </c>
      <c r="U15" s="400"/>
      <c r="V15" s="114">
        <f t="shared" ref="V15:V25" si="2">(R15-T15)/R15*100</f>
        <v>-5.7980038169610202</v>
      </c>
    </row>
    <row r="16" spans="2:22" ht="16.5" thickBot="1" x14ac:dyDescent="0.3">
      <c r="B16" s="92">
        <v>3</v>
      </c>
      <c r="C16" s="401">
        <v>0.15</v>
      </c>
      <c r="D16" s="401"/>
      <c r="E16" s="401">
        <v>70</v>
      </c>
      <c r="F16" s="401"/>
      <c r="G16" s="394">
        <v>17.73</v>
      </c>
      <c r="H16" s="395"/>
      <c r="I16" s="394">
        <v>41.28</v>
      </c>
      <c r="J16" s="395"/>
      <c r="K16" s="401">
        <v>0.45</v>
      </c>
      <c r="L16" s="401"/>
      <c r="M16" s="394">
        <f t="shared" si="0"/>
        <v>3</v>
      </c>
      <c r="N16" s="395"/>
      <c r="O16" s="77" t="s">
        <v>7</v>
      </c>
      <c r="P16" s="396">
        <f t="shared" ref="P16:P25" si="3">R16/(G16*K16*C16^2*PI()/4)</f>
        <v>22.754790000000003</v>
      </c>
      <c r="Q16" s="397"/>
      <c r="R16" s="398">
        <f t="shared" si="1"/>
        <v>3.2082372772887453</v>
      </c>
      <c r="S16" s="399"/>
      <c r="T16" s="400">
        <f>105.45/100</f>
        <v>1.0545</v>
      </c>
      <c r="U16" s="400"/>
      <c r="V16" s="114">
        <f t="shared" si="2"/>
        <v>67.131483463992751</v>
      </c>
    </row>
    <row r="17" spans="2:22" ht="16.5" thickBot="1" x14ac:dyDescent="0.3">
      <c r="B17" s="92">
        <v>4</v>
      </c>
      <c r="C17" s="401">
        <v>0.15</v>
      </c>
      <c r="D17" s="401"/>
      <c r="E17" s="401">
        <v>85</v>
      </c>
      <c r="F17" s="401"/>
      <c r="G17" s="394">
        <v>18.149999999999999</v>
      </c>
      <c r="H17" s="395"/>
      <c r="I17" s="394">
        <v>46.45</v>
      </c>
      <c r="J17" s="395"/>
      <c r="K17" s="401">
        <v>0.45</v>
      </c>
      <c r="L17" s="401"/>
      <c r="M17" s="394">
        <f t="shared" si="0"/>
        <v>3</v>
      </c>
      <c r="N17" s="395"/>
      <c r="O17" s="77" t="s">
        <v>7</v>
      </c>
      <c r="P17" s="396">
        <f t="shared" si="3"/>
        <v>22.75479</v>
      </c>
      <c r="Q17" s="397"/>
      <c r="R17" s="398">
        <f t="shared" si="1"/>
        <v>3.2842361298810339</v>
      </c>
      <c r="S17" s="399"/>
      <c r="T17" s="400">
        <f>133.2/100</f>
        <v>1.3319999999999999</v>
      </c>
      <c r="U17" s="400"/>
      <c r="V17" s="114">
        <f t="shared" si="2"/>
        <v>59.442623875882838</v>
      </c>
    </row>
    <row r="18" spans="2:22" ht="16.5" thickBot="1" x14ac:dyDescent="0.3">
      <c r="B18" s="92">
        <v>5</v>
      </c>
      <c r="C18" s="401">
        <v>0.15</v>
      </c>
      <c r="D18" s="401"/>
      <c r="E18" s="401">
        <v>70</v>
      </c>
      <c r="F18" s="401"/>
      <c r="G18" s="394">
        <v>17.73</v>
      </c>
      <c r="H18" s="395"/>
      <c r="I18" s="394">
        <v>41.28</v>
      </c>
      <c r="J18" s="395"/>
      <c r="K18" s="401">
        <v>0.6</v>
      </c>
      <c r="L18" s="401"/>
      <c r="M18" s="394">
        <f t="shared" si="0"/>
        <v>4</v>
      </c>
      <c r="N18" s="395"/>
      <c r="O18" s="77" t="s">
        <v>7</v>
      </c>
      <c r="P18" s="396">
        <f t="shared" si="3"/>
        <v>56.016640000000002</v>
      </c>
      <c r="Q18" s="397"/>
      <c r="R18" s="398">
        <f t="shared" si="1"/>
        <v>10.530510870983726</v>
      </c>
      <c r="S18" s="399"/>
      <c r="T18" s="400">
        <f>294.15/100</f>
        <v>2.9414999999999996</v>
      </c>
      <c r="U18" s="400"/>
      <c r="V18" s="114">
        <f t="shared" si="2"/>
        <v>72.066882262045326</v>
      </c>
    </row>
    <row r="19" spans="2:22" ht="16.5" thickBot="1" x14ac:dyDescent="0.3">
      <c r="B19" s="92">
        <v>6</v>
      </c>
      <c r="C19" s="401">
        <v>0.15</v>
      </c>
      <c r="D19" s="401"/>
      <c r="E19" s="401">
        <v>85</v>
      </c>
      <c r="F19" s="401"/>
      <c r="G19" s="394">
        <v>18.149999999999999</v>
      </c>
      <c r="H19" s="395"/>
      <c r="I19" s="394">
        <v>46.45</v>
      </c>
      <c r="J19" s="395"/>
      <c r="K19" s="401">
        <v>0.6</v>
      </c>
      <c r="L19" s="401"/>
      <c r="M19" s="394">
        <f t="shared" si="0"/>
        <v>4</v>
      </c>
      <c r="N19" s="395"/>
      <c r="O19" s="77" t="s">
        <v>7</v>
      </c>
      <c r="P19" s="396">
        <f t="shared" si="3"/>
        <v>56.016639999999995</v>
      </c>
      <c r="Q19" s="397"/>
      <c r="R19" s="398">
        <f t="shared" si="1"/>
        <v>10.779964597199919</v>
      </c>
      <c r="S19" s="399"/>
      <c r="T19" s="400">
        <f>327.45/100</f>
        <v>3.2744999999999997</v>
      </c>
      <c r="U19" s="400"/>
      <c r="V19" s="114">
        <f t="shared" si="2"/>
        <v>69.624204509442023</v>
      </c>
    </row>
    <row r="20" spans="2:22" ht="16.5" thickBot="1" x14ac:dyDescent="0.3">
      <c r="B20" s="92">
        <v>7</v>
      </c>
      <c r="C20" s="401">
        <v>0.3</v>
      </c>
      <c r="D20" s="401"/>
      <c r="E20" s="401">
        <v>70</v>
      </c>
      <c r="F20" s="401"/>
      <c r="G20" s="394">
        <v>17.73</v>
      </c>
      <c r="H20" s="395"/>
      <c r="I20" s="394">
        <v>41.28</v>
      </c>
      <c r="J20" s="395"/>
      <c r="K20" s="401">
        <v>0.3</v>
      </c>
      <c r="L20" s="401"/>
      <c r="M20" s="394">
        <f t="shared" si="0"/>
        <v>1</v>
      </c>
      <c r="N20" s="395"/>
      <c r="O20" s="77" t="s">
        <v>7</v>
      </c>
      <c r="P20" s="396">
        <f t="shared" si="3"/>
        <v>1.9055600000000001</v>
      </c>
      <c r="Q20" s="397"/>
      <c r="R20" s="398">
        <f t="shared" si="1"/>
        <v>0.71644855154867371</v>
      </c>
      <c r="S20" s="399"/>
      <c r="T20" s="400">
        <f>99.9/100</f>
        <v>0.99900000000000011</v>
      </c>
      <c r="U20" s="400"/>
      <c r="V20" s="114">
        <f t="shared" si="2"/>
        <v>-39.437786264005112</v>
      </c>
    </row>
    <row r="21" spans="2:22" ht="16.5" thickBot="1" x14ac:dyDescent="0.3">
      <c r="B21" s="92">
        <v>8</v>
      </c>
      <c r="C21" s="401">
        <v>0.3</v>
      </c>
      <c r="D21" s="401"/>
      <c r="E21" s="401">
        <v>85</v>
      </c>
      <c r="F21" s="401"/>
      <c r="G21" s="394">
        <v>18.149999999999999</v>
      </c>
      <c r="H21" s="395"/>
      <c r="I21" s="394">
        <v>46.45</v>
      </c>
      <c r="J21" s="395"/>
      <c r="K21" s="401">
        <v>0.3</v>
      </c>
      <c r="L21" s="401"/>
      <c r="M21" s="394">
        <f t="shared" si="0"/>
        <v>1</v>
      </c>
      <c r="N21" s="395"/>
      <c r="O21" s="77" t="s">
        <v>7</v>
      </c>
      <c r="P21" s="396">
        <f t="shared" si="3"/>
        <v>1.9055600000000001</v>
      </c>
      <c r="Q21" s="397"/>
      <c r="R21" s="398">
        <f t="shared" si="1"/>
        <v>0.73342026004559646</v>
      </c>
      <c r="S21" s="399"/>
      <c r="T21" s="400">
        <f>116.55/100</f>
        <v>1.1655</v>
      </c>
      <c r="U21" s="400"/>
      <c r="V21" s="114">
        <f t="shared" si="2"/>
        <v>-58.912981205010794</v>
      </c>
    </row>
    <row r="22" spans="2:22" ht="16.5" thickBot="1" x14ac:dyDescent="0.3">
      <c r="B22" s="92">
        <v>9</v>
      </c>
      <c r="C22" s="401">
        <v>0.3</v>
      </c>
      <c r="D22" s="401"/>
      <c r="E22" s="401">
        <v>70</v>
      </c>
      <c r="F22" s="401"/>
      <c r="G22" s="394">
        <v>17.73</v>
      </c>
      <c r="H22" s="395"/>
      <c r="I22" s="394">
        <v>41.28</v>
      </c>
      <c r="J22" s="395"/>
      <c r="K22" s="401">
        <v>0.45</v>
      </c>
      <c r="L22" s="401"/>
      <c r="M22" s="394">
        <f t="shared" si="0"/>
        <v>1.5</v>
      </c>
      <c r="N22" s="395"/>
      <c r="O22" s="77" t="s">
        <v>7</v>
      </c>
      <c r="P22" s="396">
        <f t="shared" si="3"/>
        <v>6.2961975000000017</v>
      </c>
      <c r="Q22" s="397"/>
      <c r="R22" s="398">
        <f t="shared" si="1"/>
        <v>3.5508471886002386</v>
      </c>
      <c r="S22" s="399"/>
      <c r="T22" s="400">
        <f>194.25/100</f>
        <v>1.9424999999999999</v>
      </c>
      <c r="U22" s="400"/>
      <c r="V22" s="114">
        <f t="shared" si="2"/>
        <v>45.294745258645079</v>
      </c>
    </row>
    <row r="23" spans="2:22" ht="16.5" thickBot="1" x14ac:dyDescent="0.3">
      <c r="B23" s="92">
        <v>10</v>
      </c>
      <c r="C23" s="401">
        <v>0.3</v>
      </c>
      <c r="D23" s="401"/>
      <c r="E23" s="401">
        <v>85</v>
      </c>
      <c r="F23" s="401"/>
      <c r="G23" s="394">
        <v>18.149999999999999</v>
      </c>
      <c r="H23" s="395"/>
      <c r="I23" s="394">
        <v>46.45</v>
      </c>
      <c r="J23" s="395"/>
      <c r="K23" s="401">
        <v>0.45</v>
      </c>
      <c r="L23" s="401"/>
      <c r="M23" s="394">
        <f t="shared" si="0"/>
        <v>1.5</v>
      </c>
      <c r="N23" s="395"/>
      <c r="O23" s="77" t="s">
        <v>7</v>
      </c>
      <c r="P23" s="396">
        <f t="shared" si="3"/>
        <v>6.2961974999999999</v>
      </c>
      <c r="Q23" s="397"/>
      <c r="R23" s="398">
        <f t="shared" si="1"/>
        <v>3.6349620120188568</v>
      </c>
      <c r="S23" s="399"/>
      <c r="T23" s="400">
        <f>216.45/100</f>
        <v>2.1644999999999999</v>
      </c>
      <c r="U23" s="400"/>
      <c r="V23" s="114">
        <f t="shared" si="2"/>
        <v>40.453297920496361</v>
      </c>
    </row>
    <row r="24" spans="2:22" ht="16.5" thickBot="1" x14ac:dyDescent="0.3">
      <c r="B24" s="92">
        <v>11</v>
      </c>
      <c r="C24" s="401">
        <v>0.3</v>
      </c>
      <c r="D24" s="401"/>
      <c r="E24" s="401">
        <v>70</v>
      </c>
      <c r="F24" s="401"/>
      <c r="G24" s="394">
        <v>17.73</v>
      </c>
      <c r="H24" s="395"/>
      <c r="I24" s="394">
        <v>41.28</v>
      </c>
      <c r="J24" s="395"/>
      <c r="K24" s="401">
        <v>0.6</v>
      </c>
      <c r="L24" s="401"/>
      <c r="M24" s="394">
        <f t="shared" si="0"/>
        <v>2</v>
      </c>
      <c r="N24" s="395"/>
      <c r="O24" s="77" t="s">
        <v>7</v>
      </c>
      <c r="P24" s="396">
        <f t="shared" si="3"/>
        <v>15.084160000000001</v>
      </c>
      <c r="Q24" s="397"/>
      <c r="R24" s="398">
        <f t="shared" si="1"/>
        <v>11.342623253351709</v>
      </c>
      <c r="S24" s="399"/>
      <c r="T24" s="400">
        <f>410.7/100</f>
        <v>4.1070000000000002</v>
      </c>
      <c r="U24" s="400"/>
      <c r="V24" s="114">
        <f t="shared" si="2"/>
        <v>63.791444816027067</v>
      </c>
    </row>
    <row r="25" spans="2:22" ht="16.5" thickBot="1" x14ac:dyDescent="0.3">
      <c r="B25" s="93">
        <v>12</v>
      </c>
      <c r="C25" s="393">
        <v>0.3</v>
      </c>
      <c r="D25" s="393"/>
      <c r="E25" s="393">
        <v>85</v>
      </c>
      <c r="F25" s="393"/>
      <c r="G25" s="386">
        <v>18.149999999999999</v>
      </c>
      <c r="H25" s="387"/>
      <c r="I25" s="386">
        <v>46.45</v>
      </c>
      <c r="J25" s="387"/>
      <c r="K25" s="393">
        <v>0.6</v>
      </c>
      <c r="L25" s="393"/>
      <c r="M25" s="386">
        <f t="shared" si="0"/>
        <v>2</v>
      </c>
      <c r="N25" s="387"/>
      <c r="O25" s="94" t="s">
        <v>7</v>
      </c>
      <c r="P25" s="388">
        <f t="shared" si="3"/>
        <v>15.084159999999999</v>
      </c>
      <c r="Q25" s="389"/>
      <c r="R25" s="390">
        <f t="shared" si="1"/>
        <v>11.611314836341425</v>
      </c>
      <c r="S25" s="391"/>
      <c r="T25" s="392">
        <f>466.2/100</f>
        <v>4.6619999999999999</v>
      </c>
      <c r="U25" s="392"/>
      <c r="V25" s="115">
        <f t="shared" si="2"/>
        <v>59.849508296780144</v>
      </c>
    </row>
    <row r="26" spans="2:22" ht="15.75" thickBot="1" x14ac:dyDescent="0.3"/>
    <row r="27" spans="2:22" x14ac:dyDescent="0.25">
      <c r="B27" s="237" t="s">
        <v>42</v>
      </c>
      <c r="C27" s="233" t="s">
        <v>43</v>
      </c>
      <c r="D27" s="235" t="s">
        <v>52</v>
      </c>
      <c r="E27" s="235"/>
      <c r="F27" s="233" t="s">
        <v>44</v>
      </c>
      <c r="G27" s="235" t="s">
        <v>51</v>
      </c>
      <c r="H27" s="233" t="s">
        <v>45</v>
      </c>
      <c r="I27" s="342" t="s">
        <v>46</v>
      </c>
      <c r="J27" s="408" t="s">
        <v>67</v>
      </c>
    </row>
    <row r="28" spans="2:22" x14ac:dyDescent="0.25">
      <c r="B28" s="238"/>
      <c r="C28" s="234"/>
      <c r="D28" s="236"/>
      <c r="E28" s="236"/>
      <c r="F28" s="234"/>
      <c r="G28" s="236"/>
      <c r="H28" s="234"/>
      <c r="I28" s="343"/>
      <c r="J28" s="409"/>
    </row>
    <row r="29" spans="2:22" ht="15.75" thickBot="1" x14ac:dyDescent="0.3">
      <c r="B29" s="339"/>
      <c r="C29" s="340"/>
      <c r="D29" s="341"/>
      <c r="E29" s="341"/>
      <c r="F29" s="340"/>
      <c r="G29" s="341"/>
      <c r="H29" s="340"/>
      <c r="I29" s="344"/>
      <c r="J29" s="410"/>
    </row>
    <row r="30" spans="2:22" ht="15.75" thickBot="1" x14ac:dyDescent="0.3">
      <c r="B30" s="78">
        <v>1</v>
      </c>
      <c r="C30" s="243">
        <v>70</v>
      </c>
      <c r="D30" s="246">
        <v>0.15</v>
      </c>
      <c r="E30" s="247"/>
      <c r="F30" s="197">
        <v>0.3</v>
      </c>
      <c r="G30" s="79">
        <f t="shared" ref="G30:G41" si="4">F30/D30</f>
        <v>2</v>
      </c>
      <c r="H30" s="80">
        <v>0.61</v>
      </c>
      <c r="I30" s="81">
        <v>0.56000000000000005</v>
      </c>
      <c r="J30" s="207">
        <f>(H30-I30)/H30*100</f>
        <v>8.1967213114754003</v>
      </c>
    </row>
    <row r="31" spans="2:22" ht="15.75" thickBot="1" x14ac:dyDescent="0.3">
      <c r="B31" s="82">
        <v>2</v>
      </c>
      <c r="C31" s="244"/>
      <c r="D31" s="248">
        <v>0.15</v>
      </c>
      <c r="E31" s="249"/>
      <c r="F31" s="198">
        <v>0.45</v>
      </c>
      <c r="G31" s="83">
        <f t="shared" si="4"/>
        <v>3</v>
      </c>
      <c r="H31" s="84">
        <v>3.21</v>
      </c>
      <c r="I31" s="85">
        <v>1.05</v>
      </c>
      <c r="J31" s="207">
        <f t="shared" ref="J31:J41" si="5">(H31-I31)/H31*100</f>
        <v>67.289719626168235</v>
      </c>
    </row>
    <row r="32" spans="2:22" ht="15.75" thickBot="1" x14ac:dyDescent="0.3">
      <c r="B32" s="82">
        <v>3</v>
      </c>
      <c r="C32" s="244"/>
      <c r="D32" s="248">
        <v>0.15</v>
      </c>
      <c r="E32" s="249"/>
      <c r="F32" s="198">
        <v>0.6</v>
      </c>
      <c r="G32" s="83">
        <f t="shared" si="4"/>
        <v>4</v>
      </c>
      <c r="H32" s="84">
        <v>10.53</v>
      </c>
      <c r="I32" s="85">
        <v>2.94</v>
      </c>
      <c r="J32" s="207">
        <f t="shared" si="5"/>
        <v>72.079772079772084</v>
      </c>
    </row>
    <row r="33" spans="2:10" ht="15.75" thickBot="1" x14ac:dyDescent="0.3">
      <c r="B33" s="82">
        <v>4</v>
      </c>
      <c r="C33" s="244"/>
      <c r="D33" s="239">
        <v>0.3</v>
      </c>
      <c r="E33" s="240"/>
      <c r="F33" s="198">
        <v>0.3</v>
      </c>
      <c r="G33" s="83">
        <f t="shared" si="4"/>
        <v>1</v>
      </c>
      <c r="H33" s="84">
        <v>0.72</v>
      </c>
      <c r="I33" s="85">
        <v>1</v>
      </c>
      <c r="J33" s="207">
        <f t="shared" si="5"/>
        <v>-38.888888888888893</v>
      </c>
    </row>
    <row r="34" spans="2:10" ht="15.75" thickBot="1" x14ac:dyDescent="0.3">
      <c r="B34" s="82">
        <v>5</v>
      </c>
      <c r="C34" s="244"/>
      <c r="D34" s="239">
        <v>0.3</v>
      </c>
      <c r="E34" s="240"/>
      <c r="F34" s="198">
        <v>0.45</v>
      </c>
      <c r="G34" s="83">
        <f t="shared" si="4"/>
        <v>1.5</v>
      </c>
      <c r="H34" s="84">
        <v>3.55</v>
      </c>
      <c r="I34" s="85">
        <v>1.94</v>
      </c>
      <c r="J34" s="207">
        <f t="shared" si="5"/>
        <v>45.352112676056336</v>
      </c>
    </row>
    <row r="35" spans="2:10" ht="15.75" thickBot="1" x14ac:dyDescent="0.3">
      <c r="B35" s="86">
        <v>6</v>
      </c>
      <c r="C35" s="245"/>
      <c r="D35" s="241">
        <v>0.3</v>
      </c>
      <c r="E35" s="242"/>
      <c r="F35" s="87">
        <v>0.6</v>
      </c>
      <c r="G35" s="88">
        <f t="shared" si="4"/>
        <v>2</v>
      </c>
      <c r="H35" s="89">
        <v>11.34</v>
      </c>
      <c r="I35" s="90">
        <v>4.1100000000000003</v>
      </c>
      <c r="J35" s="207">
        <f t="shared" si="5"/>
        <v>63.756613756613753</v>
      </c>
    </row>
    <row r="36" spans="2:10" ht="15.75" thickBot="1" x14ac:dyDescent="0.3">
      <c r="B36" s="200">
        <v>7</v>
      </c>
      <c r="C36" s="411">
        <v>85</v>
      </c>
      <c r="D36" s="412">
        <v>0.15</v>
      </c>
      <c r="E36" s="413"/>
      <c r="F36" s="201">
        <v>0.3</v>
      </c>
      <c r="G36" s="202">
        <f t="shared" si="4"/>
        <v>2</v>
      </c>
      <c r="H36" s="203">
        <v>0.63</v>
      </c>
      <c r="I36" s="199">
        <v>0.67</v>
      </c>
      <c r="J36" s="207">
        <f t="shared" si="5"/>
        <v>-6.3492063492063542</v>
      </c>
    </row>
    <row r="37" spans="2:10" ht="15.75" thickBot="1" x14ac:dyDescent="0.3">
      <c r="B37" s="82">
        <v>8</v>
      </c>
      <c r="C37" s="244"/>
      <c r="D37" s="248">
        <v>0.15</v>
      </c>
      <c r="E37" s="249"/>
      <c r="F37" s="91">
        <v>0.45</v>
      </c>
      <c r="G37" s="83">
        <f t="shared" si="4"/>
        <v>3</v>
      </c>
      <c r="H37" s="84">
        <v>3.28</v>
      </c>
      <c r="I37" s="85">
        <v>1.3320000000000001</v>
      </c>
      <c r="J37" s="207">
        <f t="shared" si="5"/>
        <v>59.390243902439025</v>
      </c>
    </row>
    <row r="38" spans="2:10" ht="15.75" thickBot="1" x14ac:dyDescent="0.3">
      <c r="B38" s="82">
        <v>9</v>
      </c>
      <c r="C38" s="244"/>
      <c r="D38" s="248">
        <v>0.15</v>
      </c>
      <c r="E38" s="249"/>
      <c r="F38" s="91">
        <v>0.6</v>
      </c>
      <c r="G38" s="83">
        <f t="shared" si="4"/>
        <v>4</v>
      </c>
      <c r="H38" s="84">
        <v>10.78</v>
      </c>
      <c r="I38" s="85">
        <v>3.27</v>
      </c>
      <c r="J38" s="207">
        <f t="shared" si="5"/>
        <v>69.666048237476801</v>
      </c>
    </row>
    <row r="39" spans="2:10" ht="15.75" thickBot="1" x14ac:dyDescent="0.3">
      <c r="B39" s="82">
        <v>10</v>
      </c>
      <c r="C39" s="244"/>
      <c r="D39" s="239">
        <v>0.3</v>
      </c>
      <c r="E39" s="240"/>
      <c r="F39" s="91">
        <v>0.3</v>
      </c>
      <c r="G39" s="83">
        <f t="shared" si="4"/>
        <v>1</v>
      </c>
      <c r="H39" s="84">
        <v>0.73</v>
      </c>
      <c r="I39" s="85">
        <v>1.17</v>
      </c>
      <c r="J39" s="207">
        <f t="shared" si="5"/>
        <v>-60.273972602739725</v>
      </c>
    </row>
    <row r="40" spans="2:10" ht="15.75" thickBot="1" x14ac:dyDescent="0.3">
      <c r="B40" s="82">
        <v>11</v>
      </c>
      <c r="C40" s="244"/>
      <c r="D40" s="239">
        <v>0.3</v>
      </c>
      <c r="E40" s="240"/>
      <c r="F40" s="91">
        <v>0.45</v>
      </c>
      <c r="G40" s="83">
        <f t="shared" si="4"/>
        <v>1.5</v>
      </c>
      <c r="H40" s="84">
        <v>3.63</v>
      </c>
      <c r="I40" s="85">
        <v>2.16</v>
      </c>
      <c r="J40" s="207">
        <f t="shared" si="5"/>
        <v>40.495867768595033</v>
      </c>
    </row>
    <row r="41" spans="2:10" ht="15.75" thickBot="1" x14ac:dyDescent="0.3">
      <c r="B41" s="86">
        <v>12</v>
      </c>
      <c r="C41" s="245"/>
      <c r="D41" s="241">
        <v>0.3</v>
      </c>
      <c r="E41" s="242"/>
      <c r="F41" s="87">
        <v>0.6</v>
      </c>
      <c r="G41" s="88">
        <f t="shared" si="4"/>
        <v>2</v>
      </c>
      <c r="H41" s="89">
        <v>11.61</v>
      </c>
      <c r="I41" s="90">
        <v>4.66</v>
      </c>
      <c r="J41" s="207">
        <f t="shared" si="5"/>
        <v>59.862187769164507</v>
      </c>
    </row>
  </sheetData>
  <mergeCells count="143">
    <mergeCell ref="V11:V13"/>
    <mergeCell ref="C30:C35"/>
    <mergeCell ref="D30:E30"/>
    <mergeCell ref="D31:E31"/>
    <mergeCell ref="D32:E32"/>
    <mergeCell ref="D33:E33"/>
    <mergeCell ref="D34:E34"/>
    <mergeCell ref="D35:E35"/>
    <mergeCell ref="C36:C41"/>
    <mergeCell ref="D36:E36"/>
    <mergeCell ref="D37:E37"/>
    <mergeCell ref="D38:E38"/>
    <mergeCell ref="D39:E39"/>
    <mergeCell ref="D40:E40"/>
    <mergeCell ref="D41:E41"/>
    <mergeCell ref="T11:U13"/>
    <mergeCell ref="M14:N14"/>
    <mergeCell ref="P14:Q14"/>
    <mergeCell ref="R14:S14"/>
    <mergeCell ref="T14:U14"/>
    <mergeCell ref="M11:N13"/>
    <mergeCell ref="O11:O13"/>
    <mergeCell ref="P11:Q13"/>
    <mergeCell ref="R11:S13"/>
    <mergeCell ref="B11:B13"/>
    <mergeCell ref="C11:D13"/>
    <mergeCell ref="E11:F13"/>
    <mergeCell ref="G11:H13"/>
    <mergeCell ref="I11:J13"/>
    <mergeCell ref="G4:K4"/>
    <mergeCell ref="B27:B29"/>
    <mergeCell ref="C27:C29"/>
    <mergeCell ref="D27:E29"/>
    <mergeCell ref="F27:F29"/>
    <mergeCell ref="G27:G29"/>
    <mergeCell ref="H27:H29"/>
    <mergeCell ref="I27:I29"/>
    <mergeCell ref="C14:D14"/>
    <mergeCell ref="E14:F14"/>
    <mergeCell ref="G14:H14"/>
    <mergeCell ref="I14:J14"/>
    <mergeCell ref="K14:L14"/>
    <mergeCell ref="K11:L13"/>
    <mergeCell ref="J27:J29"/>
    <mergeCell ref="M15:N15"/>
    <mergeCell ref="P15:Q15"/>
    <mergeCell ref="R15:S15"/>
    <mergeCell ref="T15:U15"/>
    <mergeCell ref="C16:D16"/>
    <mergeCell ref="E16:F16"/>
    <mergeCell ref="G16:H16"/>
    <mergeCell ref="I16:J16"/>
    <mergeCell ref="K16:L16"/>
    <mergeCell ref="M16:N16"/>
    <mergeCell ref="P16:Q16"/>
    <mergeCell ref="R16:S16"/>
    <mergeCell ref="T16:U16"/>
    <mergeCell ref="C15:D15"/>
    <mergeCell ref="E15:F15"/>
    <mergeCell ref="G15:H15"/>
    <mergeCell ref="I15:J15"/>
    <mergeCell ref="K15:L15"/>
    <mergeCell ref="M17:N17"/>
    <mergeCell ref="P17:Q17"/>
    <mergeCell ref="R17:S17"/>
    <mergeCell ref="T17:U17"/>
    <mergeCell ref="C18:D18"/>
    <mergeCell ref="E18:F18"/>
    <mergeCell ref="G18:H18"/>
    <mergeCell ref="I18:J18"/>
    <mergeCell ref="K18:L18"/>
    <mergeCell ref="M18:N18"/>
    <mergeCell ref="P18:Q18"/>
    <mergeCell ref="R18:S18"/>
    <mergeCell ref="T18:U18"/>
    <mergeCell ref="C17:D17"/>
    <mergeCell ref="E17:F17"/>
    <mergeCell ref="G17:H17"/>
    <mergeCell ref="I17:J17"/>
    <mergeCell ref="K17:L17"/>
    <mergeCell ref="M19:N19"/>
    <mergeCell ref="P19:Q19"/>
    <mergeCell ref="R19:S19"/>
    <mergeCell ref="T19:U19"/>
    <mergeCell ref="C20:D20"/>
    <mergeCell ref="E20:F20"/>
    <mergeCell ref="G20:H20"/>
    <mergeCell ref="I20:J20"/>
    <mergeCell ref="K20:L20"/>
    <mergeCell ref="M20:N20"/>
    <mergeCell ref="P20:Q20"/>
    <mergeCell ref="R20:S20"/>
    <mergeCell ref="T20:U20"/>
    <mergeCell ref="C19:D19"/>
    <mergeCell ref="E19:F19"/>
    <mergeCell ref="G19:H19"/>
    <mergeCell ref="I19:J19"/>
    <mergeCell ref="K19:L19"/>
    <mergeCell ref="M21:N21"/>
    <mergeCell ref="P21:Q21"/>
    <mergeCell ref="R21:S21"/>
    <mergeCell ref="T21:U21"/>
    <mergeCell ref="C22:D22"/>
    <mergeCell ref="E22:F22"/>
    <mergeCell ref="G22:H22"/>
    <mergeCell ref="I22:J22"/>
    <mergeCell ref="K22:L22"/>
    <mergeCell ref="M22:N22"/>
    <mergeCell ref="P22:Q22"/>
    <mergeCell ref="R22:S22"/>
    <mergeCell ref="T22:U22"/>
    <mergeCell ref="C21:D21"/>
    <mergeCell ref="E21:F21"/>
    <mergeCell ref="G21:H21"/>
    <mergeCell ref="I21:J21"/>
    <mergeCell ref="K21:L21"/>
    <mergeCell ref="M23:N23"/>
    <mergeCell ref="P23:Q23"/>
    <mergeCell ref="R23:S23"/>
    <mergeCell ref="T23:U23"/>
    <mergeCell ref="C24:D24"/>
    <mergeCell ref="E24:F24"/>
    <mergeCell ref="G24:H24"/>
    <mergeCell ref="I24:J24"/>
    <mergeCell ref="K24:L24"/>
    <mergeCell ref="M24:N24"/>
    <mergeCell ref="P24:Q24"/>
    <mergeCell ref="R24:S24"/>
    <mergeCell ref="T24:U24"/>
    <mergeCell ref="C23:D23"/>
    <mergeCell ref="E23:F23"/>
    <mergeCell ref="G23:H23"/>
    <mergeCell ref="I23:J23"/>
    <mergeCell ref="K23:L23"/>
    <mergeCell ref="M25:N25"/>
    <mergeCell ref="P25:Q25"/>
    <mergeCell ref="R25:S25"/>
    <mergeCell ref="T25:U25"/>
    <mergeCell ref="C25:D25"/>
    <mergeCell ref="E25:F25"/>
    <mergeCell ref="G25:H25"/>
    <mergeCell ref="I25:J25"/>
    <mergeCell ref="K25:L2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D46"/>
  <sheetViews>
    <sheetView topLeftCell="L11" zoomScale="80" zoomScaleNormal="80" workbookViewId="0">
      <selection activeCell="Z19" sqref="Z19:AA19"/>
    </sheetView>
  </sheetViews>
  <sheetFormatPr defaultRowHeight="15" x14ac:dyDescent="0.25"/>
  <cols>
    <col min="2" max="2" width="9.7109375" customWidth="1"/>
    <col min="5" max="5" width="11.140625" customWidth="1"/>
    <col min="6" max="6" width="12" customWidth="1"/>
    <col min="7" max="7" width="10" customWidth="1"/>
    <col min="8" max="8" width="9.85546875" customWidth="1"/>
    <col min="9" max="9" width="12.42578125" customWidth="1"/>
    <col min="10" max="10" width="10.28515625" customWidth="1"/>
    <col min="11" max="11" width="12.28515625" customWidth="1"/>
    <col min="12" max="12" width="6.28515625" customWidth="1"/>
    <col min="13" max="13" width="12.7109375" customWidth="1"/>
    <col min="14" max="14" width="6.85546875" customWidth="1"/>
    <col min="15" max="15" width="13.42578125" customWidth="1"/>
    <col min="16" max="16" width="8.7109375" customWidth="1"/>
    <col min="17" max="17" width="10.85546875" customWidth="1"/>
    <col min="18" max="18" width="4.7109375" customWidth="1"/>
    <col min="20" max="20" width="11.7109375" customWidth="1"/>
    <col min="22" max="22" width="14" customWidth="1"/>
    <col min="23" max="23" width="18" customWidth="1"/>
    <col min="30" max="30" width="10.5703125" customWidth="1"/>
  </cols>
  <sheetData>
    <row r="1" spans="1:30" ht="15" customHeight="1" thickBot="1" x14ac:dyDescent="0.3"/>
    <row r="2" spans="1:30" ht="15" customHeight="1" x14ac:dyDescent="0.25">
      <c r="E2" s="3"/>
      <c r="G2" s="444" t="s">
        <v>22</v>
      </c>
      <c r="H2" s="445"/>
      <c r="I2" s="445"/>
      <c r="J2" s="445"/>
      <c r="K2" s="445"/>
      <c r="L2" s="446"/>
    </row>
    <row r="3" spans="1:30" ht="15.75" customHeight="1" thickBot="1" x14ac:dyDescent="0.3">
      <c r="A3" s="1"/>
      <c r="B3" s="53"/>
      <c r="G3" s="447"/>
      <c r="H3" s="448"/>
      <c r="I3" s="448"/>
      <c r="J3" s="448"/>
      <c r="K3" s="448"/>
      <c r="L3" s="449"/>
    </row>
    <row r="4" spans="1:30" ht="15.75" thickBot="1" x14ac:dyDescent="0.3">
      <c r="C4" s="53"/>
      <c r="D4" s="3"/>
    </row>
    <row r="5" spans="1:30" ht="16.5" thickBot="1" x14ac:dyDescent="0.3">
      <c r="E5" s="14" t="s">
        <v>0</v>
      </c>
      <c r="F5" s="8">
        <v>70</v>
      </c>
      <c r="M5" s="60" t="s">
        <v>0</v>
      </c>
      <c r="N5" s="11">
        <v>85</v>
      </c>
    </row>
    <row r="6" spans="1:30" ht="16.5" thickBot="1" x14ac:dyDescent="0.3">
      <c r="E6" s="57" t="s">
        <v>1</v>
      </c>
      <c r="F6" s="58">
        <v>41.28</v>
      </c>
      <c r="M6" s="15" t="s">
        <v>1</v>
      </c>
      <c r="N6" s="12">
        <v>46.45</v>
      </c>
    </row>
    <row r="7" spans="1:30" ht="16.5" thickBot="1" x14ac:dyDescent="0.3">
      <c r="B7" s="52"/>
      <c r="E7" s="56" t="s">
        <v>36</v>
      </c>
      <c r="F7" s="59">
        <v>17.73</v>
      </c>
      <c r="M7" s="16" t="s">
        <v>2</v>
      </c>
      <c r="N7" s="13">
        <v>18.149999999999999</v>
      </c>
    </row>
    <row r="8" spans="1:30" x14ac:dyDescent="0.25">
      <c r="B8" s="41"/>
      <c r="C8" s="37"/>
      <c r="D8" s="37"/>
    </row>
    <row r="9" spans="1:30" ht="15.75" thickBot="1" x14ac:dyDescent="0.3">
      <c r="B9" s="2"/>
      <c r="C9" s="3"/>
      <c r="D9" s="3"/>
    </row>
    <row r="10" spans="1:30" ht="48" customHeight="1" thickBot="1" x14ac:dyDescent="0.3">
      <c r="A10" s="54"/>
      <c r="B10" s="55" t="s">
        <v>11</v>
      </c>
      <c r="C10" s="6" t="s">
        <v>13</v>
      </c>
      <c r="D10" s="379" t="s">
        <v>10</v>
      </c>
      <c r="E10" s="450"/>
      <c r="F10" s="6" t="s">
        <v>3</v>
      </c>
      <c r="G10" s="6" t="s">
        <v>4</v>
      </c>
      <c r="H10" s="6" t="s">
        <v>24</v>
      </c>
      <c r="I10" s="6" t="s">
        <v>25</v>
      </c>
      <c r="J10" s="6" t="s">
        <v>26</v>
      </c>
      <c r="K10" s="6" t="s">
        <v>18</v>
      </c>
      <c r="L10" s="6" t="s">
        <v>5</v>
      </c>
      <c r="M10" s="6" t="s">
        <v>12</v>
      </c>
      <c r="N10" s="7" t="s">
        <v>14</v>
      </c>
      <c r="O10" s="28" t="s">
        <v>23</v>
      </c>
      <c r="P10" s="28" t="s">
        <v>17</v>
      </c>
    </row>
    <row r="11" spans="1:30" ht="16.5" thickBot="1" x14ac:dyDescent="0.3">
      <c r="B11" s="22">
        <v>1</v>
      </c>
      <c r="C11" s="26">
        <v>70</v>
      </c>
      <c r="D11" s="377">
        <v>0.15</v>
      </c>
      <c r="E11" s="443"/>
      <c r="F11" s="23">
        <v>17.73</v>
      </c>
      <c r="G11" s="21">
        <v>41.28</v>
      </c>
      <c r="H11" s="21">
        <f>TAN(RADIANS(G11/2))</f>
        <v>0.37667226345013849</v>
      </c>
      <c r="I11" s="21">
        <f>H11*H11</f>
        <v>0.14188199405265053</v>
      </c>
      <c r="J11" s="21">
        <f>TAN(RADIANS(G11))</f>
        <v>0.87790318077359986</v>
      </c>
      <c r="K11" s="21">
        <f>COS(RADIANS(G11/2))*COS(RADIANS(G11/2))</f>
        <v>0.87574723588634806</v>
      </c>
      <c r="L11" s="21">
        <v>0.3</v>
      </c>
      <c r="M11" s="23">
        <f>L11/D11</f>
        <v>2</v>
      </c>
      <c r="N11" s="24">
        <f>O11/(F11*L11*D11^2*PI()/4)</f>
        <v>17.673356707863668</v>
      </c>
      <c r="O11" s="29">
        <f>PI()*F11*L11/3*(3*D11^2+4*L11^2*I11+6*L11*D11*H11)+PI()*F11*1*J11*K11*(D11*L11^2/2+L11^3*H11/3)</f>
        <v>1.6611981273683276</v>
      </c>
      <c r="P11" s="30">
        <v>0.55000000000000004</v>
      </c>
    </row>
    <row r="12" spans="1:30" ht="16.5" thickBot="1" x14ac:dyDescent="0.3">
      <c r="A12" s="54"/>
      <c r="B12" s="22">
        <v>2</v>
      </c>
      <c r="C12" s="26">
        <v>85</v>
      </c>
      <c r="D12" s="377">
        <v>0.15</v>
      </c>
      <c r="E12" s="378"/>
      <c r="F12" s="51">
        <v>18.149999999999999</v>
      </c>
      <c r="G12" s="21">
        <v>46.45</v>
      </c>
      <c r="H12" s="21">
        <f>TAN(RADIANS(G12/2))</f>
        <v>0.42911712996959278</v>
      </c>
      <c r="I12" s="21">
        <f>H12*H12</f>
        <v>0.18414151123334038</v>
      </c>
      <c r="J12" s="21">
        <f>TAN(RADIANS(G12))</f>
        <v>1.0519400996079429</v>
      </c>
      <c r="K12" s="21">
        <f>COS(RADIANS(G12/2))*COS(RADIANS(G12/2))</f>
        <v>0.84449366103081036</v>
      </c>
      <c r="L12" s="21">
        <v>0.3</v>
      </c>
      <c r="M12" s="23">
        <f>L12/D12</f>
        <v>2</v>
      </c>
      <c r="N12" s="24">
        <f>O12/(F12*L12*D12^2*PI()/4)</f>
        <v>20.380768487789034</v>
      </c>
      <c r="O12" s="29">
        <f>PI()*F12*L12/3*(3*D12^2+4*L12^2*I12+6*L12*D12*H12)+PI()*F12*1*J12*K12*(D12*L12^2/2+L12^3*H12/3)</f>
        <v>1.9610598097466534</v>
      </c>
      <c r="P12" s="31">
        <v>0.66</v>
      </c>
    </row>
    <row r="13" spans="1:30" ht="16.5" thickBot="1" x14ac:dyDescent="0.3">
      <c r="B13" s="22">
        <v>3</v>
      </c>
      <c r="C13" s="22">
        <v>70</v>
      </c>
      <c r="D13" s="377">
        <v>0.3</v>
      </c>
      <c r="E13" s="378"/>
      <c r="F13" s="51">
        <v>17.73</v>
      </c>
      <c r="G13" s="21">
        <v>41.28</v>
      </c>
      <c r="H13" s="21">
        <f>TAN(RADIANS(G13/2))</f>
        <v>0.37667226345013849</v>
      </c>
      <c r="I13" s="21">
        <f>H13*H13</f>
        <v>0.14188199405265053</v>
      </c>
      <c r="J13" s="21">
        <f>TAN(RADIANS(G13))</f>
        <v>0.87790318077359986</v>
      </c>
      <c r="K13" s="21">
        <f>COS(RADIANS(G13/2))*COS(RADIANS(G13/2))</f>
        <v>0.87574723588634806</v>
      </c>
      <c r="L13" s="21">
        <v>0.3</v>
      </c>
      <c r="M13" s="23">
        <f>L13/D13</f>
        <v>1</v>
      </c>
      <c r="N13" s="24">
        <f>O13/(F13*L13*D13^2*PI()/4)</f>
        <v>9.6938495147047838</v>
      </c>
      <c r="O13" s="29">
        <f>PI()*F13*L13/3*(3*D13^2+4*L13^2*I13+6*L13*D13*H13)+PI()*F13*1*J13*K13*(D13*L13^2/2+L13^3*H13/3)</f>
        <v>3.6446737146776043</v>
      </c>
      <c r="P13" s="33">
        <v>0.99</v>
      </c>
    </row>
    <row r="14" spans="1:30" ht="16.5" thickBot="1" x14ac:dyDescent="0.3">
      <c r="B14" s="25">
        <v>4</v>
      </c>
      <c r="C14" s="22">
        <v>85</v>
      </c>
      <c r="D14" s="377">
        <v>0.3</v>
      </c>
      <c r="E14" s="443"/>
      <c r="F14" s="23">
        <v>18.149999999999999</v>
      </c>
      <c r="G14" s="21">
        <v>46.45</v>
      </c>
      <c r="H14" s="21">
        <f>TAN(RADIANS(G14/2))</f>
        <v>0.42911712996959278</v>
      </c>
      <c r="I14" s="21">
        <f>H14*H14</f>
        <v>0.18414151123334038</v>
      </c>
      <c r="J14" s="21">
        <f>TAN(RADIANS(G14))</f>
        <v>1.0519400996079429</v>
      </c>
      <c r="K14" s="21">
        <f>COS(RADIANS(G14/2))*COS(RADIANS(G14/2))</f>
        <v>0.84449366103081036</v>
      </c>
      <c r="L14" s="21">
        <v>0.3</v>
      </c>
      <c r="M14" s="23">
        <f>L14/D14</f>
        <v>1</v>
      </c>
      <c r="N14" s="27">
        <f>O14/(F14*L14*D14^2*PI()/4)</f>
        <v>10.700017387728654</v>
      </c>
      <c r="O14" s="29">
        <f>PI()*F14*L14/3*(3*D14^2+4*L14^2*I14+6*L14*D14*H14)+PI()*F14*1*J14*K14*(D14*L14^2/2+L14^3*H14/3)</f>
        <v>4.1182694509752267</v>
      </c>
      <c r="P14" s="32">
        <v>1.1599999999999999</v>
      </c>
    </row>
    <row r="15" spans="1:30" ht="63.75" customHeight="1" thickBot="1" x14ac:dyDescent="0.3">
      <c r="B15" s="2"/>
      <c r="C15" s="3"/>
      <c r="D15" s="3"/>
      <c r="E15" s="50"/>
    </row>
    <row r="16" spans="1:30" ht="15.75" customHeight="1" x14ac:dyDescent="0.25">
      <c r="B16" s="402" t="s">
        <v>11</v>
      </c>
      <c r="C16" s="404" t="s">
        <v>10</v>
      </c>
      <c r="D16" s="404"/>
      <c r="E16" s="406" t="s">
        <v>50</v>
      </c>
      <c r="F16" s="406"/>
      <c r="G16" s="404" t="s">
        <v>3</v>
      </c>
      <c r="H16" s="404"/>
      <c r="I16" s="404" t="s">
        <v>4</v>
      </c>
      <c r="J16" s="404"/>
      <c r="K16" s="437" t="s">
        <v>24</v>
      </c>
      <c r="L16" s="438"/>
      <c r="M16" s="437" t="s">
        <v>25</v>
      </c>
      <c r="N16" s="438"/>
      <c r="O16" s="437" t="s">
        <v>26</v>
      </c>
      <c r="P16" s="438"/>
      <c r="Q16" s="437" t="s">
        <v>18</v>
      </c>
      <c r="R16" s="438"/>
      <c r="S16" s="406" t="s">
        <v>49</v>
      </c>
      <c r="T16" s="406"/>
      <c r="U16" s="422" t="s">
        <v>12</v>
      </c>
      <c r="V16" s="423"/>
      <c r="W16" s="415" t="s">
        <v>6</v>
      </c>
      <c r="X16" s="428" t="s">
        <v>14</v>
      </c>
      <c r="Y16" s="423"/>
      <c r="Z16" s="406" t="s">
        <v>47</v>
      </c>
      <c r="AA16" s="430"/>
      <c r="AB16" s="414" t="s">
        <v>48</v>
      </c>
      <c r="AC16" s="430"/>
      <c r="AD16" s="434" t="s">
        <v>67</v>
      </c>
    </row>
    <row r="17" spans="2:30" ht="15.75" customHeight="1" x14ac:dyDescent="0.25">
      <c r="B17" s="403"/>
      <c r="C17" s="405"/>
      <c r="D17" s="405"/>
      <c r="E17" s="407"/>
      <c r="F17" s="407"/>
      <c r="G17" s="405"/>
      <c r="H17" s="405"/>
      <c r="I17" s="405"/>
      <c r="J17" s="405"/>
      <c r="K17" s="439"/>
      <c r="L17" s="440"/>
      <c r="M17" s="439"/>
      <c r="N17" s="440"/>
      <c r="O17" s="439"/>
      <c r="P17" s="440"/>
      <c r="Q17" s="439"/>
      <c r="R17" s="440"/>
      <c r="S17" s="407"/>
      <c r="T17" s="407"/>
      <c r="U17" s="424"/>
      <c r="V17" s="425"/>
      <c r="W17" s="417"/>
      <c r="X17" s="429"/>
      <c r="Y17" s="425"/>
      <c r="Z17" s="407"/>
      <c r="AA17" s="431"/>
      <c r="AB17" s="416"/>
      <c r="AC17" s="431"/>
      <c r="AD17" s="435"/>
    </row>
    <row r="18" spans="2:30" ht="16.5" customHeight="1" thickBot="1" x14ac:dyDescent="0.3">
      <c r="B18" s="403"/>
      <c r="C18" s="405"/>
      <c r="D18" s="405"/>
      <c r="E18" s="407"/>
      <c r="F18" s="407"/>
      <c r="G18" s="405"/>
      <c r="H18" s="405"/>
      <c r="I18" s="405"/>
      <c r="J18" s="405"/>
      <c r="K18" s="441"/>
      <c r="L18" s="442"/>
      <c r="M18" s="441"/>
      <c r="N18" s="442"/>
      <c r="O18" s="441"/>
      <c r="P18" s="442"/>
      <c r="Q18" s="441"/>
      <c r="R18" s="442"/>
      <c r="S18" s="407"/>
      <c r="T18" s="407"/>
      <c r="U18" s="426"/>
      <c r="V18" s="427"/>
      <c r="W18" s="417"/>
      <c r="X18" s="429"/>
      <c r="Y18" s="425"/>
      <c r="Z18" s="432"/>
      <c r="AA18" s="433"/>
      <c r="AB18" s="418"/>
      <c r="AC18" s="433"/>
      <c r="AD18" s="436"/>
    </row>
    <row r="19" spans="2:30" ht="16.5" thickBot="1" x14ac:dyDescent="0.3">
      <c r="B19" s="92">
        <v>1</v>
      </c>
      <c r="C19" s="401">
        <v>0.15</v>
      </c>
      <c r="D19" s="401"/>
      <c r="E19" s="401">
        <v>70</v>
      </c>
      <c r="F19" s="401"/>
      <c r="G19" s="394">
        <v>17.73</v>
      </c>
      <c r="H19" s="395"/>
      <c r="I19" s="394">
        <v>41.28</v>
      </c>
      <c r="J19" s="395"/>
      <c r="K19" s="394">
        <f>TAN(RADIANS(I19/2))</f>
        <v>0.37667226345013849</v>
      </c>
      <c r="L19" s="395"/>
      <c r="M19" s="394">
        <f>K19*K19</f>
        <v>0.14188199405265053</v>
      </c>
      <c r="N19" s="395"/>
      <c r="O19" s="394">
        <f>TAN(RADIANS(I19))</f>
        <v>0.87790318077359986</v>
      </c>
      <c r="P19" s="395"/>
      <c r="Q19" s="394">
        <f>COS(RADIANS(I19/2))*COS(RADIANS(I19/2))</f>
        <v>0.87574723588634806</v>
      </c>
      <c r="R19" s="395"/>
      <c r="S19" s="401">
        <v>0.3</v>
      </c>
      <c r="T19" s="401"/>
      <c r="U19" s="394">
        <f t="shared" ref="U19:U30" si="0">(S19/C19)</f>
        <v>2</v>
      </c>
      <c r="V19" s="395"/>
      <c r="W19" s="96" t="s">
        <v>7</v>
      </c>
      <c r="X19" s="396">
        <f>Z19/(G19*S19*C19^2*PI()/4)</f>
        <v>4.6197846195382439</v>
      </c>
      <c r="Y19" s="397"/>
      <c r="Z19" s="398">
        <f>PI()*G19*O19*Q19*(S19^3*K19/3+S19^2*C19/2)</f>
        <v>0.43423429321761253</v>
      </c>
      <c r="AA19" s="399"/>
      <c r="AB19" s="420">
        <f>55.5/100</f>
        <v>0.55500000000000005</v>
      </c>
      <c r="AC19" s="421"/>
      <c r="AD19" s="116">
        <f>(Z19-AB19)/Z19*100</f>
        <v>-27.811185958513619</v>
      </c>
    </row>
    <row r="20" spans="2:30" ht="16.5" thickBot="1" x14ac:dyDescent="0.3">
      <c r="B20" s="92">
        <v>2</v>
      </c>
      <c r="C20" s="401">
        <v>0.15</v>
      </c>
      <c r="D20" s="401"/>
      <c r="E20" s="401">
        <v>85</v>
      </c>
      <c r="F20" s="401"/>
      <c r="G20" s="394">
        <v>18.149999999999999</v>
      </c>
      <c r="H20" s="395"/>
      <c r="I20" s="394">
        <v>46.45</v>
      </c>
      <c r="J20" s="395"/>
      <c r="K20" s="394">
        <f t="shared" ref="K20:K30" si="1">TAN(RADIANS(I20/2))</f>
        <v>0.42911712996959278</v>
      </c>
      <c r="L20" s="395"/>
      <c r="M20" s="394">
        <f t="shared" ref="M20:M30" si="2">K20*K20</f>
        <v>0.18414151123334038</v>
      </c>
      <c r="N20" s="395"/>
      <c r="O20" s="394">
        <f t="shared" ref="O20:O30" si="3">TAN(RADIANS(I20))</f>
        <v>1.0519400996079429</v>
      </c>
      <c r="P20" s="395"/>
      <c r="Q20" s="394">
        <f t="shared" ref="Q20:Q30" si="4">COS(RADIANS(I20/2))*COS(RADIANS(I20/2))</f>
        <v>0.84449366103081036</v>
      </c>
      <c r="R20" s="395"/>
      <c r="S20" s="401">
        <v>0.3</v>
      </c>
      <c r="T20" s="401"/>
      <c r="U20" s="394">
        <f t="shared" si="0"/>
        <v>2</v>
      </c>
      <c r="V20" s="395"/>
      <c r="W20" s="96" t="s">
        <v>7</v>
      </c>
      <c r="X20" s="396">
        <f t="shared" ref="X20:X30" si="5">Z20/(G20*S20*C20^2*PI()/4)</f>
        <v>5.5865421686309551</v>
      </c>
      <c r="Y20" s="397"/>
      <c r="Z20" s="398">
        <f t="shared" ref="Z20:Z30" si="6">PI()*G20*O20*Q20*(S20^3*K20/3+S20^2*C20/2)</f>
        <v>0.5375431907251681</v>
      </c>
      <c r="AA20" s="399"/>
      <c r="AB20" s="400">
        <f>66.6/100</f>
        <v>0.66599999999999993</v>
      </c>
      <c r="AC20" s="400"/>
      <c r="AD20" s="116">
        <f>(Z20-AB20)/Z20*100</f>
        <v>-23.897021019192572</v>
      </c>
    </row>
    <row r="21" spans="2:30" ht="16.5" thickBot="1" x14ac:dyDescent="0.3">
      <c r="B21" s="92">
        <v>3</v>
      </c>
      <c r="C21" s="401">
        <v>0.15</v>
      </c>
      <c r="D21" s="401"/>
      <c r="E21" s="401">
        <v>70</v>
      </c>
      <c r="F21" s="401"/>
      <c r="G21" s="394">
        <v>17.73</v>
      </c>
      <c r="H21" s="395"/>
      <c r="I21" s="394">
        <v>41.28</v>
      </c>
      <c r="J21" s="395"/>
      <c r="K21" s="394">
        <f t="shared" si="1"/>
        <v>0.37667226345013849</v>
      </c>
      <c r="L21" s="395"/>
      <c r="M21" s="394">
        <f t="shared" si="2"/>
        <v>0.14188199405265053</v>
      </c>
      <c r="N21" s="395"/>
      <c r="O21" s="394">
        <f t="shared" si="3"/>
        <v>0.87790318077359986</v>
      </c>
      <c r="P21" s="395"/>
      <c r="Q21" s="394">
        <f t="shared" si="4"/>
        <v>0.87574723588634806</v>
      </c>
      <c r="R21" s="395"/>
      <c r="S21" s="401">
        <v>0.45</v>
      </c>
      <c r="T21" s="401"/>
      <c r="U21" s="394">
        <f t="shared" si="0"/>
        <v>3</v>
      </c>
      <c r="V21" s="395"/>
      <c r="W21" s="96" t="s">
        <v>7</v>
      </c>
      <c r="X21" s="396">
        <f t="shared" si="5"/>
        <v>8.0880515421461112</v>
      </c>
      <c r="Y21" s="397"/>
      <c r="Z21" s="398">
        <f t="shared" si="6"/>
        <v>1.1403484039248823</v>
      </c>
      <c r="AA21" s="399"/>
      <c r="AB21" s="400">
        <f>105.45/100</f>
        <v>1.0545</v>
      </c>
      <c r="AC21" s="400"/>
      <c r="AD21" s="116">
        <f t="shared" ref="AD21:AD30" si="7">(Z21-AB21)/Z21*100</f>
        <v>7.5282609796626172</v>
      </c>
    </row>
    <row r="22" spans="2:30" ht="16.5" thickBot="1" x14ac:dyDescent="0.3">
      <c r="B22" s="92">
        <v>4</v>
      </c>
      <c r="C22" s="401">
        <v>0.15</v>
      </c>
      <c r="D22" s="401"/>
      <c r="E22" s="401">
        <v>85</v>
      </c>
      <c r="F22" s="401"/>
      <c r="G22" s="394">
        <v>18.149999999999999</v>
      </c>
      <c r="H22" s="395"/>
      <c r="I22" s="394">
        <v>46.45</v>
      </c>
      <c r="J22" s="395"/>
      <c r="K22" s="394">
        <f t="shared" si="1"/>
        <v>0.42911712996959278</v>
      </c>
      <c r="L22" s="395"/>
      <c r="M22" s="394">
        <f t="shared" si="2"/>
        <v>0.18414151123334038</v>
      </c>
      <c r="N22" s="395"/>
      <c r="O22" s="394">
        <f t="shared" si="3"/>
        <v>1.0519400996079429</v>
      </c>
      <c r="P22" s="395"/>
      <c r="Q22" s="394">
        <f t="shared" si="4"/>
        <v>0.84449366103081036</v>
      </c>
      <c r="R22" s="395"/>
      <c r="S22" s="401">
        <v>0.45</v>
      </c>
      <c r="T22" s="401"/>
      <c r="U22" s="394">
        <f t="shared" si="0"/>
        <v>3</v>
      </c>
      <c r="V22" s="395"/>
      <c r="W22" s="96" t="s">
        <v>7</v>
      </c>
      <c r="X22" s="396">
        <f t="shared" si="5"/>
        <v>9.9046496417105665</v>
      </c>
      <c r="Y22" s="397"/>
      <c r="Z22" s="398">
        <f t="shared" si="6"/>
        <v>1.429554313932103</v>
      </c>
      <c r="AA22" s="399"/>
      <c r="AB22" s="400">
        <f>133.2/100</f>
        <v>1.3319999999999999</v>
      </c>
      <c r="AC22" s="400"/>
      <c r="AD22" s="116">
        <f t="shared" si="7"/>
        <v>6.8241068549380408</v>
      </c>
    </row>
    <row r="23" spans="2:30" ht="16.5" thickBot="1" x14ac:dyDescent="0.3">
      <c r="B23" s="92">
        <v>5</v>
      </c>
      <c r="C23" s="401">
        <v>0.15</v>
      </c>
      <c r="D23" s="401"/>
      <c r="E23" s="401">
        <v>70</v>
      </c>
      <c r="F23" s="401"/>
      <c r="G23" s="394">
        <v>17.73</v>
      </c>
      <c r="H23" s="395"/>
      <c r="I23" s="394">
        <v>41.28</v>
      </c>
      <c r="J23" s="395"/>
      <c r="K23" s="394">
        <f t="shared" si="1"/>
        <v>0.37667226345013849</v>
      </c>
      <c r="L23" s="395"/>
      <c r="M23" s="394">
        <f t="shared" si="2"/>
        <v>0.14188199405265053</v>
      </c>
      <c r="N23" s="395"/>
      <c r="O23" s="394">
        <f t="shared" si="3"/>
        <v>0.87790318077359986</v>
      </c>
      <c r="P23" s="395"/>
      <c r="Q23" s="394">
        <f t="shared" si="4"/>
        <v>0.87574723588634806</v>
      </c>
      <c r="R23" s="395"/>
      <c r="S23" s="401">
        <v>0.6</v>
      </c>
      <c r="T23" s="401"/>
      <c r="U23" s="394">
        <f t="shared" si="0"/>
        <v>4</v>
      </c>
      <c r="V23" s="395"/>
      <c r="W23" s="96" t="s">
        <v>7</v>
      </c>
      <c r="X23" s="396">
        <f t="shared" si="5"/>
        <v>12.328568206646471</v>
      </c>
      <c r="Y23" s="397"/>
      <c r="Z23" s="398">
        <f t="shared" si="6"/>
        <v>2.3176349299735755</v>
      </c>
      <c r="AA23" s="399"/>
      <c r="AB23" s="400">
        <f>294.15/100</f>
        <v>2.9414999999999996</v>
      </c>
      <c r="AC23" s="400"/>
      <c r="AD23" s="116">
        <f t="shared" si="7"/>
        <v>-26.918176886190487</v>
      </c>
    </row>
    <row r="24" spans="2:30" ht="16.5" thickBot="1" x14ac:dyDescent="0.3">
      <c r="B24" s="92">
        <v>6</v>
      </c>
      <c r="C24" s="401">
        <v>0.15</v>
      </c>
      <c r="D24" s="401"/>
      <c r="E24" s="401">
        <v>85</v>
      </c>
      <c r="F24" s="401"/>
      <c r="G24" s="394">
        <v>18.149999999999999</v>
      </c>
      <c r="H24" s="395"/>
      <c r="I24" s="394">
        <v>46.45</v>
      </c>
      <c r="J24" s="395"/>
      <c r="K24" s="394">
        <f t="shared" si="1"/>
        <v>0.42911712996959278</v>
      </c>
      <c r="L24" s="395"/>
      <c r="M24" s="394">
        <f t="shared" si="2"/>
        <v>0.18414151123334038</v>
      </c>
      <c r="N24" s="395"/>
      <c r="O24" s="394">
        <f t="shared" si="3"/>
        <v>1.0519400996079429</v>
      </c>
      <c r="P24" s="395"/>
      <c r="Q24" s="394">
        <f t="shared" si="4"/>
        <v>0.84449366103081036</v>
      </c>
      <c r="R24" s="395"/>
      <c r="S24" s="401">
        <v>0.6</v>
      </c>
      <c r="T24" s="401"/>
      <c r="U24" s="394">
        <f t="shared" si="0"/>
        <v>4</v>
      </c>
      <c r="V24" s="395"/>
      <c r="W24" s="96" t="s">
        <v>7</v>
      </c>
      <c r="X24" s="396">
        <f t="shared" si="5"/>
        <v>15.239314707299604</v>
      </c>
      <c r="Y24" s="397"/>
      <c r="Z24" s="398">
        <f t="shared" si="6"/>
        <v>2.9326870199690269</v>
      </c>
      <c r="AA24" s="399"/>
      <c r="AB24" s="400">
        <f>327.45/100</f>
        <v>3.2744999999999997</v>
      </c>
      <c r="AC24" s="400"/>
      <c r="AD24" s="116">
        <f t="shared" si="7"/>
        <v>-11.655283284698509</v>
      </c>
    </row>
    <row r="25" spans="2:30" ht="16.5" thickBot="1" x14ac:dyDescent="0.3">
      <c r="B25" s="92">
        <v>7</v>
      </c>
      <c r="C25" s="401">
        <v>0.3</v>
      </c>
      <c r="D25" s="401"/>
      <c r="E25" s="401">
        <v>70</v>
      </c>
      <c r="F25" s="401"/>
      <c r="G25" s="394">
        <v>17.73</v>
      </c>
      <c r="H25" s="395"/>
      <c r="I25" s="394">
        <v>41.28</v>
      </c>
      <c r="J25" s="395"/>
      <c r="K25" s="394">
        <f t="shared" si="1"/>
        <v>0.37667226345013849</v>
      </c>
      <c r="L25" s="395"/>
      <c r="M25" s="394">
        <f t="shared" si="2"/>
        <v>0.14188199405265053</v>
      </c>
      <c r="N25" s="395"/>
      <c r="O25" s="394">
        <f t="shared" si="3"/>
        <v>0.87790318077359986</v>
      </c>
      <c r="P25" s="395"/>
      <c r="Q25" s="394">
        <f t="shared" si="4"/>
        <v>0.87574723588634806</v>
      </c>
      <c r="R25" s="395"/>
      <c r="S25" s="401">
        <v>0.3</v>
      </c>
      <c r="T25" s="401"/>
      <c r="U25" s="394">
        <f t="shared" si="0"/>
        <v>1</v>
      </c>
      <c r="V25" s="395"/>
      <c r="W25" s="96" t="s">
        <v>7</v>
      </c>
      <c r="X25" s="396">
        <f t="shared" si="5"/>
        <v>1.9237674388228738</v>
      </c>
      <c r="Y25" s="397"/>
      <c r="Z25" s="398">
        <f t="shared" si="6"/>
        <v>0.72329414715944373</v>
      </c>
      <c r="AA25" s="399"/>
      <c r="AB25" s="400">
        <f>99.9/100</f>
        <v>0.99900000000000011</v>
      </c>
      <c r="AC25" s="400"/>
      <c r="AD25" s="116">
        <f t="shared" si="7"/>
        <v>-38.118081547226943</v>
      </c>
    </row>
    <row r="26" spans="2:30" ht="16.5" thickBot="1" x14ac:dyDescent="0.3">
      <c r="B26" s="92">
        <v>8</v>
      </c>
      <c r="C26" s="401">
        <v>0.3</v>
      </c>
      <c r="D26" s="401"/>
      <c r="E26" s="401">
        <v>85</v>
      </c>
      <c r="F26" s="401"/>
      <c r="G26" s="394">
        <v>18.149999999999999</v>
      </c>
      <c r="H26" s="395"/>
      <c r="I26" s="394">
        <v>46.45</v>
      </c>
      <c r="J26" s="395"/>
      <c r="K26" s="394">
        <f t="shared" si="1"/>
        <v>0.42911712996959278</v>
      </c>
      <c r="L26" s="395"/>
      <c r="M26" s="394">
        <f t="shared" si="2"/>
        <v>0.18414151123334038</v>
      </c>
      <c r="N26" s="395"/>
      <c r="O26" s="394">
        <f t="shared" si="3"/>
        <v>1.0519400996079429</v>
      </c>
      <c r="P26" s="395"/>
      <c r="Q26" s="394">
        <f t="shared" si="4"/>
        <v>0.84449366103081036</v>
      </c>
      <c r="R26" s="395"/>
      <c r="S26" s="401">
        <v>0.3</v>
      </c>
      <c r="T26" s="401"/>
      <c r="U26" s="394">
        <f t="shared" si="0"/>
        <v>1</v>
      </c>
      <c r="V26" s="395"/>
      <c r="W26" s="96" t="s">
        <v>7</v>
      </c>
      <c r="X26" s="396">
        <f t="shared" si="5"/>
        <v>2.2849922880607663</v>
      </c>
      <c r="Y26" s="397"/>
      <c r="Z26" s="398">
        <f t="shared" si="6"/>
        <v>0.87945781718324767</v>
      </c>
      <c r="AA26" s="399"/>
      <c r="AB26" s="400">
        <f>116.55/100</f>
        <v>1.1655</v>
      </c>
      <c r="AC26" s="400"/>
      <c r="AD26" s="116">
        <f t="shared" si="7"/>
        <v>-32.524832598895564</v>
      </c>
    </row>
    <row r="27" spans="2:30" ht="16.5" thickBot="1" x14ac:dyDescent="0.3">
      <c r="B27" s="92">
        <v>9</v>
      </c>
      <c r="C27" s="401">
        <v>0.3</v>
      </c>
      <c r="D27" s="401"/>
      <c r="E27" s="401">
        <v>70</v>
      </c>
      <c r="F27" s="401"/>
      <c r="G27" s="394">
        <v>17.73</v>
      </c>
      <c r="H27" s="395"/>
      <c r="I27" s="394">
        <v>41.28</v>
      </c>
      <c r="J27" s="395"/>
      <c r="K27" s="394">
        <f t="shared" si="1"/>
        <v>0.37667226345013849</v>
      </c>
      <c r="L27" s="395"/>
      <c r="M27" s="394">
        <f t="shared" si="2"/>
        <v>0.14188199405265053</v>
      </c>
      <c r="N27" s="395"/>
      <c r="O27" s="394">
        <f t="shared" si="3"/>
        <v>0.87790318077359986</v>
      </c>
      <c r="P27" s="395"/>
      <c r="Q27" s="394">
        <f t="shared" si="4"/>
        <v>0.87574723588634806</v>
      </c>
      <c r="R27" s="395"/>
      <c r="S27" s="401">
        <v>0.45</v>
      </c>
      <c r="T27" s="401"/>
      <c r="U27" s="394">
        <f t="shared" si="0"/>
        <v>1.5</v>
      </c>
      <c r="V27" s="395"/>
      <c r="W27" s="96" t="s">
        <v>7</v>
      </c>
      <c r="X27" s="396">
        <f t="shared" si="5"/>
        <v>3.1752448114439975</v>
      </c>
      <c r="Y27" s="397"/>
      <c r="Z27" s="398">
        <f t="shared" si="6"/>
        <v>1.7907330752940025</v>
      </c>
      <c r="AA27" s="399"/>
      <c r="AB27" s="400">
        <f>194.25/100</f>
        <v>1.9424999999999999</v>
      </c>
      <c r="AC27" s="400"/>
      <c r="AD27" s="116">
        <f t="shared" si="7"/>
        <v>-8.4751282477473815</v>
      </c>
    </row>
    <row r="28" spans="2:30" ht="16.5" thickBot="1" x14ac:dyDescent="0.3">
      <c r="B28" s="92">
        <v>10</v>
      </c>
      <c r="C28" s="401">
        <v>0.3</v>
      </c>
      <c r="D28" s="401"/>
      <c r="E28" s="401">
        <v>85</v>
      </c>
      <c r="F28" s="401"/>
      <c r="G28" s="394">
        <v>18.149999999999999</v>
      </c>
      <c r="H28" s="395"/>
      <c r="I28" s="394">
        <v>46.45</v>
      </c>
      <c r="J28" s="395"/>
      <c r="K28" s="394">
        <f t="shared" si="1"/>
        <v>0.42911712996959278</v>
      </c>
      <c r="L28" s="395"/>
      <c r="M28" s="394">
        <f t="shared" si="2"/>
        <v>0.18414151123334038</v>
      </c>
      <c r="N28" s="395"/>
      <c r="O28" s="394">
        <f t="shared" si="3"/>
        <v>1.0519400996079429</v>
      </c>
      <c r="P28" s="395"/>
      <c r="Q28" s="394">
        <f t="shared" si="4"/>
        <v>0.84449366103081036</v>
      </c>
      <c r="R28" s="395"/>
      <c r="S28" s="401">
        <v>0.45</v>
      </c>
      <c r="T28" s="401"/>
      <c r="U28" s="394">
        <f t="shared" si="0"/>
        <v>1.5</v>
      </c>
      <c r="V28" s="395"/>
      <c r="W28" s="96" t="s">
        <v>7</v>
      </c>
      <c r="X28" s="396">
        <f t="shared" si="5"/>
        <v>3.8086975292821816</v>
      </c>
      <c r="Y28" s="397"/>
      <c r="Z28" s="398">
        <f t="shared" si="6"/>
        <v>2.1988622234627817</v>
      </c>
      <c r="AA28" s="399"/>
      <c r="AB28" s="400">
        <f>216.45/100</f>
        <v>2.1644999999999999</v>
      </c>
      <c r="AC28" s="400"/>
      <c r="AD28" s="116">
        <f t="shared" si="7"/>
        <v>1.5627274458637066</v>
      </c>
    </row>
    <row r="29" spans="2:30" ht="16.5" thickBot="1" x14ac:dyDescent="0.3">
      <c r="B29" s="92">
        <v>11</v>
      </c>
      <c r="C29" s="401">
        <v>0.3</v>
      </c>
      <c r="D29" s="401"/>
      <c r="E29" s="401">
        <v>70</v>
      </c>
      <c r="F29" s="401"/>
      <c r="G29" s="394">
        <v>17.73</v>
      </c>
      <c r="H29" s="395"/>
      <c r="I29" s="394">
        <v>41.28</v>
      </c>
      <c r="J29" s="395"/>
      <c r="K29" s="394">
        <f t="shared" si="1"/>
        <v>0.37667226345013849</v>
      </c>
      <c r="L29" s="395"/>
      <c r="M29" s="394">
        <f t="shared" si="2"/>
        <v>0.14188199405265053</v>
      </c>
      <c r="N29" s="395"/>
      <c r="O29" s="394">
        <f t="shared" si="3"/>
        <v>0.87790318077359986</v>
      </c>
      <c r="P29" s="395"/>
      <c r="Q29" s="394">
        <f t="shared" si="4"/>
        <v>0.87574723588634806</v>
      </c>
      <c r="R29" s="395"/>
      <c r="S29" s="401">
        <v>0.6</v>
      </c>
      <c r="T29" s="401"/>
      <c r="U29" s="394">
        <f t="shared" si="0"/>
        <v>2</v>
      </c>
      <c r="V29" s="395"/>
      <c r="W29" s="96" t="s">
        <v>7</v>
      </c>
      <c r="X29" s="396">
        <f t="shared" si="5"/>
        <v>4.6197846195382439</v>
      </c>
      <c r="Y29" s="397"/>
      <c r="Z29" s="398">
        <f t="shared" si="6"/>
        <v>3.4738743457409003</v>
      </c>
      <c r="AA29" s="399"/>
      <c r="AB29" s="400">
        <f>410.7/100</f>
        <v>4.1070000000000002</v>
      </c>
      <c r="AC29" s="400"/>
      <c r="AD29" s="116">
        <f t="shared" si="7"/>
        <v>-18.225347011625093</v>
      </c>
    </row>
    <row r="30" spans="2:30" ht="16.5" thickBot="1" x14ac:dyDescent="0.3">
      <c r="B30" s="93">
        <v>12</v>
      </c>
      <c r="C30" s="393">
        <v>0.3</v>
      </c>
      <c r="D30" s="393"/>
      <c r="E30" s="393">
        <v>85</v>
      </c>
      <c r="F30" s="393"/>
      <c r="G30" s="386">
        <v>18.149999999999999</v>
      </c>
      <c r="H30" s="387"/>
      <c r="I30" s="386">
        <v>46.45</v>
      </c>
      <c r="J30" s="387"/>
      <c r="K30" s="394">
        <f t="shared" si="1"/>
        <v>0.42911712996959278</v>
      </c>
      <c r="L30" s="395"/>
      <c r="M30" s="394">
        <f t="shared" si="2"/>
        <v>0.18414151123334038</v>
      </c>
      <c r="N30" s="395"/>
      <c r="O30" s="394">
        <f t="shared" si="3"/>
        <v>1.0519400996079429</v>
      </c>
      <c r="P30" s="395"/>
      <c r="Q30" s="394">
        <f t="shared" si="4"/>
        <v>0.84449366103081036</v>
      </c>
      <c r="R30" s="395"/>
      <c r="S30" s="393">
        <v>0.6</v>
      </c>
      <c r="T30" s="393"/>
      <c r="U30" s="386">
        <f t="shared" si="0"/>
        <v>2</v>
      </c>
      <c r="V30" s="387"/>
      <c r="W30" s="97" t="s">
        <v>7</v>
      </c>
      <c r="X30" s="388">
        <f t="shared" si="5"/>
        <v>5.5865421686309551</v>
      </c>
      <c r="Y30" s="389"/>
      <c r="Z30" s="398">
        <f t="shared" si="6"/>
        <v>4.3003455258013448</v>
      </c>
      <c r="AA30" s="399"/>
      <c r="AB30" s="392">
        <f>466.2/100</f>
        <v>4.6619999999999999</v>
      </c>
      <c r="AC30" s="392"/>
      <c r="AD30" s="116">
        <f t="shared" si="7"/>
        <v>-8.4098933917935099</v>
      </c>
    </row>
    <row r="31" spans="2:30" ht="15.75" thickBot="1" x14ac:dyDescent="0.3"/>
    <row r="32" spans="2:30" x14ac:dyDescent="0.25">
      <c r="B32" s="237" t="s">
        <v>42</v>
      </c>
      <c r="C32" s="233" t="s">
        <v>43</v>
      </c>
      <c r="D32" s="235" t="s">
        <v>52</v>
      </c>
      <c r="E32" s="235"/>
      <c r="F32" s="233" t="s">
        <v>44</v>
      </c>
      <c r="G32" s="235" t="s">
        <v>51</v>
      </c>
      <c r="H32" s="233" t="s">
        <v>45</v>
      </c>
      <c r="I32" s="342" t="s">
        <v>46</v>
      </c>
      <c r="J32" s="434" t="s">
        <v>67</v>
      </c>
    </row>
    <row r="33" spans="2:10" x14ac:dyDescent="0.25">
      <c r="B33" s="238"/>
      <c r="C33" s="234"/>
      <c r="D33" s="236"/>
      <c r="E33" s="236"/>
      <c r="F33" s="234"/>
      <c r="G33" s="236"/>
      <c r="H33" s="234"/>
      <c r="I33" s="343"/>
      <c r="J33" s="435"/>
    </row>
    <row r="34" spans="2:10" ht="15.75" thickBot="1" x14ac:dyDescent="0.3">
      <c r="B34" s="339"/>
      <c r="C34" s="340"/>
      <c r="D34" s="341"/>
      <c r="E34" s="341"/>
      <c r="F34" s="340"/>
      <c r="G34" s="341"/>
      <c r="H34" s="340"/>
      <c r="I34" s="344"/>
      <c r="J34" s="436"/>
    </row>
    <row r="35" spans="2:10" x14ac:dyDescent="0.25">
      <c r="B35" s="78">
        <v>1</v>
      </c>
      <c r="C35" s="243">
        <v>70</v>
      </c>
      <c r="D35" s="246">
        <v>0.15</v>
      </c>
      <c r="E35" s="247"/>
      <c r="F35" s="197">
        <v>0.3</v>
      </c>
      <c r="G35" s="79">
        <f t="shared" ref="G35:G46" si="8">F35/D35</f>
        <v>2</v>
      </c>
      <c r="H35" s="80">
        <v>0.43</v>
      </c>
      <c r="I35" s="81">
        <v>0.56000000000000005</v>
      </c>
      <c r="J35" s="207">
        <f>(H35-I35)/H35*100</f>
        <v>-30.232558139534898</v>
      </c>
    </row>
    <row r="36" spans="2:10" x14ac:dyDescent="0.25">
      <c r="B36" s="82">
        <v>2</v>
      </c>
      <c r="C36" s="244"/>
      <c r="D36" s="248">
        <v>0.15</v>
      </c>
      <c r="E36" s="249"/>
      <c r="F36" s="198">
        <v>0.45</v>
      </c>
      <c r="G36" s="83">
        <f t="shared" si="8"/>
        <v>3</v>
      </c>
      <c r="H36" s="84">
        <v>1.1399999999999999</v>
      </c>
      <c r="I36" s="85">
        <v>1.05</v>
      </c>
      <c r="J36" s="208">
        <f t="shared" ref="J36:J46" si="9">(H36-I36)/H36*100</f>
        <v>7.8947368421052513</v>
      </c>
    </row>
    <row r="37" spans="2:10" x14ac:dyDescent="0.25">
      <c r="B37" s="82">
        <v>3</v>
      </c>
      <c r="C37" s="244"/>
      <c r="D37" s="248">
        <v>0.15</v>
      </c>
      <c r="E37" s="249"/>
      <c r="F37" s="198">
        <v>0.6</v>
      </c>
      <c r="G37" s="83">
        <f t="shared" si="8"/>
        <v>4</v>
      </c>
      <c r="H37" s="84">
        <v>2.3199999999999998</v>
      </c>
      <c r="I37" s="85">
        <v>2.94</v>
      </c>
      <c r="J37" s="208">
        <f t="shared" si="9"/>
        <v>-26.724137931034491</v>
      </c>
    </row>
    <row r="38" spans="2:10" x14ac:dyDescent="0.25">
      <c r="B38" s="82">
        <v>4</v>
      </c>
      <c r="C38" s="244"/>
      <c r="D38" s="239">
        <v>0.3</v>
      </c>
      <c r="E38" s="240"/>
      <c r="F38" s="198">
        <v>0.3</v>
      </c>
      <c r="G38" s="83">
        <f t="shared" si="8"/>
        <v>1</v>
      </c>
      <c r="H38" s="84">
        <v>0.72</v>
      </c>
      <c r="I38" s="85">
        <v>1</v>
      </c>
      <c r="J38" s="208">
        <f t="shared" si="9"/>
        <v>-38.888888888888893</v>
      </c>
    </row>
    <row r="39" spans="2:10" x14ac:dyDescent="0.25">
      <c r="B39" s="82">
        <v>5</v>
      </c>
      <c r="C39" s="244"/>
      <c r="D39" s="239">
        <v>0.3</v>
      </c>
      <c r="E39" s="240"/>
      <c r="F39" s="198">
        <v>0.45</v>
      </c>
      <c r="G39" s="83">
        <f t="shared" si="8"/>
        <v>1.5</v>
      </c>
      <c r="H39" s="84">
        <v>1.79</v>
      </c>
      <c r="I39" s="85">
        <v>1.94</v>
      </c>
      <c r="J39" s="208">
        <f t="shared" si="9"/>
        <v>-8.3798882681564191</v>
      </c>
    </row>
    <row r="40" spans="2:10" ht="15.75" thickBot="1" x14ac:dyDescent="0.3">
      <c r="B40" s="86">
        <v>6</v>
      </c>
      <c r="C40" s="245"/>
      <c r="D40" s="241">
        <v>0.3</v>
      </c>
      <c r="E40" s="242"/>
      <c r="F40" s="87">
        <v>0.6</v>
      </c>
      <c r="G40" s="88">
        <f t="shared" si="8"/>
        <v>2</v>
      </c>
      <c r="H40" s="89">
        <v>3.47</v>
      </c>
      <c r="I40" s="90">
        <v>4.1100000000000003</v>
      </c>
      <c r="J40" s="209">
        <f t="shared" si="9"/>
        <v>-18.443804034582133</v>
      </c>
    </row>
    <row r="41" spans="2:10" x14ac:dyDescent="0.25">
      <c r="B41" s="200">
        <v>7</v>
      </c>
      <c r="C41" s="411">
        <v>85</v>
      </c>
      <c r="D41" s="412">
        <v>0.15</v>
      </c>
      <c r="E41" s="413"/>
      <c r="F41" s="201">
        <v>0.3</v>
      </c>
      <c r="G41" s="202">
        <f t="shared" si="8"/>
        <v>2</v>
      </c>
      <c r="H41" s="203">
        <v>0.54</v>
      </c>
      <c r="I41" s="199">
        <v>0.67</v>
      </c>
      <c r="J41" s="208">
        <f t="shared" si="9"/>
        <v>-24.074074074074073</v>
      </c>
    </row>
    <row r="42" spans="2:10" x14ac:dyDescent="0.25">
      <c r="B42" s="82">
        <v>8</v>
      </c>
      <c r="C42" s="244"/>
      <c r="D42" s="248">
        <v>0.15</v>
      </c>
      <c r="E42" s="249"/>
      <c r="F42" s="95">
        <v>0.45</v>
      </c>
      <c r="G42" s="83">
        <f t="shared" si="8"/>
        <v>3</v>
      </c>
      <c r="H42" s="84">
        <v>1.43</v>
      </c>
      <c r="I42" s="85">
        <v>1.3320000000000001</v>
      </c>
      <c r="J42" s="208">
        <f t="shared" si="9"/>
        <v>6.8531468531468436</v>
      </c>
    </row>
    <row r="43" spans="2:10" x14ac:dyDescent="0.25">
      <c r="B43" s="82">
        <v>9</v>
      </c>
      <c r="C43" s="244"/>
      <c r="D43" s="248">
        <v>0.15</v>
      </c>
      <c r="E43" s="249"/>
      <c r="F43" s="95">
        <v>0.6</v>
      </c>
      <c r="G43" s="83">
        <f t="shared" si="8"/>
        <v>4</v>
      </c>
      <c r="H43" s="84">
        <v>2.93</v>
      </c>
      <c r="I43" s="85">
        <v>3.27</v>
      </c>
      <c r="J43" s="208">
        <f t="shared" si="9"/>
        <v>-11.604095563139927</v>
      </c>
    </row>
    <row r="44" spans="2:10" x14ac:dyDescent="0.25">
      <c r="B44" s="82">
        <v>10</v>
      </c>
      <c r="C44" s="244"/>
      <c r="D44" s="239">
        <v>0.3</v>
      </c>
      <c r="E44" s="240"/>
      <c r="F44" s="95">
        <v>0.3</v>
      </c>
      <c r="G44" s="83">
        <f t="shared" si="8"/>
        <v>1</v>
      </c>
      <c r="H44" s="84">
        <v>0.88</v>
      </c>
      <c r="I44" s="85">
        <v>1.17</v>
      </c>
      <c r="J44" s="208">
        <f t="shared" si="9"/>
        <v>-32.954545454545446</v>
      </c>
    </row>
    <row r="45" spans="2:10" x14ac:dyDescent="0.25">
      <c r="B45" s="82">
        <v>11</v>
      </c>
      <c r="C45" s="244"/>
      <c r="D45" s="239">
        <v>0.3</v>
      </c>
      <c r="E45" s="240"/>
      <c r="F45" s="95">
        <v>0.45</v>
      </c>
      <c r="G45" s="83">
        <f t="shared" si="8"/>
        <v>1.5</v>
      </c>
      <c r="H45" s="84">
        <v>2.2000000000000002</v>
      </c>
      <c r="I45" s="85">
        <v>2.16</v>
      </c>
      <c r="J45" s="208">
        <f t="shared" si="9"/>
        <v>1.8181818181818195</v>
      </c>
    </row>
    <row r="46" spans="2:10" ht="15.75" thickBot="1" x14ac:dyDescent="0.3">
      <c r="B46" s="86">
        <v>12</v>
      </c>
      <c r="C46" s="245"/>
      <c r="D46" s="241">
        <v>0.3</v>
      </c>
      <c r="E46" s="242"/>
      <c r="F46" s="87">
        <v>0.6</v>
      </c>
      <c r="G46" s="88">
        <f t="shared" si="8"/>
        <v>2</v>
      </c>
      <c r="H46" s="89">
        <v>4.3</v>
      </c>
      <c r="I46" s="90">
        <v>4.66</v>
      </c>
      <c r="J46" s="209">
        <f t="shared" si="9"/>
        <v>-8.3720930232558217</v>
      </c>
    </row>
  </sheetData>
  <mergeCells count="200">
    <mergeCell ref="AD16:AD18"/>
    <mergeCell ref="B16:B18"/>
    <mergeCell ref="C16:D18"/>
    <mergeCell ref="E16:F18"/>
    <mergeCell ref="G16:H18"/>
    <mergeCell ref="I16:J18"/>
    <mergeCell ref="D14:E14"/>
    <mergeCell ref="G2:L3"/>
    <mergeCell ref="D10:E10"/>
    <mergeCell ref="D11:E11"/>
    <mergeCell ref="D12:E12"/>
    <mergeCell ref="D13:E13"/>
    <mergeCell ref="AB16:AC18"/>
    <mergeCell ref="Q16:R18"/>
    <mergeCell ref="S16:T18"/>
    <mergeCell ref="U16:V18"/>
    <mergeCell ref="W16:W18"/>
    <mergeCell ref="X16:Y18"/>
    <mergeCell ref="Z16:AA18"/>
    <mergeCell ref="C19:D19"/>
    <mergeCell ref="E19:F19"/>
    <mergeCell ref="G19:H19"/>
    <mergeCell ref="I19:J19"/>
    <mergeCell ref="S19:T19"/>
    <mergeCell ref="U19:V19"/>
    <mergeCell ref="X19:Y19"/>
    <mergeCell ref="Z19:AA19"/>
    <mergeCell ref="AB19:AC19"/>
    <mergeCell ref="Q19:R19"/>
    <mergeCell ref="U20:V20"/>
    <mergeCell ref="X20:Y20"/>
    <mergeCell ref="Z20:AA20"/>
    <mergeCell ref="AB20:AC20"/>
    <mergeCell ref="C21:D21"/>
    <mergeCell ref="E21:F21"/>
    <mergeCell ref="G21:H21"/>
    <mergeCell ref="I21:J21"/>
    <mergeCell ref="S21:T21"/>
    <mergeCell ref="U21:V21"/>
    <mergeCell ref="X21:Y21"/>
    <mergeCell ref="Z21:AA21"/>
    <mergeCell ref="AB21:AC21"/>
    <mergeCell ref="K20:L20"/>
    <mergeCell ref="K21:L21"/>
    <mergeCell ref="Q20:R20"/>
    <mergeCell ref="C20:D20"/>
    <mergeCell ref="E20:F20"/>
    <mergeCell ref="G20:H20"/>
    <mergeCell ref="I20:J20"/>
    <mergeCell ref="S20:T20"/>
    <mergeCell ref="Q21:R21"/>
    <mergeCell ref="O21:P21"/>
    <mergeCell ref="U22:V22"/>
    <mergeCell ref="X22:Y22"/>
    <mergeCell ref="Z22:AA22"/>
    <mergeCell ref="AB22:AC22"/>
    <mergeCell ref="C23:D23"/>
    <mergeCell ref="E23:F23"/>
    <mergeCell ref="G23:H23"/>
    <mergeCell ref="I23:J23"/>
    <mergeCell ref="S23:T23"/>
    <mergeCell ref="U23:V23"/>
    <mergeCell ref="X23:Y23"/>
    <mergeCell ref="Z23:AA23"/>
    <mergeCell ref="AB23:AC23"/>
    <mergeCell ref="K22:L22"/>
    <mergeCell ref="K23:L23"/>
    <mergeCell ref="C22:D22"/>
    <mergeCell ref="E22:F22"/>
    <mergeCell ref="G22:H22"/>
    <mergeCell ref="I22:J22"/>
    <mergeCell ref="S22:T22"/>
    <mergeCell ref="Q22:R22"/>
    <mergeCell ref="Q23:R23"/>
    <mergeCell ref="O22:P22"/>
    <mergeCell ref="O23:P23"/>
    <mergeCell ref="U24:V24"/>
    <mergeCell ref="X24:Y24"/>
    <mergeCell ref="Z24:AA24"/>
    <mergeCell ref="AB24:AC24"/>
    <mergeCell ref="C25:D25"/>
    <mergeCell ref="E25:F25"/>
    <mergeCell ref="G25:H25"/>
    <mergeCell ref="I25:J25"/>
    <mergeCell ref="S25:T25"/>
    <mergeCell ref="U25:V25"/>
    <mergeCell ref="X25:Y25"/>
    <mergeCell ref="Z25:AA25"/>
    <mergeCell ref="AB25:AC25"/>
    <mergeCell ref="K24:L24"/>
    <mergeCell ref="K25:L25"/>
    <mergeCell ref="C24:D24"/>
    <mergeCell ref="E24:F24"/>
    <mergeCell ref="G24:H24"/>
    <mergeCell ref="I24:J24"/>
    <mergeCell ref="S24:T24"/>
    <mergeCell ref="Q24:R24"/>
    <mergeCell ref="Q25:R25"/>
    <mergeCell ref="O24:P24"/>
    <mergeCell ref="O25:P25"/>
    <mergeCell ref="U26:V26"/>
    <mergeCell ref="X26:Y26"/>
    <mergeCell ref="Z26:AA26"/>
    <mergeCell ref="AB26:AC26"/>
    <mergeCell ref="C27:D27"/>
    <mergeCell ref="E27:F27"/>
    <mergeCell ref="G27:H27"/>
    <mergeCell ref="I27:J27"/>
    <mergeCell ref="S27:T27"/>
    <mergeCell ref="U27:V27"/>
    <mergeCell ref="X27:Y27"/>
    <mergeCell ref="Z27:AA27"/>
    <mergeCell ref="AB27:AC27"/>
    <mergeCell ref="M27:N27"/>
    <mergeCell ref="K26:L26"/>
    <mergeCell ref="K27:L27"/>
    <mergeCell ref="C26:D26"/>
    <mergeCell ref="E26:F26"/>
    <mergeCell ref="G26:H26"/>
    <mergeCell ref="I26:J26"/>
    <mergeCell ref="S26:T26"/>
    <mergeCell ref="Q26:R26"/>
    <mergeCell ref="Q27:R27"/>
    <mergeCell ref="O26:P26"/>
    <mergeCell ref="S29:T29"/>
    <mergeCell ref="U29:V29"/>
    <mergeCell ref="X29:Y29"/>
    <mergeCell ref="Z29:AA29"/>
    <mergeCell ref="AB29:AC29"/>
    <mergeCell ref="M28:N28"/>
    <mergeCell ref="M29:N29"/>
    <mergeCell ref="K28:L28"/>
    <mergeCell ref="O28:P28"/>
    <mergeCell ref="O29:P29"/>
    <mergeCell ref="S28:T28"/>
    <mergeCell ref="K29:L29"/>
    <mergeCell ref="Q28:R28"/>
    <mergeCell ref="Q29:R29"/>
    <mergeCell ref="U30:V30"/>
    <mergeCell ref="X30:Y30"/>
    <mergeCell ref="Z30:AA30"/>
    <mergeCell ref="AB30:AC30"/>
    <mergeCell ref="K16:L18"/>
    <mergeCell ref="M16:N18"/>
    <mergeCell ref="O16:P18"/>
    <mergeCell ref="K19:L19"/>
    <mergeCell ref="M19:N19"/>
    <mergeCell ref="M20:N20"/>
    <mergeCell ref="M21:N21"/>
    <mergeCell ref="M22:N22"/>
    <mergeCell ref="M23:N23"/>
    <mergeCell ref="M24:N24"/>
    <mergeCell ref="M25:N25"/>
    <mergeCell ref="M26:N26"/>
    <mergeCell ref="S30:T30"/>
    <mergeCell ref="M30:N30"/>
    <mergeCell ref="U28:V28"/>
    <mergeCell ref="X28:Y28"/>
    <mergeCell ref="Z28:AA28"/>
    <mergeCell ref="O19:P19"/>
    <mergeCell ref="O20:P20"/>
    <mergeCell ref="AB28:AC28"/>
    <mergeCell ref="O27:P27"/>
    <mergeCell ref="Q30:R30"/>
    <mergeCell ref="B32:B34"/>
    <mergeCell ref="C32:C34"/>
    <mergeCell ref="D32:E34"/>
    <mergeCell ref="F32:F34"/>
    <mergeCell ref="G32:G34"/>
    <mergeCell ref="H32:H34"/>
    <mergeCell ref="I32:I34"/>
    <mergeCell ref="C30:D30"/>
    <mergeCell ref="E30:F30"/>
    <mergeCell ref="G30:H30"/>
    <mergeCell ref="I30:J30"/>
    <mergeCell ref="K30:L30"/>
    <mergeCell ref="O30:P30"/>
    <mergeCell ref="C28:D28"/>
    <mergeCell ref="E28:F28"/>
    <mergeCell ref="G28:H28"/>
    <mergeCell ref="I28:J28"/>
    <mergeCell ref="C29:D29"/>
    <mergeCell ref="E29:F29"/>
    <mergeCell ref="G29:H29"/>
    <mergeCell ref="I29:J29"/>
    <mergeCell ref="J32:J34"/>
    <mergeCell ref="C41:C46"/>
    <mergeCell ref="D41:E41"/>
    <mergeCell ref="D42:E42"/>
    <mergeCell ref="D43:E43"/>
    <mergeCell ref="D44:E44"/>
    <mergeCell ref="D45:E45"/>
    <mergeCell ref="D46:E46"/>
    <mergeCell ref="C35:C40"/>
    <mergeCell ref="D35:E35"/>
    <mergeCell ref="D36:E36"/>
    <mergeCell ref="D37:E37"/>
    <mergeCell ref="D38:E38"/>
    <mergeCell ref="D39:E39"/>
    <mergeCell ref="D40:E40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B3:Z55"/>
  <sheetViews>
    <sheetView tabSelected="1" topLeftCell="B14" zoomScale="80" zoomScaleNormal="80" workbookViewId="0">
      <selection activeCell="J40" sqref="J40:K42"/>
    </sheetView>
  </sheetViews>
  <sheetFormatPr defaultRowHeight="15" x14ac:dyDescent="0.25"/>
  <cols>
    <col min="5" max="5" width="10.7109375" customWidth="1"/>
    <col min="6" max="6" width="10.85546875" customWidth="1"/>
    <col min="7" max="7" width="11.140625" customWidth="1"/>
    <col min="8" max="8" width="10.85546875" customWidth="1"/>
    <col min="9" max="9" width="21.5703125" customWidth="1"/>
    <col min="10" max="10" width="7.42578125" customWidth="1"/>
    <col min="11" max="11" width="13" customWidth="1"/>
    <col min="12" max="12" width="10.5703125" customWidth="1"/>
    <col min="13" max="13" width="13.7109375" customWidth="1"/>
    <col min="14" max="14" width="10.140625" customWidth="1"/>
    <col min="15" max="15" width="17.28515625" customWidth="1"/>
    <col min="18" max="18" width="6.42578125" customWidth="1"/>
    <col min="19" max="19" width="6.7109375" customWidth="1"/>
  </cols>
  <sheetData>
    <row r="3" spans="2:26" ht="15.75" thickBot="1" x14ac:dyDescent="0.3"/>
    <row r="4" spans="2:26" ht="26.25" thickBot="1" x14ac:dyDescent="0.4">
      <c r="G4" s="321" t="s">
        <v>27</v>
      </c>
      <c r="H4" s="322"/>
      <c r="I4" s="322"/>
      <c r="J4" s="322"/>
      <c r="K4" s="323"/>
    </row>
    <row r="5" spans="2:26" ht="15.75" thickBot="1" x14ac:dyDescent="0.3"/>
    <row r="6" spans="2:26" ht="16.5" thickBot="1" x14ac:dyDescent="0.3">
      <c r="E6" s="14" t="s">
        <v>0</v>
      </c>
      <c r="F6" s="8">
        <v>70</v>
      </c>
      <c r="L6" s="14" t="s">
        <v>0</v>
      </c>
      <c r="M6" s="11">
        <v>85</v>
      </c>
    </row>
    <row r="7" spans="2:26" ht="16.5" thickBot="1" x14ac:dyDescent="0.3">
      <c r="E7" s="15" t="s">
        <v>1</v>
      </c>
      <c r="F7" s="9">
        <v>41.28</v>
      </c>
      <c r="L7" s="15" t="s">
        <v>1</v>
      </c>
      <c r="M7" s="12">
        <v>46.45</v>
      </c>
    </row>
    <row r="8" spans="2:26" ht="16.5" thickBot="1" x14ac:dyDescent="0.3">
      <c r="E8" s="16" t="s">
        <v>2</v>
      </c>
      <c r="F8" s="10">
        <v>17.73</v>
      </c>
      <c r="L8" s="16" t="s">
        <v>2</v>
      </c>
      <c r="M8" s="13">
        <v>18.149999999999999</v>
      </c>
    </row>
    <row r="11" spans="2:26" ht="93.75" customHeight="1" thickBot="1" x14ac:dyDescent="0.3"/>
    <row r="12" spans="2:26" x14ac:dyDescent="0.25">
      <c r="B12" s="402" t="s">
        <v>11</v>
      </c>
      <c r="C12" s="404" t="s">
        <v>10</v>
      </c>
      <c r="D12" s="404"/>
      <c r="E12" s="406" t="s">
        <v>50</v>
      </c>
      <c r="F12" s="406"/>
      <c r="G12" s="404" t="s">
        <v>3</v>
      </c>
      <c r="H12" s="404"/>
      <c r="I12" s="404" t="s">
        <v>4</v>
      </c>
      <c r="J12" s="404"/>
      <c r="K12" s="406" t="s">
        <v>49</v>
      </c>
      <c r="L12" s="406"/>
      <c r="M12" s="422" t="s">
        <v>12</v>
      </c>
      <c r="N12" s="423"/>
      <c r="O12" s="415" t="s">
        <v>6</v>
      </c>
      <c r="P12" s="428" t="s">
        <v>35</v>
      </c>
      <c r="Q12" s="455"/>
      <c r="R12" s="428" t="s">
        <v>53</v>
      </c>
      <c r="S12" s="455"/>
      <c r="T12" s="453" t="s">
        <v>14</v>
      </c>
      <c r="U12" s="423"/>
      <c r="V12" s="406" t="s">
        <v>47</v>
      </c>
      <c r="W12" s="406"/>
      <c r="X12" s="406" t="s">
        <v>48</v>
      </c>
      <c r="Y12" s="430"/>
      <c r="Z12" s="434" t="s">
        <v>67</v>
      </c>
    </row>
    <row r="13" spans="2:26" x14ac:dyDescent="0.25">
      <c r="B13" s="403"/>
      <c r="C13" s="405"/>
      <c r="D13" s="405"/>
      <c r="E13" s="407"/>
      <c r="F13" s="407"/>
      <c r="G13" s="405"/>
      <c r="H13" s="405"/>
      <c r="I13" s="405"/>
      <c r="J13" s="405"/>
      <c r="K13" s="407"/>
      <c r="L13" s="407"/>
      <c r="M13" s="424"/>
      <c r="N13" s="425"/>
      <c r="O13" s="417"/>
      <c r="P13" s="429"/>
      <c r="Q13" s="456"/>
      <c r="R13" s="429"/>
      <c r="S13" s="456"/>
      <c r="T13" s="454"/>
      <c r="U13" s="425"/>
      <c r="V13" s="407"/>
      <c r="W13" s="407"/>
      <c r="X13" s="407"/>
      <c r="Y13" s="431"/>
      <c r="Z13" s="435"/>
    </row>
    <row r="14" spans="2:26" ht="15.75" thickBot="1" x14ac:dyDescent="0.3">
      <c r="B14" s="403"/>
      <c r="C14" s="405"/>
      <c r="D14" s="405"/>
      <c r="E14" s="407"/>
      <c r="F14" s="407"/>
      <c r="G14" s="405"/>
      <c r="H14" s="405"/>
      <c r="I14" s="405"/>
      <c r="J14" s="405"/>
      <c r="K14" s="407"/>
      <c r="L14" s="407"/>
      <c r="M14" s="426"/>
      <c r="N14" s="427"/>
      <c r="O14" s="417"/>
      <c r="P14" s="429"/>
      <c r="Q14" s="456"/>
      <c r="R14" s="429"/>
      <c r="S14" s="456"/>
      <c r="T14" s="454"/>
      <c r="U14" s="425"/>
      <c r="V14" s="432"/>
      <c r="W14" s="432"/>
      <c r="X14" s="432"/>
      <c r="Y14" s="433"/>
      <c r="Z14" s="436"/>
    </row>
    <row r="15" spans="2:26" ht="16.5" thickBot="1" x14ac:dyDescent="0.3">
      <c r="B15" s="92">
        <v>1</v>
      </c>
      <c r="C15" s="401">
        <v>0.15</v>
      </c>
      <c r="D15" s="401"/>
      <c r="E15" s="401">
        <v>70</v>
      </c>
      <c r="F15" s="401"/>
      <c r="G15" s="394">
        <v>17.73</v>
      </c>
      <c r="H15" s="395"/>
      <c r="I15" s="394">
        <v>41.28</v>
      </c>
      <c r="J15" s="395"/>
      <c r="K15" s="401">
        <v>0.3</v>
      </c>
      <c r="L15" s="401"/>
      <c r="M15" s="394">
        <f t="shared" ref="M15:M26" si="0">(K15/C15)</f>
        <v>2</v>
      </c>
      <c r="N15" s="395"/>
      <c r="O15" s="111" t="s">
        <v>7</v>
      </c>
      <c r="P15" s="401">
        <f>1.044*E15/100+0.44</f>
        <v>1.1708000000000001</v>
      </c>
      <c r="Q15" s="401"/>
      <c r="R15" s="401">
        <v>6.25</v>
      </c>
      <c r="S15" s="401"/>
      <c r="T15" s="397">
        <f>V15/(G15*PI()*C15^2*K15/4)</f>
        <v>6.2499999999999991</v>
      </c>
      <c r="U15" s="397"/>
      <c r="V15" s="398">
        <f>R15*G15*PI()*C15^2*K15/4</f>
        <v>0.58746555437498815</v>
      </c>
      <c r="W15" s="399"/>
      <c r="X15" s="420">
        <f>55.5/100</f>
        <v>0.55500000000000005</v>
      </c>
      <c r="Y15" s="421"/>
      <c r="Z15" s="116">
        <f>(V15-X15)/V15*100</f>
        <v>5.526375824626621</v>
      </c>
    </row>
    <row r="16" spans="2:26" ht="16.5" thickBot="1" x14ac:dyDescent="0.3">
      <c r="B16" s="92">
        <v>2</v>
      </c>
      <c r="C16" s="401">
        <v>0.15</v>
      </c>
      <c r="D16" s="401"/>
      <c r="E16" s="401">
        <v>85</v>
      </c>
      <c r="F16" s="401"/>
      <c r="G16" s="394">
        <v>18.149999999999999</v>
      </c>
      <c r="H16" s="395"/>
      <c r="I16" s="394">
        <v>46.45</v>
      </c>
      <c r="J16" s="395"/>
      <c r="K16" s="401">
        <v>0.3</v>
      </c>
      <c r="L16" s="401"/>
      <c r="M16" s="394">
        <f t="shared" si="0"/>
        <v>2</v>
      </c>
      <c r="N16" s="395"/>
      <c r="O16" s="111" t="s">
        <v>7</v>
      </c>
      <c r="P16" s="401">
        <f>1.044*E16/100+0.44</f>
        <v>1.3274000000000001</v>
      </c>
      <c r="Q16" s="401"/>
      <c r="R16" s="401">
        <v>7.5</v>
      </c>
      <c r="S16" s="401"/>
      <c r="T16" s="397">
        <f t="shared" ref="T16:T26" si="1">V16/(G16*PI()*C16^2*K16/4)</f>
        <v>7.5000000000000009</v>
      </c>
      <c r="U16" s="397"/>
      <c r="V16" s="398">
        <f t="shared" ref="V16:V26" si="2">R16*G16*PI()*C16^2*K16/4</f>
        <v>0.72165819369922413</v>
      </c>
      <c r="W16" s="399"/>
      <c r="X16" s="457">
        <f>66.6/100</f>
        <v>0.66599999999999993</v>
      </c>
      <c r="Y16" s="400"/>
      <c r="Z16" s="116">
        <f t="shared" ref="Z16:Z26" si="3">(V16-X16)/V16*100</f>
        <v>7.7125423344700028</v>
      </c>
    </row>
    <row r="17" spans="2:26" ht="16.5" thickBot="1" x14ac:dyDescent="0.3">
      <c r="B17" s="92">
        <v>3</v>
      </c>
      <c r="C17" s="401">
        <v>0.15</v>
      </c>
      <c r="D17" s="401"/>
      <c r="E17" s="401">
        <v>70</v>
      </c>
      <c r="F17" s="401"/>
      <c r="G17" s="394">
        <v>17.73</v>
      </c>
      <c r="H17" s="395"/>
      <c r="I17" s="394">
        <v>41.28</v>
      </c>
      <c r="J17" s="395"/>
      <c r="K17" s="401">
        <v>0.45</v>
      </c>
      <c r="L17" s="401"/>
      <c r="M17" s="394">
        <f t="shared" si="0"/>
        <v>3</v>
      </c>
      <c r="N17" s="395"/>
      <c r="O17" s="111" t="s">
        <v>7</v>
      </c>
      <c r="P17" s="401">
        <f t="shared" ref="P17:P26" si="4">1.044*E17/100+0.44</f>
        <v>1.1708000000000001</v>
      </c>
      <c r="Q17" s="401"/>
      <c r="R17" s="401">
        <v>11.76</v>
      </c>
      <c r="S17" s="401"/>
      <c r="T17" s="397">
        <f t="shared" si="1"/>
        <v>11.759999999999996</v>
      </c>
      <c r="U17" s="397"/>
      <c r="V17" s="398">
        <f t="shared" si="2"/>
        <v>1.6580627806679664</v>
      </c>
      <c r="W17" s="399"/>
      <c r="X17" s="457">
        <f>105.45/100</f>
        <v>1.0545</v>
      </c>
      <c r="Y17" s="400"/>
      <c r="Z17" s="116">
        <f t="shared" si="3"/>
        <v>36.401684405750636</v>
      </c>
    </row>
    <row r="18" spans="2:26" ht="16.5" thickBot="1" x14ac:dyDescent="0.3">
      <c r="B18" s="92">
        <v>4</v>
      </c>
      <c r="C18" s="401">
        <v>0.15</v>
      </c>
      <c r="D18" s="401"/>
      <c r="E18" s="401">
        <v>85</v>
      </c>
      <c r="F18" s="401"/>
      <c r="G18" s="394">
        <v>18.149999999999999</v>
      </c>
      <c r="H18" s="395"/>
      <c r="I18" s="394">
        <v>46.45</v>
      </c>
      <c r="J18" s="395"/>
      <c r="K18" s="401">
        <v>0.45</v>
      </c>
      <c r="L18" s="401"/>
      <c r="M18" s="394">
        <f t="shared" si="0"/>
        <v>3</v>
      </c>
      <c r="N18" s="395"/>
      <c r="O18" s="111" t="s">
        <v>7</v>
      </c>
      <c r="P18" s="401">
        <f t="shared" si="4"/>
        <v>1.3274000000000001</v>
      </c>
      <c r="Q18" s="401"/>
      <c r="R18" s="401">
        <v>12.35</v>
      </c>
      <c r="S18" s="401"/>
      <c r="T18" s="397">
        <f t="shared" si="1"/>
        <v>12.350000000000001</v>
      </c>
      <c r="U18" s="397"/>
      <c r="V18" s="398">
        <f t="shared" si="2"/>
        <v>1.7824957384370836</v>
      </c>
      <c r="W18" s="399"/>
      <c r="X18" s="457">
        <f>133.2/100</f>
        <v>1.3319999999999999</v>
      </c>
      <c r="Y18" s="400"/>
      <c r="Z18" s="116">
        <f t="shared" si="3"/>
        <v>25.273313631149801</v>
      </c>
    </row>
    <row r="19" spans="2:26" ht="16.5" thickBot="1" x14ac:dyDescent="0.3">
      <c r="B19" s="92">
        <v>5</v>
      </c>
      <c r="C19" s="401">
        <v>0.15</v>
      </c>
      <c r="D19" s="401"/>
      <c r="E19" s="401">
        <v>70</v>
      </c>
      <c r="F19" s="401"/>
      <c r="G19" s="394">
        <v>17.73</v>
      </c>
      <c r="H19" s="395"/>
      <c r="I19" s="394">
        <v>41.28</v>
      </c>
      <c r="J19" s="395"/>
      <c r="K19" s="401">
        <v>0.6</v>
      </c>
      <c r="L19" s="401"/>
      <c r="M19" s="394">
        <f t="shared" si="0"/>
        <v>4</v>
      </c>
      <c r="N19" s="395"/>
      <c r="O19" s="111" t="s">
        <v>7</v>
      </c>
      <c r="P19" s="401">
        <f t="shared" si="4"/>
        <v>1.1708000000000001</v>
      </c>
      <c r="Q19" s="401"/>
      <c r="R19" s="401">
        <v>17.05</v>
      </c>
      <c r="S19" s="401"/>
      <c r="T19" s="397">
        <f t="shared" si="1"/>
        <v>17.05</v>
      </c>
      <c r="U19" s="397"/>
      <c r="V19" s="398">
        <f t="shared" si="2"/>
        <v>3.205212064669936</v>
      </c>
      <c r="W19" s="399"/>
      <c r="X19" s="457">
        <f>294.15/100</f>
        <v>2.9414999999999996</v>
      </c>
      <c r="Y19" s="400"/>
      <c r="Z19" s="116">
        <f t="shared" si="3"/>
        <v>8.2276011492890966</v>
      </c>
    </row>
    <row r="20" spans="2:26" ht="16.5" thickBot="1" x14ac:dyDescent="0.3">
      <c r="B20" s="92">
        <v>6</v>
      </c>
      <c r="C20" s="401">
        <v>0.15</v>
      </c>
      <c r="D20" s="401"/>
      <c r="E20" s="401">
        <v>85</v>
      </c>
      <c r="F20" s="401"/>
      <c r="G20" s="394">
        <v>18.149999999999999</v>
      </c>
      <c r="H20" s="395"/>
      <c r="I20" s="394">
        <v>46.45</v>
      </c>
      <c r="J20" s="395"/>
      <c r="K20" s="401">
        <v>0.6</v>
      </c>
      <c r="L20" s="401"/>
      <c r="M20" s="394">
        <f t="shared" si="0"/>
        <v>4</v>
      </c>
      <c r="N20" s="395"/>
      <c r="O20" s="111" t="s">
        <v>7</v>
      </c>
      <c r="P20" s="401">
        <f t="shared" si="4"/>
        <v>1.3274000000000001</v>
      </c>
      <c r="Q20" s="401"/>
      <c r="R20" s="401">
        <v>18.23</v>
      </c>
      <c r="S20" s="401"/>
      <c r="T20" s="397">
        <f t="shared" si="1"/>
        <v>18.23</v>
      </c>
      <c r="U20" s="397"/>
      <c r="V20" s="398">
        <f t="shared" si="2"/>
        <v>3.5082210323031613</v>
      </c>
      <c r="W20" s="399"/>
      <c r="X20" s="457">
        <f>327.45/100</f>
        <v>3.2744999999999997</v>
      </c>
      <c r="Y20" s="400"/>
      <c r="Z20" s="116">
        <f t="shared" si="3"/>
        <v>6.662095408216703</v>
      </c>
    </row>
    <row r="21" spans="2:26" ht="16.5" thickBot="1" x14ac:dyDescent="0.3">
      <c r="B21" s="92">
        <v>7</v>
      </c>
      <c r="C21" s="401">
        <v>0.3</v>
      </c>
      <c r="D21" s="401"/>
      <c r="E21" s="401">
        <v>70</v>
      </c>
      <c r="F21" s="401"/>
      <c r="G21" s="394">
        <v>17.73</v>
      </c>
      <c r="H21" s="395"/>
      <c r="I21" s="394">
        <v>41.28</v>
      </c>
      <c r="J21" s="395"/>
      <c r="K21" s="401">
        <v>0.3</v>
      </c>
      <c r="L21" s="401"/>
      <c r="M21" s="394">
        <f t="shared" si="0"/>
        <v>1</v>
      </c>
      <c r="N21" s="395"/>
      <c r="O21" s="111" t="s">
        <v>7</v>
      </c>
      <c r="P21" s="401">
        <f t="shared" si="4"/>
        <v>1.1708000000000001</v>
      </c>
      <c r="Q21" s="401"/>
      <c r="R21" s="401">
        <v>3.125</v>
      </c>
      <c r="S21" s="401"/>
      <c r="T21" s="397">
        <f t="shared" si="1"/>
        <v>3.1249999999999996</v>
      </c>
      <c r="U21" s="397"/>
      <c r="V21" s="398">
        <f t="shared" si="2"/>
        <v>1.1749311087499763</v>
      </c>
      <c r="W21" s="399"/>
      <c r="X21" s="457">
        <f>99.9/100</f>
        <v>0.99900000000000011</v>
      </c>
      <c r="Y21" s="400"/>
      <c r="Z21" s="116">
        <f t="shared" si="3"/>
        <v>14.973738242163956</v>
      </c>
    </row>
    <row r="22" spans="2:26" ht="16.5" thickBot="1" x14ac:dyDescent="0.3">
      <c r="B22" s="92">
        <v>8</v>
      </c>
      <c r="C22" s="401">
        <v>0.3</v>
      </c>
      <c r="D22" s="401"/>
      <c r="E22" s="401">
        <v>85</v>
      </c>
      <c r="F22" s="401"/>
      <c r="G22" s="394">
        <v>18.149999999999999</v>
      </c>
      <c r="H22" s="395"/>
      <c r="I22" s="394">
        <v>46.45</v>
      </c>
      <c r="J22" s="395"/>
      <c r="K22" s="401">
        <v>0.3</v>
      </c>
      <c r="L22" s="401"/>
      <c r="M22" s="394">
        <f t="shared" si="0"/>
        <v>1</v>
      </c>
      <c r="N22" s="395"/>
      <c r="O22" s="111" t="s">
        <v>7</v>
      </c>
      <c r="P22" s="401">
        <f t="shared" si="4"/>
        <v>1.3274000000000001</v>
      </c>
      <c r="Q22" s="401"/>
      <c r="R22" s="401">
        <v>3.75</v>
      </c>
      <c r="S22" s="401"/>
      <c r="T22" s="397">
        <f t="shared" si="1"/>
        <v>3.7500000000000004</v>
      </c>
      <c r="U22" s="397"/>
      <c r="V22" s="398">
        <f t="shared" si="2"/>
        <v>1.4433163873984483</v>
      </c>
      <c r="W22" s="399"/>
      <c r="X22" s="457">
        <f>116.55/100</f>
        <v>1.1655</v>
      </c>
      <c r="Y22" s="400"/>
      <c r="Z22" s="116">
        <f t="shared" si="3"/>
        <v>19.248474542661246</v>
      </c>
    </row>
    <row r="23" spans="2:26" ht="16.5" thickBot="1" x14ac:dyDescent="0.3">
      <c r="B23" s="92">
        <v>9</v>
      </c>
      <c r="C23" s="401">
        <v>0.3</v>
      </c>
      <c r="D23" s="401"/>
      <c r="E23" s="401">
        <v>70</v>
      </c>
      <c r="F23" s="401"/>
      <c r="G23" s="394">
        <v>17.73</v>
      </c>
      <c r="H23" s="395"/>
      <c r="I23" s="394">
        <v>41.28</v>
      </c>
      <c r="J23" s="395"/>
      <c r="K23" s="401">
        <v>0.45</v>
      </c>
      <c r="L23" s="401"/>
      <c r="M23" s="394">
        <f t="shared" si="0"/>
        <v>1.5</v>
      </c>
      <c r="N23" s="395"/>
      <c r="O23" s="111" t="s">
        <v>7</v>
      </c>
      <c r="P23" s="401">
        <f t="shared" si="4"/>
        <v>1.1708000000000001</v>
      </c>
      <c r="Q23" s="401"/>
      <c r="R23" s="401">
        <v>5</v>
      </c>
      <c r="S23" s="401"/>
      <c r="T23" s="397">
        <f t="shared" si="1"/>
        <v>5</v>
      </c>
      <c r="U23" s="397"/>
      <c r="V23" s="398">
        <f t="shared" si="2"/>
        <v>2.8198346609999434</v>
      </c>
      <c r="W23" s="399"/>
      <c r="X23" s="457">
        <f>194.25/100</f>
        <v>1.9424999999999999</v>
      </c>
      <c r="Y23" s="400"/>
      <c r="Z23" s="116">
        <f t="shared" si="3"/>
        <v>31.112982372123593</v>
      </c>
    </row>
    <row r="24" spans="2:26" ht="16.5" thickBot="1" x14ac:dyDescent="0.3">
      <c r="B24" s="92">
        <v>10</v>
      </c>
      <c r="C24" s="401">
        <v>0.3</v>
      </c>
      <c r="D24" s="401"/>
      <c r="E24" s="401">
        <v>85</v>
      </c>
      <c r="F24" s="401"/>
      <c r="G24" s="394">
        <v>18.149999999999999</v>
      </c>
      <c r="H24" s="395"/>
      <c r="I24" s="394">
        <v>46.45</v>
      </c>
      <c r="J24" s="395"/>
      <c r="K24" s="401">
        <v>0.45</v>
      </c>
      <c r="L24" s="401"/>
      <c r="M24" s="394">
        <f t="shared" si="0"/>
        <v>1.5</v>
      </c>
      <c r="N24" s="395"/>
      <c r="O24" s="111" t="s">
        <v>7</v>
      </c>
      <c r="P24" s="401">
        <f t="shared" si="4"/>
        <v>1.3274000000000001</v>
      </c>
      <c r="Q24" s="401"/>
      <c r="R24" s="401">
        <v>5.625</v>
      </c>
      <c r="S24" s="401"/>
      <c r="T24" s="397">
        <f t="shared" si="1"/>
        <v>5.625</v>
      </c>
      <c r="U24" s="397"/>
      <c r="V24" s="398">
        <f t="shared" si="2"/>
        <v>3.2474618716465082</v>
      </c>
      <c r="W24" s="399"/>
      <c r="X24" s="457">
        <f>216.45/100</f>
        <v>2.1644999999999999</v>
      </c>
      <c r="Y24" s="400"/>
      <c r="Z24" s="116">
        <f t="shared" si="3"/>
        <v>33.347947241561663</v>
      </c>
    </row>
    <row r="25" spans="2:26" ht="16.5" thickBot="1" x14ac:dyDescent="0.3">
      <c r="B25" s="92">
        <v>11</v>
      </c>
      <c r="C25" s="401">
        <v>0.3</v>
      </c>
      <c r="D25" s="401"/>
      <c r="E25" s="401">
        <v>70</v>
      </c>
      <c r="F25" s="401"/>
      <c r="G25" s="394">
        <v>17.73</v>
      </c>
      <c r="H25" s="395"/>
      <c r="I25" s="394">
        <v>41.28</v>
      </c>
      <c r="J25" s="395"/>
      <c r="K25" s="401">
        <v>0.6</v>
      </c>
      <c r="L25" s="401"/>
      <c r="M25" s="394">
        <f t="shared" si="0"/>
        <v>2</v>
      </c>
      <c r="N25" s="395"/>
      <c r="O25" s="111" t="s">
        <v>7</v>
      </c>
      <c r="P25" s="401">
        <f t="shared" si="4"/>
        <v>1.1708000000000001</v>
      </c>
      <c r="Q25" s="401"/>
      <c r="R25" s="401">
        <v>6.25</v>
      </c>
      <c r="S25" s="401"/>
      <c r="T25" s="397">
        <f t="shared" si="1"/>
        <v>6.2499999999999991</v>
      </c>
      <c r="U25" s="397"/>
      <c r="V25" s="398">
        <f>R25*G25*PI()*C25^2*K25/4</f>
        <v>4.6997244349999052</v>
      </c>
      <c r="W25" s="399"/>
      <c r="X25" s="457">
        <f>410.7/100</f>
        <v>4.1070000000000002</v>
      </c>
      <c r="Y25" s="400"/>
      <c r="Z25" s="116">
        <f t="shared" si="3"/>
        <v>12.611897637779629</v>
      </c>
    </row>
    <row r="26" spans="2:26" ht="16.5" thickBot="1" x14ac:dyDescent="0.3">
      <c r="B26" s="93">
        <v>12</v>
      </c>
      <c r="C26" s="393">
        <v>0.3</v>
      </c>
      <c r="D26" s="393"/>
      <c r="E26" s="393">
        <v>85</v>
      </c>
      <c r="F26" s="393"/>
      <c r="G26" s="386">
        <v>18.149999999999999</v>
      </c>
      <c r="H26" s="387"/>
      <c r="I26" s="386">
        <v>46.45</v>
      </c>
      <c r="J26" s="387"/>
      <c r="K26" s="393">
        <v>0.6</v>
      </c>
      <c r="L26" s="393"/>
      <c r="M26" s="386">
        <f t="shared" si="0"/>
        <v>2</v>
      </c>
      <c r="N26" s="387"/>
      <c r="O26" s="112" t="s">
        <v>7</v>
      </c>
      <c r="P26" s="401">
        <f t="shared" si="4"/>
        <v>1.3274000000000001</v>
      </c>
      <c r="Q26" s="401"/>
      <c r="R26" s="401">
        <v>7.5</v>
      </c>
      <c r="S26" s="401"/>
      <c r="T26" s="389">
        <f t="shared" si="1"/>
        <v>7.5000000000000009</v>
      </c>
      <c r="U26" s="389"/>
      <c r="V26" s="390">
        <f t="shared" si="2"/>
        <v>5.773265549593793</v>
      </c>
      <c r="W26" s="391"/>
      <c r="X26" s="458">
        <f>466.2/100</f>
        <v>4.6619999999999999</v>
      </c>
      <c r="Y26" s="392"/>
      <c r="Z26" s="117">
        <f t="shared" si="3"/>
        <v>19.248474542661246</v>
      </c>
    </row>
    <row r="27" spans="2:26" ht="15.75" thickBot="1" x14ac:dyDescent="0.3"/>
    <row r="28" spans="2:26" x14ac:dyDescent="0.25">
      <c r="B28" s="237" t="s">
        <v>42</v>
      </c>
      <c r="C28" s="233" t="s">
        <v>43</v>
      </c>
      <c r="D28" s="235" t="s">
        <v>52</v>
      </c>
      <c r="E28" s="235"/>
      <c r="F28" s="233" t="s">
        <v>44</v>
      </c>
      <c r="G28" s="235" t="s">
        <v>51</v>
      </c>
      <c r="H28" s="233" t="s">
        <v>45</v>
      </c>
      <c r="I28" s="342" t="s">
        <v>46</v>
      </c>
      <c r="J28" s="459" t="s">
        <v>67</v>
      </c>
      <c r="K28" s="460"/>
    </row>
    <row r="29" spans="2:26" x14ac:dyDescent="0.25">
      <c r="B29" s="238"/>
      <c r="C29" s="234"/>
      <c r="D29" s="236"/>
      <c r="E29" s="236"/>
      <c r="F29" s="234"/>
      <c r="G29" s="236"/>
      <c r="H29" s="234"/>
      <c r="I29" s="343"/>
      <c r="J29" s="461"/>
      <c r="K29" s="462"/>
    </row>
    <row r="30" spans="2:26" ht="15.75" thickBot="1" x14ac:dyDescent="0.3">
      <c r="B30" s="339"/>
      <c r="C30" s="340"/>
      <c r="D30" s="341"/>
      <c r="E30" s="341"/>
      <c r="F30" s="340"/>
      <c r="G30" s="341"/>
      <c r="H30" s="340"/>
      <c r="I30" s="344"/>
      <c r="J30" s="463"/>
      <c r="K30" s="464"/>
    </row>
    <row r="31" spans="2:26" ht="15.75" thickBot="1" x14ac:dyDescent="0.3">
      <c r="B31" s="78">
        <v>1</v>
      </c>
      <c r="C31" s="243">
        <v>70</v>
      </c>
      <c r="D31" s="246">
        <v>0.15</v>
      </c>
      <c r="E31" s="247"/>
      <c r="F31" s="197">
        <v>0.3</v>
      </c>
      <c r="G31" s="79">
        <f t="shared" ref="G31:G42" si="5">F31/D31</f>
        <v>2</v>
      </c>
      <c r="H31" s="80">
        <v>0.59</v>
      </c>
      <c r="I31" s="81">
        <v>0.56000000000000005</v>
      </c>
      <c r="J31" s="451">
        <f>(H31-I31)/H31*100</f>
        <v>5.08474576271185</v>
      </c>
      <c r="K31" s="452"/>
    </row>
    <row r="32" spans="2:26" ht="15.75" thickBot="1" x14ac:dyDescent="0.3">
      <c r="B32" s="82">
        <v>2</v>
      </c>
      <c r="C32" s="244"/>
      <c r="D32" s="248">
        <v>0.15</v>
      </c>
      <c r="E32" s="249"/>
      <c r="F32" s="198">
        <v>0.45</v>
      </c>
      <c r="G32" s="83">
        <f t="shared" si="5"/>
        <v>3</v>
      </c>
      <c r="H32" s="84">
        <v>1.66</v>
      </c>
      <c r="I32" s="85">
        <v>1.05</v>
      </c>
      <c r="J32" s="451">
        <f t="shared" ref="J32:J42" si="6">(H32-I32)/H32*100</f>
        <v>36.746987951807228</v>
      </c>
      <c r="K32" s="452"/>
    </row>
    <row r="33" spans="2:11" ht="15.75" thickBot="1" x14ac:dyDescent="0.3">
      <c r="B33" s="82">
        <v>3</v>
      </c>
      <c r="C33" s="244"/>
      <c r="D33" s="248">
        <v>0.15</v>
      </c>
      <c r="E33" s="249"/>
      <c r="F33" s="198">
        <v>0.6</v>
      </c>
      <c r="G33" s="83">
        <f t="shared" si="5"/>
        <v>4</v>
      </c>
      <c r="H33" s="84">
        <v>3.21</v>
      </c>
      <c r="I33" s="85">
        <v>2.94</v>
      </c>
      <c r="J33" s="451">
        <f t="shared" si="6"/>
        <v>8.4112149532710294</v>
      </c>
      <c r="K33" s="452"/>
    </row>
    <row r="34" spans="2:11" ht="15.75" thickBot="1" x14ac:dyDescent="0.3">
      <c r="B34" s="82">
        <v>4</v>
      </c>
      <c r="C34" s="244"/>
      <c r="D34" s="239">
        <v>0.3</v>
      </c>
      <c r="E34" s="240"/>
      <c r="F34" s="198">
        <v>0.3</v>
      </c>
      <c r="G34" s="83">
        <f t="shared" si="5"/>
        <v>1</v>
      </c>
      <c r="H34" s="84">
        <v>1.17</v>
      </c>
      <c r="I34" s="85">
        <v>1</v>
      </c>
      <c r="J34" s="451">
        <f t="shared" si="6"/>
        <v>14.529914529914526</v>
      </c>
      <c r="K34" s="452"/>
    </row>
    <row r="35" spans="2:11" ht="15.75" thickBot="1" x14ac:dyDescent="0.3">
      <c r="B35" s="82">
        <v>5</v>
      </c>
      <c r="C35" s="244"/>
      <c r="D35" s="239">
        <v>0.3</v>
      </c>
      <c r="E35" s="240"/>
      <c r="F35" s="198">
        <v>0.45</v>
      </c>
      <c r="G35" s="83">
        <f t="shared" si="5"/>
        <v>1.5</v>
      </c>
      <c r="H35" s="84">
        <v>2.82</v>
      </c>
      <c r="I35" s="85">
        <v>1.94</v>
      </c>
      <c r="J35" s="451">
        <f t="shared" si="6"/>
        <v>31.205673758865249</v>
      </c>
      <c r="K35" s="452"/>
    </row>
    <row r="36" spans="2:11" ht="15.75" thickBot="1" x14ac:dyDescent="0.3">
      <c r="B36" s="86">
        <v>6</v>
      </c>
      <c r="C36" s="245"/>
      <c r="D36" s="241">
        <v>0.3</v>
      </c>
      <c r="E36" s="242"/>
      <c r="F36" s="87">
        <v>0.6</v>
      </c>
      <c r="G36" s="88">
        <f t="shared" si="5"/>
        <v>2</v>
      </c>
      <c r="H36" s="89">
        <v>4.7</v>
      </c>
      <c r="I36" s="90">
        <v>4.1100000000000003</v>
      </c>
      <c r="J36" s="451">
        <f t="shared" si="6"/>
        <v>12.553191489361698</v>
      </c>
      <c r="K36" s="452"/>
    </row>
    <row r="37" spans="2:11" ht="15.75" thickBot="1" x14ac:dyDescent="0.3">
      <c r="B37" s="200">
        <v>7</v>
      </c>
      <c r="C37" s="411">
        <v>85</v>
      </c>
      <c r="D37" s="412">
        <v>0.15</v>
      </c>
      <c r="E37" s="413"/>
      <c r="F37" s="201">
        <v>0.3</v>
      </c>
      <c r="G37" s="202">
        <f t="shared" si="5"/>
        <v>2</v>
      </c>
      <c r="H37" s="203">
        <v>0.72</v>
      </c>
      <c r="I37" s="199">
        <v>0.67</v>
      </c>
      <c r="J37" s="451">
        <f t="shared" si="6"/>
        <v>6.9444444444444349</v>
      </c>
      <c r="K37" s="452"/>
    </row>
    <row r="38" spans="2:11" ht="15.75" thickBot="1" x14ac:dyDescent="0.3">
      <c r="B38" s="82">
        <v>8</v>
      </c>
      <c r="C38" s="244"/>
      <c r="D38" s="248">
        <v>0.15</v>
      </c>
      <c r="E38" s="249"/>
      <c r="F38" s="91">
        <v>0.45</v>
      </c>
      <c r="G38" s="83">
        <f t="shared" si="5"/>
        <v>3</v>
      </c>
      <c r="H38" s="84">
        <v>1.78</v>
      </c>
      <c r="I38" s="85">
        <v>1.3320000000000001</v>
      </c>
      <c r="J38" s="451">
        <f t="shared" si="6"/>
        <v>25.168539325842694</v>
      </c>
      <c r="K38" s="452"/>
    </row>
    <row r="39" spans="2:11" ht="15.75" thickBot="1" x14ac:dyDescent="0.3">
      <c r="B39" s="82">
        <v>9</v>
      </c>
      <c r="C39" s="244"/>
      <c r="D39" s="248">
        <v>0.15</v>
      </c>
      <c r="E39" s="249"/>
      <c r="F39" s="91">
        <v>0.6</v>
      </c>
      <c r="G39" s="83">
        <f t="shared" si="5"/>
        <v>4</v>
      </c>
      <c r="H39" s="84">
        <v>3.51</v>
      </c>
      <c r="I39" s="85">
        <v>3.27</v>
      </c>
      <c r="J39" s="451">
        <f t="shared" si="6"/>
        <v>6.8376068376068311</v>
      </c>
      <c r="K39" s="452"/>
    </row>
    <row r="40" spans="2:11" ht="15.75" thickBot="1" x14ac:dyDescent="0.3">
      <c r="B40" s="82">
        <v>10</v>
      </c>
      <c r="C40" s="244"/>
      <c r="D40" s="239">
        <v>0.3</v>
      </c>
      <c r="E40" s="240"/>
      <c r="F40" s="91">
        <v>0.3</v>
      </c>
      <c r="G40" s="83">
        <f t="shared" si="5"/>
        <v>1</v>
      </c>
      <c r="H40" s="84">
        <v>1.44</v>
      </c>
      <c r="I40" s="85">
        <v>1.17</v>
      </c>
      <c r="J40" s="451">
        <f t="shared" si="6"/>
        <v>18.750000000000004</v>
      </c>
      <c r="K40" s="452"/>
    </row>
    <row r="41" spans="2:11" ht="15.75" thickBot="1" x14ac:dyDescent="0.3">
      <c r="B41" s="82">
        <v>11</v>
      </c>
      <c r="C41" s="244"/>
      <c r="D41" s="239">
        <v>0.3</v>
      </c>
      <c r="E41" s="240"/>
      <c r="F41" s="91">
        <v>0.45</v>
      </c>
      <c r="G41" s="83">
        <f t="shared" si="5"/>
        <v>1.5</v>
      </c>
      <c r="H41" s="84">
        <v>3.25</v>
      </c>
      <c r="I41" s="85">
        <v>2.16</v>
      </c>
      <c r="J41" s="451">
        <f t="shared" si="6"/>
        <v>33.538461538461533</v>
      </c>
      <c r="K41" s="452"/>
    </row>
    <row r="42" spans="2:11" ht="15.75" thickBot="1" x14ac:dyDescent="0.3">
      <c r="B42" s="86">
        <v>12</v>
      </c>
      <c r="C42" s="245"/>
      <c r="D42" s="241">
        <v>0.3</v>
      </c>
      <c r="E42" s="242"/>
      <c r="F42" s="87">
        <v>0.6</v>
      </c>
      <c r="G42" s="88">
        <f t="shared" si="5"/>
        <v>2</v>
      </c>
      <c r="H42" s="89">
        <v>5.77</v>
      </c>
      <c r="I42" s="90">
        <v>4.66</v>
      </c>
      <c r="J42" s="451">
        <f t="shared" si="6"/>
        <v>19.2374350086655</v>
      </c>
      <c r="K42" s="452"/>
    </row>
    <row r="44" spans="2:11" ht="15.75" thickBot="1" x14ac:dyDescent="0.3"/>
    <row r="45" spans="2:11" ht="15.75" thickBot="1" x14ac:dyDescent="0.3">
      <c r="E45" s="99" t="s">
        <v>55</v>
      </c>
      <c r="F45" s="100" t="s">
        <v>54</v>
      </c>
      <c r="G45" s="101" t="s">
        <v>53</v>
      </c>
    </row>
    <row r="46" spans="2:11" x14ac:dyDescent="0.25">
      <c r="E46" s="465" t="s">
        <v>56</v>
      </c>
      <c r="F46" s="118">
        <v>1</v>
      </c>
      <c r="G46" s="108">
        <v>3.75</v>
      </c>
    </row>
    <row r="47" spans="2:11" x14ac:dyDescent="0.25">
      <c r="E47" s="466"/>
      <c r="F47" s="119">
        <v>1.5</v>
      </c>
      <c r="G47" s="106">
        <v>5.625</v>
      </c>
    </row>
    <row r="48" spans="2:11" x14ac:dyDescent="0.25">
      <c r="E48" s="466"/>
      <c r="F48" s="119">
        <v>2</v>
      </c>
      <c r="G48" s="106">
        <v>7.5</v>
      </c>
    </row>
    <row r="49" spans="5:7" x14ac:dyDescent="0.25">
      <c r="E49" s="466"/>
      <c r="F49" s="119">
        <v>3</v>
      </c>
      <c r="G49" s="106">
        <v>12.35</v>
      </c>
    </row>
    <row r="50" spans="5:7" ht="15.75" thickBot="1" x14ac:dyDescent="0.3">
      <c r="E50" s="467"/>
      <c r="F50" s="120">
        <v>4</v>
      </c>
      <c r="G50" s="107">
        <v>18.23</v>
      </c>
    </row>
    <row r="51" spans="5:7" x14ac:dyDescent="0.25">
      <c r="E51" s="468" t="s">
        <v>57</v>
      </c>
      <c r="F51" s="102">
        <v>1</v>
      </c>
      <c r="G51" s="103">
        <v>3.125</v>
      </c>
    </row>
    <row r="52" spans="5:7" x14ac:dyDescent="0.25">
      <c r="E52" s="435"/>
      <c r="F52" s="102">
        <v>1.5</v>
      </c>
      <c r="G52" s="103">
        <v>5</v>
      </c>
    </row>
    <row r="53" spans="5:7" x14ac:dyDescent="0.25">
      <c r="E53" s="435"/>
      <c r="F53" s="102">
        <v>2</v>
      </c>
      <c r="G53" s="103">
        <v>6.25</v>
      </c>
    </row>
    <row r="54" spans="5:7" x14ac:dyDescent="0.25">
      <c r="E54" s="435"/>
      <c r="F54" s="102">
        <v>3</v>
      </c>
      <c r="G54" s="103">
        <v>11.76</v>
      </c>
    </row>
    <row r="55" spans="5:7" ht="15.75" thickBot="1" x14ac:dyDescent="0.3">
      <c r="E55" s="436"/>
      <c r="F55" s="104">
        <v>4</v>
      </c>
      <c r="G55" s="105">
        <v>17.05</v>
      </c>
    </row>
  </sheetData>
  <mergeCells count="183">
    <mergeCell ref="Z12:Z14"/>
    <mergeCell ref="E46:E50"/>
    <mergeCell ref="E51:E55"/>
    <mergeCell ref="I26:J26"/>
    <mergeCell ref="C37:C42"/>
    <mergeCell ref="D37:E37"/>
    <mergeCell ref="D38:E38"/>
    <mergeCell ref="D39:E39"/>
    <mergeCell ref="D40:E40"/>
    <mergeCell ref="D41:E41"/>
    <mergeCell ref="D42:E42"/>
    <mergeCell ref="H28:H30"/>
    <mergeCell ref="I28:I30"/>
    <mergeCell ref="C31:C36"/>
    <mergeCell ref="D31:E31"/>
    <mergeCell ref="D32:E32"/>
    <mergeCell ref="D33:E33"/>
    <mergeCell ref="D34:E34"/>
    <mergeCell ref="D35:E35"/>
    <mergeCell ref="D36:E36"/>
    <mergeCell ref="X12:Y14"/>
    <mergeCell ref="M24:N24"/>
    <mergeCell ref="T24:U24"/>
    <mergeCell ref="V24:W24"/>
    <mergeCell ref="R17:S17"/>
    <mergeCell ref="R18:S18"/>
    <mergeCell ref="R19:S19"/>
    <mergeCell ref="R20:S20"/>
    <mergeCell ref="R21:S21"/>
    <mergeCell ref="R22:S22"/>
    <mergeCell ref="R23:S23"/>
    <mergeCell ref="R24:S24"/>
    <mergeCell ref="R25:S25"/>
    <mergeCell ref="C24:D24"/>
    <mergeCell ref="E24:F24"/>
    <mergeCell ref="G24:H24"/>
    <mergeCell ref="I24:J24"/>
    <mergeCell ref="K24:L24"/>
    <mergeCell ref="B28:B30"/>
    <mergeCell ref="C28:C30"/>
    <mergeCell ref="D28:E30"/>
    <mergeCell ref="F28:F30"/>
    <mergeCell ref="G28:G30"/>
    <mergeCell ref="C26:D26"/>
    <mergeCell ref="E26:F26"/>
    <mergeCell ref="G26:H26"/>
    <mergeCell ref="K26:L26"/>
    <mergeCell ref="C25:D25"/>
    <mergeCell ref="E25:F25"/>
    <mergeCell ref="G25:H25"/>
    <mergeCell ref="I25:J25"/>
    <mergeCell ref="K25:L25"/>
    <mergeCell ref="J28:K30"/>
    <mergeCell ref="V22:W22"/>
    <mergeCell ref="X22:Y22"/>
    <mergeCell ref="X24:Y24"/>
    <mergeCell ref="P26:Q26"/>
    <mergeCell ref="R26:S26"/>
    <mergeCell ref="M26:N26"/>
    <mergeCell ref="C22:D22"/>
    <mergeCell ref="E22:F22"/>
    <mergeCell ref="G22:H22"/>
    <mergeCell ref="I22:J22"/>
    <mergeCell ref="K22:L22"/>
    <mergeCell ref="P22:Q22"/>
    <mergeCell ref="P23:Q23"/>
    <mergeCell ref="M25:N25"/>
    <mergeCell ref="T25:U25"/>
    <mergeCell ref="V25:W25"/>
    <mergeCell ref="X25:Y25"/>
    <mergeCell ref="V23:W23"/>
    <mergeCell ref="X23:Y23"/>
    <mergeCell ref="T26:U26"/>
    <mergeCell ref="V26:W26"/>
    <mergeCell ref="X26:Y26"/>
    <mergeCell ref="P24:Q24"/>
    <mergeCell ref="P25:Q25"/>
    <mergeCell ref="C23:D23"/>
    <mergeCell ref="E23:F23"/>
    <mergeCell ref="G23:H23"/>
    <mergeCell ref="I23:J23"/>
    <mergeCell ref="K23:L23"/>
    <mergeCell ref="M23:N23"/>
    <mergeCell ref="T23:U23"/>
    <mergeCell ref="M22:N22"/>
    <mergeCell ref="T22:U22"/>
    <mergeCell ref="V20:W20"/>
    <mergeCell ref="X20:Y20"/>
    <mergeCell ref="C21:D21"/>
    <mergeCell ref="E21:F21"/>
    <mergeCell ref="G21:H21"/>
    <mergeCell ref="I21:J21"/>
    <mergeCell ref="K21:L21"/>
    <mergeCell ref="M21:N21"/>
    <mergeCell ref="T21:U21"/>
    <mergeCell ref="V21:W21"/>
    <mergeCell ref="X21:Y21"/>
    <mergeCell ref="C20:D20"/>
    <mergeCell ref="E20:F20"/>
    <mergeCell ref="G20:H20"/>
    <mergeCell ref="I20:J20"/>
    <mergeCell ref="K20:L20"/>
    <mergeCell ref="P20:Q20"/>
    <mergeCell ref="P21:Q21"/>
    <mergeCell ref="M20:N20"/>
    <mergeCell ref="T20:U20"/>
    <mergeCell ref="M18:N18"/>
    <mergeCell ref="T18:U18"/>
    <mergeCell ref="V18:W18"/>
    <mergeCell ref="X18:Y18"/>
    <mergeCell ref="C19:D19"/>
    <mergeCell ref="E19:F19"/>
    <mergeCell ref="G19:H19"/>
    <mergeCell ref="I19:J19"/>
    <mergeCell ref="K19:L19"/>
    <mergeCell ref="M19:N19"/>
    <mergeCell ref="T19:U19"/>
    <mergeCell ref="V19:W19"/>
    <mergeCell ref="X19:Y19"/>
    <mergeCell ref="C18:D18"/>
    <mergeCell ref="E18:F18"/>
    <mergeCell ref="G18:H18"/>
    <mergeCell ref="I18:J18"/>
    <mergeCell ref="K18:L18"/>
    <mergeCell ref="P18:Q18"/>
    <mergeCell ref="P19:Q19"/>
    <mergeCell ref="X15:Y15"/>
    <mergeCell ref="M16:N16"/>
    <mergeCell ref="T16:U16"/>
    <mergeCell ref="V16:W16"/>
    <mergeCell ref="X16:Y16"/>
    <mergeCell ref="C17:D17"/>
    <mergeCell ref="E17:F17"/>
    <mergeCell ref="G17:H17"/>
    <mergeCell ref="I17:J17"/>
    <mergeCell ref="K17:L17"/>
    <mergeCell ref="M17:N17"/>
    <mergeCell ref="T17:U17"/>
    <mergeCell ref="V17:W17"/>
    <mergeCell ref="X17:Y17"/>
    <mergeCell ref="C16:D16"/>
    <mergeCell ref="E16:F16"/>
    <mergeCell ref="G16:H16"/>
    <mergeCell ref="I16:J16"/>
    <mergeCell ref="K16:L16"/>
    <mergeCell ref="P15:Q15"/>
    <mergeCell ref="P16:Q16"/>
    <mergeCell ref="P17:Q17"/>
    <mergeCell ref="R15:S15"/>
    <mergeCell ref="R16:S16"/>
    <mergeCell ref="C15:D15"/>
    <mergeCell ref="E15:F15"/>
    <mergeCell ref="G15:H15"/>
    <mergeCell ref="I15:J15"/>
    <mergeCell ref="K15:L15"/>
    <mergeCell ref="M15:N15"/>
    <mergeCell ref="T15:U15"/>
    <mergeCell ref="V15:W15"/>
    <mergeCell ref="P12:Q14"/>
    <mergeCell ref="R12:S14"/>
    <mergeCell ref="G4:K4"/>
    <mergeCell ref="K12:L14"/>
    <mergeCell ref="M12:N14"/>
    <mergeCell ref="O12:O14"/>
    <mergeCell ref="T12:U14"/>
    <mergeCell ref="V12:W14"/>
    <mergeCell ref="B12:B14"/>
    <mergeCell ref="C12:D14"/>
    <mergeCell ref="E12:F14"/>
    <mergeCell ref="G12:H14"/>
    <mergeCell ref="I12:J14"/>
    <mergeCell ref="J40:K40"/>
    <mergeCell ref="J41:K41"/>
    <mergeCell ref="J42:K42"/>
    <mergeCell ref="J31:K31"/>
    <mergeCell ref="J32:K32"/>
    <mergeCell ref="J33:K33"/>
    <mergeCell ref="J34:K34"/>
    <mergeCell ref="J35:K35"/>
    <mergeCell ref="J36:K36"/>
    <mergeCell ref="J37:K37"/>
    <mergeCell ref="J38:K38"/>
    <mergeCell ref="J39:K39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03"/>
  <sheetViews>
    <sheetView topLeftCell="C40" zoomScaleNormal="100" workbookViewId="0">
      <selection activeCell="O45" sqref="O45"/>
    </sheetView>
  </sheetViews>
  <sheetFormatPr defaultRowHeight="15" x14ac:dyDescent="0.25"/>
  <cols>
    <col min="4" max="4" width="10.42578125" customWidth="1"/>
    <col min="5" max="5" width="15.28515625" customWidth="1"/>
    <col min="6" max="6" width="17.42578125" customWidth="1"/>
    <col min="7" max="7" width="21.7109375" customWidth="1"/>
    <col min="13" max="13" width="20.42578125" customWidth="1"/>
  </cols>
  <sheetData>
    <row r="1" spans="1:34" ht="15.75" customHeight="1" thickBot="1" x14ac:dyDescent="0.3">
      <c r="Q1" s="469" t="s">
        <v>60</v>
      </c>
      <c r="R1" s="469"/>
      <c r="S1" s="469"/>
      <c r="V1" s="469" t="s">
        <v>61</v>
      </c>
      <c r="W1" s="469"/>
      <c r="X1" s="469"/>
      <c r="AA1" s="469" t="s">
        <v>60</v>
      </c>
      <c r="AB1" s="469"/>
      <c r="AC1" s="469"/>
      <c r="AF1" s="469" t="s">
        <v>61</v>
      </c>
      <c r="AG1" s="469"/>
      <c r="AH1" s="469"/>
    </row>
    <row r="2" spans="1:34" ht="15.75" thickBot="1" x14ac:dyDescent="0.3">
      <c r="B2" s="523" t="s">
        <v>63</v>
      </c>
      <c r="C2" s="524"/>
      <c r="D2" s="524"/>
      <c r="E2" s="525"/>
      <c r="G2" s="110"/>
    </row>
    <row r="4" spans="1:34" ht="15.75" x14ac:dyDescent="0.25">
      <c r="B4" s="503" t="s">
        <v>58</v>
      </c>
      <c r="C4" s="512" t="s">
        <v>71</v>
      </c>
      <c r="D4" s="503" t="s">
        <v>76</v>
      </c>
      <c r="E4" s="512" t="s">
        <v>77</v>
      </c>
      <c r="F4" s="505" t="s">
        <v>73</v>
      </c>
      <c r="G4" s="514" t="s">
        <v>74</v>
      </c>
      <c r="H4" s="503" t="s">
        <v>70</v>
      </c>
      <c r="I4" s="519" t="s">
        <v>60</v>
      </c>
      <c r="J4" s="516"/>
      <c r="K4" s="518" t="s">
        <v>61</v>
      </c>
      <c r="L4" s="516"/>
      <c r="M4" s="528" t="s">
        <v>78</v>
      </c>
      <c r="N4" s="506" t="s">
        <v>72</v>
      </c>
    </row>
    <row r="5" spans="1:34" ht="16.5" thickBot="1" x14ac:dyDescent="0.3">
      <c r="A5" s="109"/>
      <c r="B5" s="507"/>
      <c r="C5" s="513"/>
      <c r="D5" s="507"/>
      <c r="E5" s="513"/>
      <c r="F5" s="504"/>
      <c r="G5" s="515"/>
      <c r="H5" s="504"/>
      <c r="I5" s="151" t="s">
        <v>59</v>
      </c>
      <c r="J5" s="152" t="s">
        <v>75</v>
      </c>
      <c r="K5" s="153" t="s">
        <v>59</v>
      </c>
      <c r="L5" s="153" t="s">
        <v>75</v>
      </c>
      <c r="M5" s="514"/>
      <c r="N5" s="503"/>
    </row>
    <row r="6" spans="1:34" ht="15.75" x14ac:dyDescent="0.25">
      <c r="B6" s="137">
        <v>1</v>
      </c>
      <c r="C6" s="526">
        <v>70</v>
      </c>
      <c r="D6" s="493">
        <v>17.73</v>
      </c>
      <c r="E6" s="527">
        <v>41.28</v>
      </c>
      <c r="F6" s="494">
        <v>0.15</v>
      </c>
      <c r="G6" s="138">
        <v>0.3</v>
      </c>
      <c r="H6" s="141">
        <f>$G6/$F6</f>
        <v>2</v>
      </c>
      <c r="I6" s="146">
        <v>6.9586499999999996</v>
      </c>
      <c r="J6" s="150">
        <v>0.65</v>
      </c>
      <c r="K6" s="168">
        <f>L6/(PI()/4*$F$6^2*$D$6*G6)</f>
        <v>5.95779611916769</v>
      </c>
      <c r="L6" s="156">
        <v>0.56000000000000005</v>
      </c>
      <c r="M6" s="189">
        <v>0.3</v>
      </c>
      <c r="N6" s="194">
        <f t="shared" ref="N6:N17" si="0">M6/G6</f>
        <v>1</v>
      </c>
    </row>
    <row r="7" spans="1:34" ht="15.75" x14ac:dyDescent="0.25">
      <c r="B7" s="136">
        <v>2</v>
      </c>
      <c r="C7" s="489"/>
      <c r="D7" s="481"/>
      <c r="E7" s="482"/>
      <c r="F7" s="495"/>
      <c r="G7" s="136">
        <v>0.45</v>
      </c>
      <c r="H7" s="142">
        <f>G7/F6</f>
        <v>3</v>
      </c>
      <c r="I7" s="145">
        <v>11.891</v>
      </c>
      <c r="J7" s="148">
        <v>1.68</v>
      </c>
      <c r="K7" s="170">
        <f>L7/(PI()/4*$F$6^2*$D$6*G7)</f>
        <v>7.4472451489596114</v>
      </c>
      <c r="L7" s="159">
        <v>1.05</v>
      </c>
      <c r="M7" s="190">
        <v>0.35</v>
      </c>
      <c r="N7" s="195">
        <f t="shared" si="0"/>
        <v>0.77777777777777768</v>
      </c>
    </row>
    <row r="8" spans="1:34" ht="16.5" thickBot="1" x14ac:dyDescent="0.3">
      <c r="B8" s="136">
        <v>3</v>
      </c>
      <c r="C8" s="489"/>
      <c r="D8" s="481"/>
      <c r="E8" s="482"/>
      <c r="F8" s="496"/>
      <c r="G8" s="139">
        <v>0.6</v>
      </c>
      <c r="H8" s="143">
        <f>G8/F6</f>
        <v>4</v>
      </c>
      <c r="I8" s="147">
        <v>18.126999999999999</v>
      </c>
      <c r="J8" s="149">
        <v>3.41</v>
      </c>
      <c r="K8" s="172">
        <f>L8/(PI()/4*$F$6^2*$D$6*G8)</f>
        <v>15.639214812815185</v>
      </c>
      <c r="L8" s="162">
        <v>2.94</v>
      </c>
      <c r="M8" s="191">
        <v>1</v>
      </c>
      <c r="N8" s="196">
        <f t="shared" si="0"/>
        <v>1.6666666666666667</v>
      </c>
    </row>
    <row r="9" spans="1:34" ht="15.75" x14ac:dyDescent="0.25">
      <c r="B9" s="136">
        <v>4</v>
      </c>
      <c r="C9" s="489"/>
      <c r="D9" s="481"/>
      <c r="E9" s="482"/>
      <c r="F9" s="497">
        <v>0.3</v>
      </c>
      <c r="G9" s="138">
        <v>0.3</v>
      </c>
      <c r="H9" s="141">
        <f>$G9/$F9</f>
        <v>1</v>
      </c>
      <c r="I9" s="146">
        <v>3.3279999999999998</v>
      </c>
      <c r="J9" s="150">
        <v>1.25</v>
      </c>
      <c r="K9" s="168">
        <f>L9/(PI()/4*$F$9^2*$D$6*G9)</f>
        <v>2.6597304103427186</v>
      </c>
      <c r="L9" s="156">
        <v>1</v>
      </c>
      <c r="M9" s="189">
        <v>0.25</v>
      </c>
      <c r="N9" s="194">
        <f t="shared" si="0"/>
        <v>0.83333333333333337</v>
      </c>
    </row>
    <row r="10" spans="1:34" ht="15.75" x14ac:dyDescent="0.25">
      <c r="B10" s="136">
        <v>5</v>
      </c>
      <c r="C10" s="489"/>
      <c r="D10" s="481"/>
      <c r="E10" s="482"/>
      <c r="F10" s="498"/>
      <c r="G10" s="136">
        <v>0.45</v>
      </c>
      <c r="H10" s="142">
        <f>G10/F9</f>
        <v>1.5</v>
      </c>
      <c r="I10" s="145">
        <v>4.9805000000000001</v>
      </c>
      <c r="J10" s="148">
        <v>2.81</v>
      </c>
      <c r="K10" s="170">
        <f>L10/(PI()/4*$F$9^2*$D$6*G10)</f>
        <v>3.4399179973765821</v>
      </c>
      <c r="L10" s="159">
        <v>1.94</v>
      </c>
      <c r="M10" s="190">
        <v>0.4</v>
      </c>
      <c r="N10" s="195">
        <f t="shared" si="0"/>
        <v>0.88888888888888895</v>
      </c>
    </row>
    <row r="11" spans="1:34" ht="16.5" thickBot="1" x14ac:dyDescent="0.3">
      <c r="B11" s="136">
        <v>6</v>
      </c>
      <c r="C11" s="489"/>
      <c r="D11" s="481"/>
      <c r="E11" s="482"/>
      <c r="F11" s="499"/>
      <c r="G11" s="139">
        <v>0.6</v>
      </c>
      <c r="H11" s="143">
        <f>G11/F9</f>
        <v>2</v>
      </c>
      <c r="I11" s="147">
        <v>6.9580000000000002</v>
      </c>
      <c r="J11" s="149">
        <v>5.23</v>
      </c>
      <c r="K11" s="172">
        <f>L11/(PI()/4*$F$9^2*$D$6*G11)</f>
        <v>5.4657459932542869</v>
      </c>
      <c r="L11" s="162">
        <v>4.1100000000000003</v>
      </c>
      <c r="M11" s="191">
        <v>0.5</v>
      </c>
      <c r="N11" s="196">
        <f t="shared" si="0"/>
        <v>0.83333333333333337</v>
      </c>
    </row>
    <row r="12" spans="1:34" ht="15.75" x14ac:dyDescent="0.25">
      <c r="B12" s="136">
        <v>7</v>
      </c>
      <c r="C12" s="489">
        <v>85</v>
      </c>
      <c r="D12" s="481">
        <v>18.149999999999999</v>
      </c>
      <c r="E12" s="482">
        <v>46.45</v>
      </c>
      <c r="F12" s="494">
        <v>0.15</v>
      </c>
      <c r="G12" s="138">
        <v>0.3</v>
      </c>
      <c r="H12" s="141">
        <f>$G12/$F12</f>
        <v>2</v>
      </c>
      <c r="I12" s="146">
        <v>9.5129999999999999</v>
      </c>
      <c r="J12" s="150">
        <v>0.92</v>
      </c>
      <c r="K12" s="168">
        <f>L12/(PI()/4*$F$12^2*$D$12*G12)</f>
        <v>6.9631302517911173</v>
      </c>
      <c r="L12" s="156">
        <v>0.67</v>
      </c>
      <c r="M12" s="189">
        <v>0.45</v>
      </c>
      <c r="N12" s="194">
        <f t="shared" si="0"/>
        <v>1.5</v>
      </c>
    </row>
    <row r="13" spans="1:34" ht="15.75" x14ac:dyDescent="0.25">
      <c r="B13" s="136">
        <v>8</v>
      </c>
      <c r="C13" s="489"/>
      <c r="D13" s="481"/>
      <c r="E13" s="482"/>
      <c r="F13" s="495"/>
      <c r="G13" s="136">
        <v>0.45</v>
      </c>
      <c r="H13" s="142">
        <f>G13/F12</f>
        <v>3</v>
      </c>
      <c r="I13" s="145">
        <v>17.109000000000002</v>
      </c>
      <c r="J13" s="148">
        <v>2.4700000000000002</v>
      </c>
      <c r="K13" s="170">
        <f>L13/(PI()/4*$F$12^2*$D$12*G13)</f>
        <v>9.2287457665530024</v>
      </c>
      <c r="L13" s="159">
        <v>1.3320000000000001</v>
      </c>
      <c r="M13" s="190">
        <v>0.45</v>
      </c>
      <c r="N13" s="195">
        <f t="shared" si="0"/>
        <v>1</v>
      </c>
    </row>
    <row r="14" spans="1:34" ht="16.5" thickBot="1" x14ac:dyDescent="0.3">
      <c r="B14" s="136">
        <v>9</v>
      </c>
      <c r="C14" s="489"/>
      <c r="D14" s="481"/>
      <c r="E14" s="482"/>
      <c r="F14" s="496"/>
      <c r="G14" s="139">
        <v>0.6</v>
      </c>
      <c r="H14" s="143">
        <f>G14/F12</f>
        <v>4</v>
      </c>
      <c r="I14" s="147">
        <v>26.93</v>
      </c>
      <c r="J14" s="149">
        <v>5.18</v>
      </c>
      <c r="K14" s="172">
        <f>L14/(PI()/4*$F$12^2*$D$12*G14)</f>
        <v>16.992116360714142</v>
      </c>
      <c r="L14" s="162">
        <v>3.27</v>
      </c>
      <c r="M14" s="191">
        <v>1.35</v>
      </c>
      <c r="N14" s="196">
        <f t="shared" si="0"/>
        <v>2.2500000000000004</v>
      </c>
    </row>
    <row r="15" spans="1:34" ht="15.75" x14ac:dyDescent="0.25">
      <c r="B15" s="136">
        <v>10</v>
      </c>
      <c r="C15" s="489"/>
      <c r="D15" s="481"/>
      <c r="E15" s="482"/>
      <c r="F15" s="497">
        <v>0.3</v>
      </c>
      <c r="G15" s="138">
        <v>0.3</v>
      </c>
      <c r="H15" s="141">
        <f>G15/F15</f>
        <v>1</v>
      </c>
      <c r="I15" s="146">
        <v>4.1399999999999997</v>
      </c>
      <c r="J15" s="150">
        <v>1.59</v>
      </c>
      <c r="K15" s="168">
        <f>L15/(PI()/4*$F$15^2*$D$12*G15)</f>
        <v>3.0398740278341814</v>
      </c>
      <c r="L15" s="156">
        <v>1.17</v>
      </c>
      <c r="M15" s="189">
        <v>0.35</v>
      </c>
      <c r="N15" s="194">
        <f t="shared" si="0"/>
        <v>1.1666666666666667</v>
      </c>
    </row>
    <row r="16" spans="1:34" ht="15.75" x14ac:dyDescent="0.25">
      <c r="B16" s="136">
        <v>11</v>
      </c>
      <c r="C16" s="489"/>
      <c r="D16" s="481"/>
      <c r="E16" s="482"/>
      <c r="F16" s="498"/>
      <c r="G16" s="136">
        <v>0.45</v>
      </c>
      <c r="H16" s="142">
        <f>G16/F15</f>
        <v>1.5</v>
      </c>
      <c r="I16" s="145">
        <v>6.55</v>
      </c>
      <c r="J16" s="148">
        <v>3.78</v>
      </c>
      <c r="K16" s="170">
        <f>L16/(PI()/4*$F$15^2*$D$12*G16)</f>
        <v>3.741383418872839</v>
      </c>
      <c r="L16" s="159">
        <v>2.16</v>
      </c>
      <c r="M16" s="190">
        <v>0.35</v>
      </c>
      <c r="N16" s="195">
        <f t="shared" si="0"/>
        <v>0.77777777777777768</v>
      </c>
    </row>
    <row r="17" spans="2:24" ht="16.5" thickBot="1" x14ac:dyDescent="0.3">
      <c r="B17" s="136">
        <v>12</v>
      </c>
      <c r="C17" s="489"/>
      <c r="D17" s="481"/>
      <c r="E17" s="482"/>
      <c r="F17" s="499"/>
      <c r="G17" s="139">
        <v>0.6</v>
      </c>
      <c r="H17" s="143">
        <f>G17/F15</f>
        <v>2</v>
      </c>
      <c r="I17" s="147">
        <v>9.5129999999999999</v>
      </c>
      <c r="J17" s="149">
        <v>7.32</v>
      </c>
      <c r="K17" s="172">
        <f>L17/(PI()/4*$F$15^2*$D$12*G17)</f>
        <v>6.0537662263706347</v>
      </c>
      <c r="L17" s="162">
        <v>4.66</v>
      </c>
      <c r="M17" s="191">
        <v>0.5</v>
      </c>
      <c r="N17" s="196">
        <f t="shared" si="0"/>
        <v>0.83333333333333337</v>
      </c>
    </row>
    <row r="19" spans="2:24" x14ac:dyDescent="0.25">
      <c r="N19" s="109"/>
      <c r="O19" s="109"/>
      <c r="P19" s="109"/>
      <c r="Q19" s="109"/>
      <c r="R19" s="109"/>
      <c r="S19" s="109"/>
      <c r="T19" s="109"/>
      <c r="U19" s="109"/>
    </row>
    <row r="20" spans="2:24" x14ac:dyDescent="0.25">
      <c r="X20" t="e">
        <f>Z20/(G20*S20*C20^2*PI()/4)</f>
        <v>#DIV/0!</v>
      </c>
    </row>
    <row r="22" spans="2:24" ht="15.75" thickBot="1" x14ac:dyDescent="0.3"/>
    <row r="23" spans="2:24" ht="15.75" thickBot="1" x14ac:dyDescent="0.3">
      <c r="B23" s="520" t="s">
        <v>62</v>
      </c>
      <c r="C23" s="521"/>
      <c r="D23" s="522"/>
    </row>
    <row r="25" spans="2:24" ht="15.75" x14ac:dyDescent="0.25">
      <c r="B25" s="510" t="s">
        <v>58</v>
      </c>
      <c r="C25" s="503" t="s">
        <v>71</v>
      </c>
      <c r="D25" s="512" t="s">
        <v>76</v>
      </c>
      <c r="E25" s="503" t="s">
        <v>77</v>
      </c>
      <c r="F25" s="514" t="s">
        <v>73</v>
      </c>
      <c r="G25" s="505" t="s">
        <v>74</v>
      </c>
      <c r="H25" s="512" t="s">
        <v>70</v>
      </c>
      <c r="I25" s="518" t="s">
        <v>60</v>
      </c>
      <c r="J25" s="516"/>
      <c r="K25" s="512" t="s">
        <v>61</v>
      </c>
      <c r="L25" s="512"/>
      <c r="M25" s="502" t="s">
        <v>78</v>
      </c>
      <c r="N25" s="516" t="s">
        <v>79</v>
      </c>
    </row>
    <row r="26" spans="2:24" ht="16.5" thickBot="1" x14ac:dyDescent="0.3">
      <c r="B26" s="511"/>
      <c r="C26" s="507"/>
      <c r="D26" s="513"/>
      <c r="E26" s="507"/>
      <c r="F26" s="515"/>
      <c r="G26" s="504"/>
      <c r="H26" s="515"/>
      <c r="I26" s="153" t="s">
        <v>59</v>
      </c>
      <c r="J26" s="153" t="s">
        <v>75</v>
      </c>
      <c r="K26" s="153" t="s">
        <v>59</v>
      </c>
      <c r="L26" s="154" t="s">
        <v>75</v>
      </c>
      <c r="M26" s="505"/>
      <c r="N26" s="517"/>
    </row>
    <row r="27" spans="2:24" ht="15.75" x14ac:dyDescent="0.25">
      <c r="B27" s="136">
        <v>1</v>
      </c>
      <c r="C27" s="489">
        <v>70</v>
      </c>
      <c r="D27" s="481">
        <v>17.73</v>
      </c>
      <c r="E27" s="482">
        <v>41.28</v>
      </c>
      <c r="F27" s="494">
        <v>0.15</v>
      </c>
      <c r="G27" s="138">
        <v>0.3</v>
      </c>
      <c r="H27" s="141">
        <f>$G27/$F27</f>
        <v>2</v>
      </c>
      <c r="I27" s="146">
        <v>6.3150000000000004</v>
      </c>
      <c r="J27" s="150">
        <v>0.59</v>
      </c>
      <c r="K27" s="155">
        <f>L27/(PI()/4*$F$6^2*$D$6*G27)</f>
        <v>5.95779611916769</v>
      </c>
      <c r="L27" s="156">
        <v>0.56000000000000005</v>
      </c>
      <c r="M27" s="189">
        <v>0.3</v>
      </c>
      <c r="N27" s="157">
        <f t="shared" ref="N27:N38" si="1">M27/G27</f>
        <v>1</v>
      </c>
    </row>
    <row r="28" spans="2:24" ht="15.75" x14ac:dyDescent="0.25">
      <c r="B28" s="136">
        <v>2</v>
      </c>
      <c r="C28" s="489"/>
      <c r="D28" s="481"/>
      <c r="E28" s="482"/>
      <c r="F28" s="495"/>
      <c r="G28" s="136">
        <v>0.45</v>
      </c>
      <c r="H28" s="142">
        <f>G28/F27</f>
        <v>3</v>
      </c>
      <c r="I28" s="145">
        <v>10.504</v>
      </c>
      <c r="J28" s="148">
        <v>1.48</v>
      </c>
      <c r="K28" s="158">
        <f>L28/(PI()/4*$F$6^2*$D$6*G28)</f>
        <v>7.4472451489596114</v>
      </c>
      <c r="L28" s="159">
        <v>1.05</v>
      </c>
      <c r="M28" s="190">
        <v>0.35</v>
      </c>
      <c r="N28" s="160">
        <f t="shared" si="1"/>
        <v>0.77777777777777768</v>
      </c>
    </row>
    <row r="29" spans="2:24" ht="16.5" thickBot="1" x14ac:dyDescent="0.3">
      <c r="B29" s="136">
        <v>3</v>
      </c>
      <c r="C29" s="489"/>
      <c r="D29" s="481"/>
      <c r="E29" s="482"/>
      <c r="F29" s="496"/>
      <c r="G29" s="139">
        <v>0.6</v>
      </c>
      <c r="H29" s="143">
        <f>G29/F27</f>
        <v>4</v>
      </c>
      <c r="I29" s="147">
        <v>15.625</v>
      </c>
      <c r="J29" s="149">
        <v>2.94</v>
      </c>
      <c r="K29" s="161">
        <f>L29/(PI()/4*$F$6^2*$D$6*G29)</f>
        <v>15.639214812815185</v>
      </c>
      <c r="L29" s="162">
        <v>2.94</v>
      </c>
      <c r="M29" s="191">
        <v>1</v>
      </c>
      <c r="N29" s="163">
        <f t="shared" si="1"/>
        <v>1.6666666666666667</v>
      </c>
    </row>
    <row r="30" spans="2:24" ht="15.75" x14ac:dyDescent="0.25">
      <c r="B30" s="136">
        <v>4</v>
      </c>
      <c r="C30" s="489"/>
      <c r="D30" s="481"/>
      <c r="E30" s="482"/>
      <c r="F30" s="497">
        <v>0.3</v>
      </c>
      <c r="G30" s="138">
        <v>0.3</v>
      </c>
      <c r="H30" s="141">
        <f>$G30/$F30</f>
        <v>1</v>
      </c>
      <c r="I30" s="146">
        <v>3.0914000000000001</v>
      </c>
      <c r="J30" s="150">
        <v>1.1599999999999999</v>
      </c>
      <c r="K30" s="155">
        <f>L30/(PI()/4*$F$9^2*$D$6*G30)</f>
        <v>2.6597304103427186</v>
      </c>
      <c r="L30" s="156">
        <v>1</v>
      </c>
      <c r="M30" s="189">
        <v>0.25</v>
      </c>
      <c r="N30" s="157">
        <f t="shared" si="1"/>
        <v>0.83333333333333337</v>
      </c>
    </row>
    <row r="31" spans="2:24" ht="15.75" x14ac:dyDescent="0.25">
      <c r="B31" s="136">
        <v>5</v>
      </c>
      <c r="C31" s="489"/>
      <c r="D31" s="481"/>
      <c r="E31" s="482"/>
      <c r="F31" s="498"/>
      <c r="G31" s="136">
        <v>0.45</v>
      </c>
      <c r="H31" s="142">
        <f>G31/F30</f>
        <v>1.5</v>
      </c>
      <c r="I31" s="145">
        <v>4.6409000000000002</v>
      </c>
      <c r="J31" s="148">
        <v>2.62</v>
      </c>
      <c r="K31" s="158">
        <f>L31/(PI()/4*$F$9^2*$D$6*G31)</f>
        <v>3.4399179973765821</v>
      </c>
      <c r="L31" s="159">
        <v>1.94</v>
      </c>
      <c r="M31" s="190">
        <v>0.4</v>
      </c>
      <c r="N31" s="160">
        <f t="shared" si="1"/>
        <v>0.88888888888888895</v>
      </c>
    </row>
    <row r="32" spans="2:24" ht="16.5" thickBot="1" x14ac:dyDescent="0.3">
      <c r="B32" s="136">
        <v>6</v>
      </c>
      <c r="C32" s="489"/>
      <c r="D32" s="481"/>
      <c r="E32" s="482"/>
      <c r="F32" s="499"/>
      <c r="G32" s="139">
        <v>0.6</v>
      </c>
      <c r="H32" s="143">
        <f>G32/F30</f>
        <v>2</v>
      </c>
      <c r="I32" s="147">
        <v>6.3150000000000004</v>
      </c>
      <c r="J32" s="149">
        <v>4.75</v>
      </c>
      <c r="K32" s="161">
        <f>L32/(PI()/4*$F$9^2*$D$6*G32)</f>
        <v>5.4657459932542869</v>
      </c>
      <c r="L32" s="162">
        <v>4.1100000000000003</v>
      </c>
      <c r="M32" s="191">
        <v>0.5</v>
      </c>
      <c r="N32" s="163">
        <f t="shared" si="1"/>
        <v>0.83333333333333337</v>
      </c>
    </row>
    <row r="33" spans="2:14" ht="15.75" x14ac:dyDescent="0.25">
      <c r="B33" s="136">
        <v>7</v>
      </c>
      <c r="C33" s="489">
        <v>85</v>
      </c>
      <c r="D33" s="481">
        <v>18.149999999999999</v>
      </c>
      <c r="E33" s="482">
        <v>46.45</v>
      </c>
      <c r="F33" s="508">
        <v>0.15</v>
      </c>
      <c r="G33" s="137">
        <v>0.3</v>
      </c>
      <c r="H33" s="144">
        <f>$G33/$F33</f>
        <v>2</v>
      </c>
      <c r="I33" s="145">
        <v>6.62</v>
      </c>
      <c r="J33" s="148">
        <v>0.64</v>
      </c>
      <c r="K33" s="158">
        <f>L33/(PI()/4*$F$12^2*$D$12*G33)</f>
        <v>6.9631302517911173</v>
      </c>
      <c r="L33" s="159">
        <v>0.67</v>
      </c>
      <c r="M33" s="192">
        <v>0.45</v>
      </c>
      <c r="N33" s="164">
        <f t="shared" si="1"/>
        <v>1.5</v>
      </c>
    </row>
    <row r="34" spans="2:14" ht="15.75" x14ac:dyDescent="0.25">
      <c r="B34" s="136">
        <v>8</v>
      </c>
      <c r="C34" s="489"/>
      <c r="D34" s="481"/>
      <c r="E34" s="482"/>
      <c r="F34" s="495"/>
      <c r="G34" s="136">
        <v>0.45</v>
      </c>
      <c r="H34" s="142">
        <f>G34/F33</f>
        <v>3</v>
      </c>
      <c r="I34" s="145">
        <v>10.885999999999999</v>
      </c>
      <c r="J34" s="148">
        <v>1.57</v>
      </c>
      <c r="K34" s="158">
        <f>L34/(PI()/4*$F$12^2*$D$12*G34)</f>
        <v>9.2287457665530024</v>
      </c>
      <c r="L34" s="159">
        <v>1.3320000000000001</v>
      </c>
      <c r="M34" s="190">
        <v>0.45</v>
      </c>
      <c r="N34" s="160">
        <f t="shared" si="1"/>
        <v>1</v>
      </c>
    </row>
    <row r="35" spans="2:14" ht="16.5" thickBot="1" x14ac:dyDescent="0.3">
      <c r="B35" s="136">
        <v>9</v>
      </c>
      <c r="C35" s="489"/>
      <c r="D35" s="481"/>
      <c r="E35" s="482"/>
      <c r="F35" s="509"/>
      <c r="G35" s="140">
        <v>0.6</v>
      </c>
      <c r="H35" s="165">
        <f>G35/F33</f>
        <v>4</v>
      </c>
      <c r="I35" s="145">
        <v>16.297000000000001</v>
      </c>
      <c r="J35" s="148">
        <v>3.14</v>
      </c>
      <c r="K35" s="158">
        <f>L35/(PI()/4*$F$12^2*$D$12*G35)</f>
        <v>16.992116360714142</v>
      </c>
      <c r="L35" s="159">
        <v>3.27</v>
      </c>
      <c r="M35" s="193">
        <v>1.35</v>
      </c>
      <c r="N35" s="166">
        <f t="shared" si="1"/>
        <v>2.2500000000000004</v>
      </c>
    </row>
    <row r="36" spans="2:14" ht="15.75" x14ac:dyDescent="0.25">
      <c r="B36" s="136">
        <v>10</v>
      </c>
      <c r="C36" s="489"/>
      <c r="D36" s="481"/>
      <c r="E36" s="482"/>
      <c r="F36" s="497">
        <v>0.3</v>
      </c>
      <c r="G36" s="138">
        <v>0.3</v>
      </c>
      <c r="H36" s="141">
        <f>G36/F36</f>
        <v>1</v>
      </c>
      <c r="I36" s="146">
        <v>3.1829999999999998</v>
      </c>
      <c r="J36" s="150">
        <v>1.23</v>
      </c>
      <c r="K36" s="155">
        <f>L36/(PI()/4*$F$15^2*$D$12*G36)</f>
        <v>3.0398740278341814</v>
      </c>
      <c r="L36" s="156">
        <v>1.17</v>
      </c>
      <c r="M36" s="189">
        <v>0.35</v>
      </c>
      <c r="N36" s="157">
        <f t="shared" si="1"/>
        <v>1.1666666666666667</v>
      </c>
    </row>
    <row r="37" spans="2:14" ht="15.75" x14ac:dyDescent="0.25">
      <c r="B37" s="136">
        <v>11</v>
      </c>
      <c r="C37" s="489"/>
      <c r="D37" s="481"/>
      <c r="E37" s="482"/>
      <c r="F37" s="498"/>
      <c r="G37" s="136">
        <v>0.45</v>
      </c>
      <c r="H37" s="142">
        <f>G37/F36</f>
        <v>1.5</v>
      </c>
      <c r="I37" s="145">
        <v>4.8120000000000003</v>
      </c>
      <c r="J37" s="148">
        <v>2.78</v>
      </c>
      <c r="K37" s="158">
        <f>L37/(PI()/4*$F$15^2*$D$12*G37)</f>
        <v>3.741383418872839</v>
      </c>
      <c r="L37" s="159">
        <v>2.16</v>
      </c>
      <c r="M37" s="190">
        <v>0.35</v>
      </c>
      <c r="N37" s="160">
        <f t="shared" si="1"/>
        <v>0.77777777777777768</v>
      </c>
    </row>
    <row r="38" spans="2:14" ht="16.5" thickBot="1" x14ac:dyDescent="0.3">
      <c r="B38" s="136">
        <v>12</v>
      </c>
      <c r="C38" s="489"/>
      <c r="D38" s="481"/>
      <c r="E38" s="482"/>
      <c r="F38" s="499"/>
      <c r="G38" s="139">
        <v>0.6</v>
      </c>
      <c r="H38" s="143">
        <f>G38/F36</f>
        <v>2</v>
      </c>
      <c r="I38" s="147">
        <v>6.62</v>
      </c>
      <c r="J38" s="167">
        <v>5.0999999999999996</v>
      </c>
      <c r="K38" s="161">
        <f>L38/(PI()/4*$F$15^2*$D$12*G38)</f>
        <v>6.0537662263706347</v>
      </c>
      <c r="L38" s="162">
        <v>4.66</v>
      </c>
      <c r="M38" s="191">
        <v>0.5</v>
      </c>
      <c r="N38" s="163">
        <f t="shared" si="1"/>
        <v>0.83333333333333337</v>
      </c>
    </row>
    <row r="43" spans="2:14" ht="15.75" thickBot="1" x14ac:dyDescent="0.3"/>
    <row r="44" spans="2:14" ht="15.75" thickBot="1" x14ac:dyDescent="0.3">
      <c r="B44" s="470" t="s">
        <v>64</v>
      </c>
      <c r="C44" s="471"/>
      <c r="D44" s="471"/>
      <c r="E44" s="472"/>
    </row>
    <row r="46" spans="2:14" ht="15.75" x14ac:dyDescent="0.25">
      <c r="B46" s="503" t="s">
        <v>58</v>
      </c>
      <c r="C46" s="503" t="s">
        <v>71</v>
      </c>
      <c r="D46" s="503" t="s">
        <v>76</v>
      </c>
      <c r="E46" s="503" t="s">
        <v>77</v>
      </c>
      <c r="F46" s="505" t="s">
        <v>73</v>
      </c>
      <c r="G46" s="505" t="s">
        <v>74</v>
      </c>
      <c r="H46" s="503" t="s">
        <v>70</v>
      </c>
      <c r="I46" s="506" t="s">
        <v>60</v>
      </c>
      <c r="J46" s="506"/>
      <c r="K46" s="506" t="s">
        <v>61</v>
      </c>
      <c r="L46" s="506"/>
      <c r="M46" s="502" t="s">
        <v>78</v>
      </c>
      <c r="N46" s="506" t="s">
        <v>79</v>
      </c>
    </row>
    <row r="47" spans="2:14" ht="16.5" thickBot="1" x14ac:dyDescent="0.3">
      <c r="B47" s="507"/>
      <c r="C47" s="507"/>
      <c r="D47" s="507"/>
      <c r="E47" s="507"/>
      <c r="F47" s="504"/>
      <c r="G47" s="504"/>
      <c r="H47" s="504"/>
      <c r="I47" s="151" t="s">
        <v>59</v>
      </c>
      <c r="J47" s="152" t="s">
        <v>75</v>
      </c>
      <c r="K47" s="153" t="s">
        <v>59</v>
      </c>
      <c r="L47" s="152" t="s">
        <v>75</v>
      </c>
      <c r="M47" s="505"/>
      <c r="N47" s="503"/>
    </row>
    <row r="48" spans="2:14" ht="15.75" x14ac:dyDescent="0.25">
      <c r="B48" s="136">
        <v>1</v>
      </c>
      <c r="C48" s="489">
        <v>70</v>
      </c>
      <c r="D48" s="481">
        <v>17.73</v>
      </c>
      <c r="E48" s="482">
        <v>41.28</v>
      </c>
      <c r="F48" s="494">
        <v>0.15</v>
      </c>
      <c r="G48" s="138">
        <v>0.3</v>
      </c>
      <c r="H48" s="179">
        <f>$G48/$F48</f>
        <v>2</v>
      </c>
      <c r="I48" s="146">
        <v>6.5419999999999998</v>
      </c>
      <c r="J48" s="150">
        <v>0.61</v>
      </c>
      <c r="K48" s="168">
        <f>L48/(PI()/4*$F$6^2*$D$6*G48)</f>
        <v>5.95779611916769</v>
      </c>
      <c r="L48" s="168">
        <v>0.56000000000000005</v>
      </c>
      <c r="M48" s="185">
        <v>0.3</v>
      </c>
      <c r="N48" s="169">
        <f t="shared" ref="N48:N59" si="2">M48/G48</f>
        <v>1</v>
      </c>
    </row>
    <row r="49" spans="2:14" ht="15.75" x14ac:dyDescent="0.25">
      <c r="B49" s="136">
        <v>2</v>
      </c>
      <c r="C49" s="489"/>
      <c r="D49" s="481"/>
      <c r="E49" s="482"/>
      <c r="F49" s="495"/>
      <c r="G49" s="136">
        <v>0.45</v>
      </c>
      <c r="H49" s="177">
        <f>G49/F48</f>
        <v>3</v>
      </c>
      <c r="I49" s="145">
        <v>22.7547</v>
      </c>
      <c r="J49" s="148">
        <v>3.21</v>
      </c>
      <c r="K49" s="170">
        <f>L49/(PI()/4*$F$6^2*$D$6*G49)</f>
        <v>7.4472451489596114</v>
      </c>
      <c r="L49" s="170">
        <v>1.05</v>
      </c>
      <c r="M49" s="186">
        <v>0.35</v>
      </c>
      <c r="N49" s="171">
        <f t="shared" si="2"/>
        <v>0.77777777777777768</v>
      </c>
    </row>
    <row r="50" spans="2:14" ht="16.5" thickBot="1" x14ac:dyDescent="0.3">
      <c r="B50" s="136">
        <v>3</v>
      </c>
      <c r="C50" s="489"/>
      <c r="D50" s="481"/>
      <c r="E50" s="482"/>
      <c r="F50" s="496"/>
      <c r="G50" s="139">
        <v>0.6</v>
      </c>
      <c r="H50" s="178">
        <f>G50/F48</f>
        <v>4</v>
      </c>
      <c r="I50" s="147">
        <v>56.015999999999998</v>
      </c>
      <c r="J50" s="149">
        <v>10.53</v>
      </c>
      <c r="K50" s="172">
        <f>L50/(PI()/4*$F$6^2*$D$6*G50)</f>
        <v>15.639214812815185</v>
      </c>
      <c r="L50" s="172">
        <v>2.94</v>
      </c>
      <c r="M50" s="187">
        <v>1</v>
      </c>
      <c r="N50" s="173">
        <f t="shared" si="2"/>
        <v>1.6666666666666667</v>
      </c>
    </row>
    <row r="51" spans="2:14" ht="15.75" x14ac:dyDescent="0.25">
      <c r="B51" s="136">
        <v>4</v>
      </c>
      <c r="C51" s="489"/>
      <c r="D51" s="481"/>
      <c r="E51" s="482"/>
      <c r="F51" s="497">
        <v>0.3</v>
      </c>
      <c r="G51" s="138">
        <v>0.3</v>
      </c>
      <c r="H51" s="179">
        <f>$G51/$F51</f>
        <v>1</v>
      </c>
      <c r="I51" s="146">
        <v>1.9055</v>
      </c>
      <c r="J51" s="150">
        <v>0.72</v>
      </c>
      <c r="K51" s="168">
        <f>L51/(PI()/4*$F$9^2*$D$6*G51)</f>
        <v>2.6597304103427186</v>
      </c>
      <c r="L51" s="168">
        <v>1</v>
      </c>
      <c r="M51" s="185">
        <v>0.25</v>
      </c>
      <c r="N51" s="169">
        <f t="shared" si="2"/>
        <v>0.83333333333333337</v>
      </c>
    </row>
    <row r="52" spans="2:14" ht="15.75" x14ac:dyDescent="0.25">
      <c r="B52" s="136">
        <v>5</v>
      </c>
      <c r="C52" s="489"/>
      <c r="D52" s="481"/>
      <c r="E52" s="482"/>
      <c r="F52" s="498"/>
      <c r="G52" s="136">
        <v>0.45</v>
      </c>
      <c r="H52" s="177">
        <f>G52/F51</f>
        <v>1.5</v>
      </c>
      <c r="I52" s="145">
        <v>6.2960000000000003</v>
      </c>
      <c r="J52" s="148">
        <v>3.55</v>
      </c>
      <c r="K52" s="170">
        <f>L52/(PI()/4*$F$9^2*$D$6*G52)</f>
        <v>3.4399179973765821</v>
      </c>
      <c r="L52" s="170">
        <v>1.94</v>
      </c>
      <c r="M52" s="186">
        <v>0.4</v>
      </c>
      <c r="N52" s="171">
        <f t="shared" si="2"/>
        <v>0.88888888888888895</v>
      </c>
    </row>
    <row r="53" spans="2:14" ht="16.5" thickBot="1" x14ac:dyDescent="0.3">
      <c r="B53" s="136">
        <v>6</v>
      </c>
      <c r="C53" s="489"/>
      <c r="D53" s="481"/>
      <c r="E53" s="482"/>
      <c r="F53" s="499"/>
      <c r="G53" s="139">
        <v>0.6</v>
      </c>
      <c r="H53" s="178">
        <f>G53/F51</f>
        <v>2</v>
      </c>
      <c r="I53" s="147">
        <v>15.084160000000001</v>
      </c>
      <c r="J53" s="149">
        <v>11.34</v>
      </c>
      <c r="K53" s="172">
        <f>L53/(PI()/4*$F$9^2*$D$6*G53)</f>
        <v>5.4657459932542869</v>
      </c>
      <c r="L53" s="172">
        <v>4.1100000000000003</v>
      </c>
      <c r="M53" s="187">
        <v>0.5</v>
      </c>
      <c r="N53" s="173">
        <f t="shared" si="2"/>
        <v>0.83333333333333337</v>
      </c>
    </row>
    <row r="54" spans="2:14" ht="15.75" x14ac:dyDescent="0.25">
      <c r="B54" s="136">
        <v>7</v>
      </c>
      <c r="C54" s="489">
        <v>85</v>
      </c>
      <c r="D54" s="481">
        <v>18.149999999999999</v>
      </c>
      <c r="E54" s="482">
        <v>46.45</v>
      </c>
      <c r="F54" s="494">
        <v>0.15</v>
      </c>
      <c r="G54" s="138">
        <v>0.3</v>
      </c>
      <c r="H54" s="179">
        <f>$G54/$F54</f>
        <v>2</v>
      </c>
      <c r="I54" s="146">
        <v>6.5422000000000002</v>
      </c>
      <c r="J54" s="150">
        <v>0.63</v>
      </c>
      <c r="K54" s="168">
        <f>L54/(PI()/4*$F$12^2*$D$12*G54)</f>
        <v>6.9631302517911173</v>
      </c>
      <c r="L54" s="168">
        <v>0.67</v>
      </c>
      <c r="M54" s="185">
        <v>0.45</v>
      </c>
      <c r="N54" s="169">
        <f t="shared" si="2"/>
        <v>1.5</v>
      </c>
    </row>
    <row r="55" spans="2:14" ht="15.75" x14ac:dyDescent="0.25">
      <c r="B55" s="136">
        <v>8</v>
      </c>
      <c r="C55" s="489"/>
      <c r="D55" s="481"/>
      <c r="E55" s="482"/>
      <c r="F55" s="495"/>
      <c r="G55" s="136">
        <v>0.45</v>
      </c>
      <c r="H55" s="177">
        <f>G55/F54</f>
        <v>3</v>
      </c>
      <c r="I55" s="145">
        <v>22.754000000000001</v>
      </c>
      <c r="J55" s="148">
        <v>3.28</v>
      </c>
      <c r="K55" s="170">
        <f>L55/(PI()/4*$F$12^2*$D$12*G55)</f>
        <v>9.2287457665530024</v>
      </c>
      <c r="L55" s="170">
        <v>1.3320000000000001</v>
      </c>
      <c r="M55" s="186">
        <v>0.45</v>
      </c>
      <c r="N55" s="171">
        <f t="shared" si="2"/>
        <v>1</v>
      </c>
    </row>
    <row r="56" spans="2:14" ht="16.5" thickBot="1" x14ac:dyDescent="0.3">
      <c r="B56" s="136">
        <v>9</v>
      </c>
      <c r="C56" s="489"/>
      <c r="D56" s="481"/>
      <c r="E56" s="482"/>
      <c r="F56" s="496"/>
      <c r="G56" s="139">
        <v>0.6</v>
      </c>
      <c r="H56" s="178">
        <f>G56/F54</f>
        <v>4</v>
      </c>
      <c r="I56" s="147">
        <v>56.015999999999998</v>
      </c>
      <c r="J56" s="149">
        <v>10.78</v>
      </c>
      <c r="K56" s="172">
        <f>L56/(PI()/4*$F$12^2*$D$12*G56)</f>
        <v>16.992116360714142</v>
      </c>
      <c r="L56" s="172">
        <v>3.27</v>
      </c>
      <c r="M56" s="187">
        <v>1.35</v>
      </c>
      <c r="N56" s="173">
        <f t="shared" si="2"/>
        <v>2.2500000000000004</v>
      </c>
    </row>
    <row r="57" spans="2:14" ht="15.75" x14ac:dyDescent="0.25">
      <c r="B57" s="136">
        <v>10</v>
      </c>
      <c r="C57" s="489"/>
      <c r="D57" s="481"/>
      <c r="E57" s="482"/>
      <c r="F57" s="497">
        <v>0.3</v>
      </c>
      <c r="G57" s="138">
        <v>0.3</v>
      </c>
      <c r="H57" s="179">
        <f>G57/F57</f>
        <v>1</v>
      </c>
      <c r="I57" s="146">
        <v>1.9055</v>
      </c>
      <c r="J57" s="150">
        <v>0.73</v>
      </c>
      <c r="K57" s="168">
        <f>L57/(PI()/4*$F$15^2*$D$12*G57)</f>
        <v>3.0398740278341814</v>
      </c>
      <c r="L57" s="168">
        <v>1.17</v>
      </c>
      <c r="M57" s="185">
        <v>0.35</v>
      </c>
      <c r="N57" s="169">
        <f t="shared" si="2"/>
        <v>1.1666666666666667</v>
      </c>
    </row>
    <row r="58" spans="2:14" ht="15.75" x14ac:dyDescent="0.25">
      <c r="B58" s="136">
        <v>11</v>
      </c>
      <c r="C58" s="489"/>
      <c r="D58" s="481"/>
      <c r="E58" s="482"/>
      <c r="F58" s="498"/>
      <c r="G58" s="136">
        <v>0.45</v>
      </c>
      <c r="H58" s="177">
        <f>G58/F57</f>
        <v>1.5</v>
      </c>
      <c r="I58" s="145">
        <v>6.2960000000000003</v>
      </c>
      <c r="J58" s="148">
        <v>3.63</v>
      </c>
      <c r="K58" s="170">
        <f>L58/(PI()/4*$F$15^2*$D$12*G58)</f>
        <v>3.741383418872839</v>
      </c>
      <c r="L58" s="170">
        <v>2.16</v>
      </c>
      <c r="M58" s="186">
        <v>0.35</v>
      </c>
      <c r="N58" s="171">
        <f t="shared" si="2"/>
        <v>0.77777777777777768</v>
      </c>
    </row>
    <row r="59" spans="2:14" ht="16.5" thickBot="1" x14ac:dyDescent="0.3">
      <c r="B59" s="136">
        <v>12</v>
      </c>
      <c r="C59" s="489"/>
      <c r="D59" s="481"/>
      <c r="E59" s="482"/>
      <c r="F59" s="499"/>
      <c r="G59" s="139">
        <v>0.6</v>
      </c>
      <c r="H59" s="178">
        <f>G59/F57</f>
        <v>2</v>
      </c>
      <c r="I59" s="147">
        <v>15.084</v>
      </c>
      <c r="J59" s="149">
        <v>11.61</v>
      </c>
      <c r="K59" s="172">
        <f>L59/(PI()/4*$F$15^2*$D$12*G59)</f>
        <v>6.0537662263706347</v>
      </c>
      <c r="L59" s="172">
        <v>4.66</v>
      </c>
      <c r="M59" s="187">
        <v>0.5</v>
      </c>
      <c r="N59" s="173">
        <f t="shared" si="2"/>
        <v>0.83333333333333337</v>
      </c>
    </row>
    <row r="64" spans="2:14" ht="15.75" thickBot="1" x14ac:dyDescent="0.3"/>
    <row r="65" spans="2:14" ht="15.75" thickBot="1" x14ac:dyDescent="0.3">
      <c r="B65" s="473" t="s">
        <v>65</v>
      </c>
      <c r="C65" s="474"/>
      <c r="D65" s="474"/>
      <c r="E65" s="475"/>
    </row>
    <row r="67" spans="2:14" ht="15.75" x14ac:dyDescent="0.25">
      <c r="B67" s="503" t="s">
        <v>58</v>
      </c>
      <c r="C67" s="503" t="s">
        <v>71</v>
      </c>
      <c r="D67" s="503" t="s">
        <v>76</v>
      </c>
      <c r="E67" s="503" t="s">
        <v>77</v>
      </c>
      <c r="F67" s="505" t="s">
        <v>73</v>
      </c>
      <c r="G67" s="505" t="s">
        <v>74</v>
      </c>
      <c r="H67" s="503" t="s">
        <v>70</v>
      </c>
      <c r="I67" s="518" t="s">
        <v>60</v>
      </c>
      <c r="J67" s="516"/>
      <c r="K67" s="518" t="s">
        <v>61</v>
      </c>
      <c r="L67" s="516"/>
      <c r="M67" s="502" t="s">
        <v>78</v>
      </c>
      <c r="N67" s="506" t="s">
        <v>79</v>
      </c>
    </row>
    <row r="68" spans="2:14" ht="16.5" thickBot="1" x14ac:dyDescent="0.3">
      <c r="B68" s="507"/>
      <c r="C68" s="507"/>
      <c r="D68" s="507"/>
      <c r="E68" s="507"/>
      <c r="F68" s="504"/>
      <c r="G68" s="504"/>
      <c r="H68" s="504"/>
      <c r="I68" s="153" t="s">
        <v>59</v>
      </c>
      <c r="J68" s="153" t="s">
        <v>75</v>
      </c>
      <c r="K68" s="153" t="s">
        <v>59</v>
      </c>
      <c r="L68" s="153" t="s">
        <v>75</v>
      </c>
      <c r="M68" s="505"/>
      <c r="N68" s="503"/>
    </row>
    <row r="69" spans="2:14" ht="15.75" x14ac:dyDescent="0.25">
      <c r="B69" s="136">
        <v>1</v>
      </c>
      <c r="C69" s="500">
        <v>70</v>
      </c>
      <c r="D69" s="481">
        <v>17.73</v>
      </c>
      <c r="E69" s="501">
        <v>41.28</v>
      </c>
      <c r="F69" s="494">
        <v>0.15</v>
      </c>
      <c r="G69" s="138">
        <v>0.3</v>
      </c>
      <c r="H69" s="179">
        <f>$G69/$F69</f>
        <v>2</v>
      </c>
      <c r="I69" s="146">
        <v>4.62</v>
      </c>
      <c r="J69" s="150">
        <v>0.43</v>
      </c>
      <c r="K69" s="155">
        <f>L69/(PI()/4*$F$6^2*$D$6*G69)</f>
        <v>5.95779611916769</v>
      </c>
      <c r="L69" s="156">
        <v>0.56000000000000005</v>
      </c>
      <c r="M69" s="182">
        <v>0.3</v>
      </c>
      <c r="N69" s="157">
        <f t="shared" ref="N69:N80" si="3">M69/G69</f>
        <v>1</v>
      </c>
    </row>
    <row r="70" spans="2:14" ht="15.75" x14ac:dyDescent="0.25">
      <c r="B70" s="136">
        <v>2</v>
      </c>
      <c r="C70" s="500"/>
      <c r="D70" s="481"/>
      <c r="E70" s="501"/>
      <c r="F70" s="495"/>
      <c r="G70" s="136">
        <v>0.45</v>
      </c>
      <c r="H70" s="177">
        <f>G70/F69</f>
        <v>3</v>
      </c>
      <c r="I70" s="145">
        <f>J70/(PI()/4*$D$69*G70*$F$69^2)</f>
        <v>8.0855804474418633</v>
      </c>
      <c r="J70" s="148">
        <v>1.1399999999999999</v>
      </c>
      <c r="K70" s="158">
        <f>L70/(PI()/4*$F$6^2*$D$6*G70)</f>
        <v>7.4472451489596114</v>
      </c>
      <c r="L70" s="159">
        <v>1.05</v>
      </c>
      <c r="M70" s="183">
        <v>0.35</v>
      </c>
      <c r="N70" s="160">
        <f t="shared" si="3"/>
        <v>0.77777777777777768</v>
      </c>
    </row>
    <row r="71" spans="2:14" ht="16.5" thickBot="1" x14ac:dyDescent="0.3">
      <c r="B71" s="136">
        <v>3</v>
      </c>
      <c r="C71" s="500"/>
      <c r="D71" s="481"/>
      <c r="E71" s="501"/>
      <c r="F71" s="496"/>
      <c r="G71" s="139">
        <v>0.6</v>
      </c>
      <c r="H71" s="178">
        <f>G71/F69</f>
        <v>4</v>
      </c>
      <c r="I71" s="147">
        <v>12.33</v>
      </c>
      <c r="J71" s="149">
        <v>2.3199999999999998</v>
      </c>
      <c r="K71" s="161">
        <f>L71/(PI()/4*$F$6^2*$D$6*G71)</f>
        <v>15.639214812815185</v>
      </c>
      <c r="L71" s="162">
        <v>2.94</v>
      </c>
      <c r="M71" s="184">
        <v>1</v>
      </c>
      <c r="N71" s="163">
        <f t="shared" si="3"/>
        <v>1.6666666666666667</v>
      </c>
    </row>
    <row r="72" spans="2:14" ht="15.75" x14ac:dyDescent="0.25">
      <c r="B72" s="136">
        <v>4</v>
      </c>
      <c r="C72" s="500"/>
      <c r="D72" s="481"/>
      <c r="E72" s="501"/>
      <c r="F72" s="497">
        <v>0.3</v>
      </c>
      <c r="G72" s="138">
        <v>0.3</v>
      </c>
      <c r="H72" s="179">
        <f>$G72/$F72</f>
        <v>1</v>
      </c>
      <c r="I72" s="146">
        <f>J72/(PI()/4*$D$69*G72*$F$72^2)</f>
        <v>1.9150058954467573</v>
      </c>
      <c r="J72" s="150">
        <v>0.72</v>
      </c>
      <c r="K72" s="155">
        <f>L72/(PI()/4*$F$9^2*$D$6*G72)</f>
        <v>2.6597304103427186</v>
      </c>
      <c r="L72" s="156">
        <v>1</v>
      </c>
      <c r="M72" s="182">
        <v>0.25</v>
      </c>
      <c r="N72" s="157">
        <f t="shared" si="3"/>
        <v>0.83333333333333337</v>
      </c>
    </row>
    <row r="73" spans="2:14" ht="15.75" x14ac:dyDescent="0.25">
      <c r="B73" s="136">
        <v>5</v>
      </c>
      <c r="C73" s="500"/>
      <c r="D73" s="481"/>
      <c r="E73" s="501"/>
      <c r="F73" s="498"/>
      <c r="G73" s="136">
        <v>0.45</v>
      </c>
      <c r="H73" s="177">
        <f>G73/F72</f>
        <v>1.5</v>
      </c>
      <c r="I73" s="145">
        <v>3.18</v>
      </c>
      <c r="J73" s="148">
        <v>1.79</v>
      </c>
      <c r="K73" s="158">
        <f>L73/(PI()/4*$F$9^2*$D$6*G73)</f>
        <v>3.4399179973765821</v>
      </c>
      <c r="L73" s="159">
        <v>1.94</v>
      </c>
      <c r="M73" s="183">
        <v>0.4</v>
      </c>
      <c r="N73" s="160">
        <f t="shared" si="3"/>
        <v>0.88888888888888895</v>
      </c>
    </row>
    <row r="74" spans="2:14" ht="16.5" thickBot="1" x14ac:dyDescent="0.3">
      <c r="B74" s="136">
        <v>6</v>
      </c>
      <c r="C74" s="500"/>
      <c r="D74" s="481"/>
      <c r="E74" s="501"/>
      <c r="F74" s="499"/>
      <c r="G74" s="139">
        <v>0.6</v>
      </c>
      <c r="H74" s="178">
        <f>G74/F72</f>
        <v>2</v>
      </c>
      <c r="I74" s="147">
        <v>4.62</v>
      </c>
      <c r="J74" s="149">
        <v>3.47</v>
      </c>
      <c r="K74" s="161">
        <f>L74/(PI()/4*$F$9^2*$D$6*G74)</f>
        <v>5.4657459932542869</v>
      </c>
      <c r="L74" s="162">
        <v>4.1100000000000003</v>
      </c>
      <c r="M74" s="184">
        <v>0.5</v>
      </c>
      <c r="N74" s="163">
        <f t="shared" si="3"/>
        <v>0.83333333333333337</v>
      </c>
    </row>
    <row r="75" spans="2:14" ht="15.75" x14ac:dyDescent="0.25">
      <c r="B75" s="137">
        <v>7</v>
      </c>
      <c r="C75" s="489">
        <v>85</v>
      </c>
      <c r="D75" s="493">
        <v>18.149999999999999</v>
      </c>
      <c r="E75" s="482">
        <v>46.45</v>
      </c>
      <c r="F75" s="494">
        <v>0.15</v>
      </c>
      <c r="G75" s="138">
        <v>0.3</v>
      </c>
      <c r="H75" s="179">
        <f>$G75/$F75</f>
        <v>2</v>
      </c>
      <c r="I75" s="146">
        <v>5.59</v>
      </c>
      <c r="J75" s="150">
        <v>0.54</v>
      </c>
      <c r="K75" s="155">
        <f>L75/(PI()/4*$F$12^2*$D$12*G75)</f>
        <v>6.9631302517911173</v>
      </c>
      <c r="L75" s="156">
        <v>0.67</v>
      </c>
      <c r="M75" s="182">
        <v>0.45</v>
      </c>
      <c r="N75" s="157">
        <f t="shared" si="3"/>
        <v>1.5</v>
      </c>
    </row>
    <row r="76" spans="2:14" ht="15.75" x14ac:dyDescent="0.25">
      <c r="B76" s="136">
        <v>8</v>
      </c>
      <c r="C76" s="489"/>
      <c r="D76" s="481"/>
      <c r="E76" s="482"/>
      <c r="F76" s="495"/>
      <c r="G76" s="136">
        <v>0.45</v>
      </c>
      <c r="H76" s="177">
        <f>G76/F75</f>
        <v>3</v>
      </c>
      <c r="I76" s="145">
        <v>9.9</v>
      </c>
      <c r="J76" s="148">
        <v>1.43</v>
      </c>
      <c r="K76" s="158">
        <f>L76/(PI()/4*$F$12^2*$D$12*G76)</f>
        <v>9.2287457665530024</v>
      </c>
      <c r="L76" s="159">
        <v>1.3320000000000001</v>
      </c>
      <c r="M76" s="183">
        <v>0.45</v>
      </c>
      <c r="N76" s="160">
        <f t="shared" si="3"/>
        <v>1</v>
      </c>
    </row>
    <row r="77" spans="2:14" ht="16.5" thickBot="1" x14ac:dyDescent="0.3">
      <c r="B77" s="136">
        <v>9</v>
      </c>
      <c r="C77" s="489"/>
      <c r="D77" s="481"/>
      <c r="E77" s="482"/>
      <c r="F77" s="496"/>
      <c r="G77" s="139">
        <v>0.6</v>
      </c>
      <c r="H77" s="178">
        <f>G77/F75</f>
        <v>4</v>
      </c>
      <c r="I77" s="147">
        <v>15.24</v>
      </c>
      <c r="J77" s="149">
        <v>2.93</v>
      </c>
      <c r="K77" s="161">
        <f>L77/(PI()/4*$F$12^2*$D$12*G77)</f>
        <v>16.992116360714142</v>
      </c>
      <c r="L77" s="162">
        <v>3.27</v>
      </c>
      <c r="M77" s="184">
        <v>1.35</v>
      </c>
      <c r="N77" s="163">
        <f t="shared" si="3"/>
        <v>2.2500000000000004</v>
      </c>
    </row>
    <row r="78" spans="2:14" ht="15.75" x14ac:dyDescent="0.25">
      <c r="B78" s="136">
        <v>10</v>
      </c>
      <c r="C78" s="489"/>
      <c r="D78" s="481"/>
      <c r="E78" s="482"/>
      <c r="F78" s="497">
        <v>0.3</v>
      </c>
      <c r="G78" s="138">
        <v>0.3</v>
      </c>
      <c r="H78" s="179">
        <f>G78/F78</f>
        <v>1</v>
      </c>
      <c r="I78" s="146">
        <v>2.2799999999999998</v>
      </c>
      <c r="J78" s="150">
        <v>0.88</v>
      </c>
      <c r="K78" s="155">
        <f>L78/(PI()/4*$F$15^2*$D$12*G78)</f>
        <v>3.0398740278341814</v>
      </c>
      <c r="L78" s="156">
        <v>1.17</v>
      </c>
      <c r="M78" s="182">
        <v>0.35</v>
      </c>
      <c r="N78" s="157">
        <f t="shared" si="3"/>
        <v>1.1666666666666667</v>
      </c>
    </row>
    <row r="79" spans="2:14" ht="15.75" x14ac:dyDescent="0.25">
      <c r="B79" s="136">
        <v>11</v>
      </c>
      <c r="C79" s="489"/>
      <c r="D79" s="481"/>
      <c r="E79" s="482"/>
      <c r="F79" s="498"/>
      <c r="G79" s="136">
        <v>0.45</v>
      </c>
      <c r="H79" s="177">
        <f>G79/F78</f>
        <v>1.5</v>
      </c>
      <c r="I79" s="145">
        <f>J79/(PI()/4*$D$75*G79*$F$78^2)</f>
        <v>3.8106682970001136</v>
      </c>
      <c r="J79" s="181">
        <v>2.2000000000000002</v>
      </c>
      <c r="K79" s="158">
        <f>L79/(PI()/4*$F$15^2*$D$12*G79)</f>
        <v>3.741383418872839</v>
      </c>
      <c r="L79" s="159">
        <v>2.16</v>
      </c>
      <c r="M79" s="183">
        <v>0.35</v>
      </c>
      <c r="N79" s="160">
        <f t="shared" si="3"/>
        <v>0.77777777777777768</v>
      </c>
    </row>
    <row r="80" spans="2:14" ht="16.5" thickBot="1" x14ac:dyDescent="0.3">
      <c r="B80" s="136">
        <v>12</v>
      </c>
      <c r="C80" s="489"/>
      <c r="D80" s="481"/>
      <c r="E80" s="482"/>
      <c r="F80" s="499"/>
      <c r="G80" s="139">
        <v>0.6</v>
      </c>
      <c r="H80" s="178">
        <f>G80/F78</f>
        <v>2</v>
      </c>
      <c r="I80" s="147">
        <f>J80/(PI()/4*$D$75*G80*$F$78^2)</f>
        <v>5.5860932990115302</v>
      </c>
      <c r="J80" s="149">
        <v>4.3</v>
      </c>
      <c r="K80" s="161">
        <f>L80/(PI()/4*$F$15^2*$D$12*G80)</f>
        <v>6.0537662263706347</v>
      </c>
      <c r="L80" s="162">
        <v>4.66</v>
      </c>
      <c r="M80" s="184">
        <v>0.5</v>
      </c>
      <c r="N80" s="163">
        <f t="shared" si="3"/>
        <v>0.83333333333333337</v>
      </c>
    </row>
    <row r="87" spans="2:14" ht="15.75" thickBot="1" x14ac:dyDescent="0.3"/>
    <row r="88" spans="2:14" ht="15.75" thickBot="1" x14ac:dyDescent="0.3">
      <c r="B88" s="476" t="s">
        <v>66</v>
      </c>
      <c r="C88" s="477"/>
      <c r="D88" s="477"/>
      <c r="E88" s="478"/>
    </row>
    <row r="90" spans="2:14" ht="15.75" x14ac:dyDescent="0.25">
      <c r="B90" s="503" t="s">
        <v>58</v>
      </c>
      <c r="C90" s="503" t="s">
        <v>71</v>
      </c>
      <c r="D90" s="503" t="s">
        <v>76</v>
      </c>
      <c r="E90" s="503" t="s">
        <v>77</v>
      </c>
      <c r="F90" s="505" t="s">
        <v>73</v>
      </c>
      <c r="G90" s="502" t="s">
        <v>74</v>
      </c>
      <c r="H90" s="503" t="s">
        <v>70</v>
      </c>
      <c r="I90" s="519" t="s">
        <v>60</v>
      </c>
      <c r="J90" s="516"/>
      <c r="K90" s="518" t="s">
        <v>61</v>
      </c>
      <c r="L90" s="516"/>
      <c r="M90" s="502" t="s">
        <v>78</v>
      </c>
      <c r="N90" s="506" t="s">
        <v>79</v>
      </c>
    </row>
    <row r="91" spans="2:14" ht="16.5" thickBot="1" x14ac:dyDescent="0.3">
      <c r="B91" s="507"/>
      <c r="C91" s="507"/>
      <c r="D91" s="507"/>
      <c r="E91" s="507"/>
      <c r="F91" s="504"/>
      <c r="G91" s="503"/>
      <c r="H91" s="504"/>
      <c r="I91" s="151" t="s">
        <v>59</v>
      </c>
      <c r="J91" s="153" t="s">
        <v>75</v>
      </c>
      <c r="K91" s="151" t="s">
        <v>59</v>
      </c>
      <c r="L91" s="152" t="s">
        <v>75</v>
      </c>
      <c r="M91" s="505"/>
      <c r="N91" s="503"/>
    </row>
    <row r="92" spans="2:14" ht="15.75" x14ac:dyDescent="0.25">
      <c r="B92" s="175">
        <v>1</v>
      </c>
      <c r="C92" s="489">
        <v>70</v>
      </c>
      <c r="D92" s="481">
        <v>17.73</v>
      </c>
      <c r="E92" s="490">
        <v>41.28</v>
      </c>
      <c r="F92" s="483">
        <v>0.15</v>
      </c>
      <c r="G92" s="138">
        <v>0.3</v>
      </c>
      <c r="H92" s="179">
        <f>$G92/$F92</f>
        <v>2</v>
      </c>
      <c r="I92" s="146">
        <v>6.25</v>
      </c>
      <c r="J92" s="150">
        <v>0.59</v>
      </c>
      <c r="K92" s="168">
        <f>L92/(PI()/4*$F$6^2*$D$6*G92)</f>
        <v>5.95779611916769</v>
      </c>
      <c r="L92" s="168">
        <v>0.56000000000000005</v>
      </c>
      <c r="M92" s="185">
        <v>0.3</v>
      </c>
      <c r="N92" s="169">
        <f t="shared" ref="N92:N103" si="4">M92/G92</f>
        <v>1</v>
      </c>
    </row>
    <row r="93" spans="2:14" ht="15.75" x14ac:dyDescent="0.25">
      <c r="B93" s="175">
        <v>2</v>
      </c>
      <c r="C93" s="489"/>
      <c r="D93" s="481"/>
      <c r="E93" s="490"/>
      <c r="F93" s="484"/>
      <c r="G93" s="136">
        <v>0.45</v>
      </c>
      <c r="H93" s="177">
        <f>G93/F92</f>
        <v>3</v>
      </c>
      <c r="I93" s="145">
        <v>11.76</v>
      </c>
      <c r="J93" s="148">
        <v>1.66</v>
      </c>
      <c r="K93" s="170">
        <f>L93/(PI()/4*$F$6^2*$D$6*G93)</f>
        <v>7.4472451489596114</v>
      </c>
      <c r="L93" s="170">
        <v>1.05</v>
      </c>
      <c r="M93" s="186">
        <v>0.35</v>
      </c>
      <c r="N93" s="171">
        <f t="shared" si="4"/>
        <v>0.77777777777777768</v>
      </c>
    </row>
    <row r="94" spans="2:14" ht="16.5" thickBot="1" x14ac:dyDescent="0.3">
      <c r="B94" s="175">
        <v>3</v>
      </c>
      <c r="C94" s="489"/>
      <c r="D94" s="481"/>
      <c r="E94" s="490"/>
      <c r="F94" s="485"/>
      <c r="G94" s="139">
        <v>0.6</v>
      </c>
      <c r="H94" s="178">
        <f>G94/F92</f>
        <v>4</v>
      </c>
      <c r="I94" s="147">
        <v>17.05</v>
      </c>
      <c r="J94" s="149">
        <v>3.21</v>
      </c>
      <c r="K94" s="172">
        <f>L94/(PI()/4*$F$6^2*$D$6*G94)</f>
        <v>15.639214812815185</v>
      </c>
      <c r="L94" s="172">
        <v>2.94</v>
      </c>
      <c r="M94" s="187">
        <v>1</v>
      </c>
      <c r="N94" s="173">
        <f t="shared" si="4"/>
        <v>1.6666666666666667</v>
      </c>
    </row>
    <row r="95" spans="2:14" ht="15.75" x14ac:dyDescent="0.25">
      <c r="B95" s="175">
        <v>4</v>
      </c>
      <c r="C95" s="489"/>
      <c r="D95" s="481"/>
      <c r="E95" s="490"/>
      <c r="F95" s="492">
        <v>0.3</v>
      </c>
      <c r="G95" s="138">
        <v>0.3</v>
      </c>
      <c r="H95" s="179">
        <f>$G95/$F95</f>
        <v>1</v>
      </c>
      <c r="I95" s="146">
        <v>3.125</v>
      </c>
      <c r="J95" s="150">
        <v>1.17</v>
      </c>
      <c r="K95" s="168">
        <f>L95/(PI()/4*$F$9^2*$D$6*G95)</f>
        <v>2.6597304103427186</v>
      </c>
      <c r="L95" s="168">
        <v>1</v>
      </c>
      <c r="M95" s="185">
        <v>0.25</v>
      </c>
      <c r="N95" s="169">
        <f t="shared" si="4"/>
        <v>0.83333333333333337</v>
      </c>
    </row>
    <row r="96" spans="2:14" ht="15.75" x14ac:dyDescent="0.25">
      <c r="B96" s="175">
        <v>5</v>
      </c>
      <c r="C96" s="489"/>
      <c r="D96" s="481"/>
      <c r="E96" s="490"/>
      <c r="F96" s="487"/>
      <c r="G96" s="136">
        <v>0.45</v>
      </c>
      <c r="H96" s="177">
        <f>G96/F95</f>
        <v>1.5</v>
      </c>
      <c r="I96" s="145">
        <v>5</v>
      </c>
      <c r="J96" s="148">
        <v>2.82</v>
      </c>
      <c r="K96" s="170">
        <f>L96/(PI()/4*$F$9^2*$D$6*G96)</f>
        <v>3.4399179973765821</v>
      </c>
      <c r="L96" s="170">
        <v>1.94</v>
      </c>
      <c r="M96" s="186">
        <v>0.4</v>
      </c>
      <c r="N96" s="171">
        <f t="shared" si="4"/>
        <v>0.88888888888888895</v>
      </c>
    </row>
    <row r="97" spans="2:14" ht="16.5" thickBot="1" x14ac:dyDescent="0.3">
      <c r="B97" s="180">
        <v>6</v>
      </c>
      <c r="C97" s="489"/>
      <c r="D97" s="481"/>
      <c r="E97" s="491"/>
      <c r="F97" s="488"/>
      <c r="G97" s="139">
        <v>0.6</v>
      </c>
      <c r="H97" s="178">
        <f>G97/F95</f>
        <v>2</v>
      </c>
      <c r="I97" s="147">
        <v>6.25</v>
      </c>
      <c r="J97" s="167">
        <v>4.7</v>
      </c>
      <c r="K97" s="172">
        <f>L97/(PI()/4*$F$9^2*$D$6*G97)</f>
        <v>5.4657459932542869</v>
      </c>
      <c r="L97" s="172">
        <v>4.1100000000000003</v>
      </c>
      <c r="M97" s="187">
        <v>0.5</v>
      </c>
      <c r="N97" s="173">
        <f t="shared" si="4"/>
        <v>0.83333333333333337</v>
      </c>
    </row>
    <row r="98" spans="2:14" ht="15.75" x14ac:dyDescent="0.25">
      <c r="B98" s="136">
        <v>7</v>
      </c>
      <c r="C98" s="479">
        <v>85</v>
      </c>
      <c r="D98" s="481">
        <v>18.149999999999999</v>
      </c>
      <c r="E98" s="482">
        <v>46.45</v>
      </c>
      <c r="F98" s="483">
        <v>0.15</v>
      </c>
      <c r="G98" s="138">
        <v>0.3</v>
      </c>
      <c r="H98" s="179">
        <f>$G98/$F98</f>
        <v>2</v>
      </c>
      <c r="I98" s="146">
        <v>7.5</v>
      </c>
      <c r="J98" s="150">
        <v>0.72</v>
      </c>
      <c r="K98" s="168">
        <f>L98/(PI()/4*$F$12^2*$D$12*G98)</f>
        <v>6.9631302517911173</v>
      </c>
      <c r="L98" s="168">
        <v>0.67</v>
      </c>
      <c r="M98" s="185">
        <v>0.45</v>
      </c>
      <c r="N98" s="169">
        <f t="shared" si="4"/>
        <v>1.5</v>
      </c>
    </row>
    <row r="99" spans="2:14" ht="15.75" x14ac:dyDescent="0.25">
      <c r="B99" s="136">
        <v>8</v>
      </c>
      <c r="C99" s="480"/>
      <c r="D99" s="481"/>
      <c r="E99" s="482"/>
      <c r="F99" s="484"/>
      <c r="G99" s="136">
        <v>0.45</v>
      </c>
      <c r="H99" s="177">
        <f>G99/F98</f>
        <v>3</v>
      </c>
      <c r="I99" s="145">
        <v>12.35</v>
      </c>
      <c r="J99" s="148">
        <v>1.78</v>
      </c>
      <c r="K99" s="170">
        <f>L99/(PI()/4*$F$12^2*$D$12*G99)</f>
        <v>9.2287457665530024</v>
      </c>
      <c r="L99" s="170">
        <v>1.3320000000000001</v>
      </c>
      <c r="M99" s="186">
        <v>0.45</v>
      </c>
      <c r="N99" s="171">
        <f t="shared" si="4"/>
        <v>1</v>
      </c>
    </row>
    <row r="100" spans="2:14" ht="16.5" thickBot="1" x14ac:dyDescent="0.3">
      <c r="B100" s="136">
        <v>9</v>
      </c>
      <c r="C100" s="480"/>
      <c r="D100" s="481"/>
      <c r="E100" s="482"/>
      <c r="F100" s="485"/>
      <c r="G100" s="139">
        <v>0.6</v>
      </c>
      <c r="H100" s="178">
        <f>G100/F98</f>
        <v>4</v>
      </c>
      <c r="I100" s="147">
        <v>18.23</v>
      </c>
      <c r="J100" s="149">
        <v>3.51</v>
      </c>
      <c r="K100" s="172">
        <f>L100/(PI()/4*$F$12^2*$D$12*G100)</f>
        <v>16.992116360714142</v>
      </c>
      <c r="L100" s="172">
        <v>3.27</v>
      </c>
      <c r="M100" s="187">
        <v>1.35</v>
      </c>
      <c r="N100" s="173">
        <f t="shared" si="4"/>
        <v>2.2500000000000004</v>
      </c>
    </row>
    <row r="101" spans="2:14" ht="15.75" x14ac:dyDescent="0.25">
      <c r="B101" s="136">
        <v>10</v>
      </c>
      <c r="C101" s="480"/>
      <c r="D101" s="481"/>
      <c r="E101" s="482"/>
      <c r="F101" s="486">
        <v>0.3</v>
      </c>
      <c r="G101" s="137">
        <v>0.3</v>
      </c>
      <c r="H101" s="176">
        <f>G101/F101</f>
        <v>1</v>
      </c>
      <c r="I101" s="145">
        <v>3.75</v>
      </c>
      <c r="J101" s="148">
        <v>1.44</v>
      </c>
      <c r="K101" s="170">
        <f>L101/(PI()/4*$F$15^2*$D$12*G101)</f>
        <v>3.0398740278341814</v>
      </c>
      <c r="L101" s="170">
        <v>1.17</v>
      </c>
      <c r="M101" s="188">
        <v>0.35</v>
      </c>
      <c r="N101" s="174">
        <f t="shared" si="4"/>
        <v>1.1666666666666667</v>
      </c>
    </row>
    <row r="102" spans="2:14" ht="15.75" x14ac:dyDescent="0.25">
      <c r="B102" s="136">
        <v>11</v>
      </c>
      <c r="C102" s="480"/>
      <c r="D102" s="481"/>
      <c r="E102" s="482"/>
      <c r="F102" s="487"/>
      <c r="G102" s="136">
        <v>0.45</v>
      </c>
      <c r="H102" s="177">
        <f>G102/F101</f>
        <v>1.5</v>
      </c>
      <c r="I102" s="145">
        <v>5.625</v>
      </c>
      <c r="J102" s="148">
        <v>3.25</v>
      </c>
      <c r="K102" s="170">
        <f>L102/(PI()/4*$F$15^2*$D$12*G102)</f>
        <v>3.741383418872839</v>
      </c>
      <c r="L102" s="170">
        <v>2.16</v>
      </c>
      <c r="M102" s="186">
        <v>0.35</v>
      </c>
      <c r="N102" s="171">
        <f t="shared" si="4"/>
        <v>0.77777777777777768</v>
      </c>
    </row>
    <row r="103" spans="2:14" ht="16.5" thickBot="1" x14ac:dyDescent="0.3">
      <c r="B103" s="136">
        <v>12</v>
      </c>
      <c r="C103" s="480"/>
      <c r="D103" s="481"/>
      <c r="E103" s="482"/>
      <c r="F103" s="488"/>
      <c r="G103" s="139">
        <v>0.6</v>
      </c>
      <c r="H103" s="178">
        <f>G103/F101</f>
        <v>2</v>
      </c>
      <c r="I103" s="147">
        <v>7.5</v>
      </c>
      <c r="J103" s="149">
        <v>5.77</v>
      </c>
      <c r="K103" s="172">
        <f>L103/(PI()/4*$F$15^2*$D$12*G103)</f>
        <v>6.0537662263706347</v>
      </c>
      <c r="L103" s="172">
        <v>4.66</v>
      </c>
      <c r="M103" s="187">
        <v>0.5</v>
      </c>
      <c r="N103" s="173">
        <f t="shared" si="4"/>
        <v>0.83333333333333337</v>
      </c>
    </row>
  </sheetData>
  <mergeCells count="114">
    <mergeCell ref="I90:J90"/>
    <mergeCell ref="K90:L90"/>
    <mergeCell ref="I67:J67"/>
    <mergeCell ref="K67:L67"/>
    <mergeCell ref="Q1:S1"/>
    <mergeCell ref="V1:X1"/>
    <mergeCell ref="H4:H5"/>
    <mergeCell ref="M4:M5"/>
    <mergeCell ref="N4:N5"/>
    <mergeCell ref="B2:E2"/>
    <mergeCell ref="F9:F11"/>
    <mergeCell ref="C12:C17"/>
    <mergeCell ref="D12:D17"/>
    <mergeCell ref="E12:E17"/>
    <mergeCell ref="F12:F14"/>
    <mergeCell ref="F15:F17"/>
    <mergeCell ref="G4:G5"/>
    <mergeCell ref="C6:C11"/>
    <mergeCell ref="D6:D11"/>
    <mergeCell ref="E6:E11"/>
    <mergeCell ref="F6:F8"/>
    <mergeCell ref="G25:G26"/>
    <mergeCell ref="H25:H26"/>
    <mergeCell ref="M25:M26"/>
    <mergeCell ref="N25:N26"/>
    <mergeCell ref="I25:J25"/>
    <mergeCell ref="K25:L25"/>
    <mergeCell ref="B4:B5"/>
    <mergeCell ref="C4:C5"/>
    <mergeCell ref="D4:D5"/>
    <mergeCell ref="E4:E5"/>
    <mergeCell ref="F4:F5"/>
    <mergeCell ref="I4:J4"/>
    <mergeCell ref="K4:L4"/>
    <mergeCell ref="B23:D23"/>
    <mergeCell ref="C27:C32"/>
    <mergeCell ref="D27:D32"/>
    <mergeCell ref="E27:E32"/>
    <mergeCell ref="F27:F29"/>
    <mergeCell ref="F30:F32"/>
    <mergeCell ref="B25:B26"/>
    <mergeCell ref="C25:C26"/>
    <mergeCell ref="D25:D26"/>
    <mergeCell ref="E25:E26"/>
    <mergeCell ref="F25:F26"/>
    <mergeCell ref="B46:B47"/>
    <mergeCell ref="C46:C47"/>
    <mergeCell ref="D46:D47"/>
    <mergeCell ref="E46:E47"/>
    <mergeCell ref="F46:F47"/>
    <mergeCell ref="I46:J46"/>
    <mergeCell ref="K46:L46"/>
    <mergeCell ref="C33:C38"/>
    <mergeCell ref="D33:D38"/>
    <mergeCell ref="E33:E38"/>
    <mergeCell ref="F33:F35"/>
    <mergeCell ref="F36:F38"/>
    <mergeCell ref="C48:C53"/>
    <mergeCell ref="D48:D53"/>
    <mergeCell ref="E48:E53"/>
    <mergeCell ref="F48:F50"/>
    <mergeCell ref="F51:F53"/>
    <mergeCell ref="G46:G47"/>
    <mergeCell ref="H46:H47"/>
    <mergeCell ref="M46:M47"/>
    <mergeCell ref="N46:N47"/>
    <mergeCell ref="F72:F74"/>
    <mergeCell ref="C54:C59"/>
    <mergeCell ref="G90:G91"/>
    <mergeCell ref="H90:H91"/>
    <mergeCell ref="M90:M91"/>
    <mergeCell ref="N90:N91"/>
    <mergeCell ref="B90:B91"/>
    <mergeCell ref="C90:C91"/>
    <mergeCell ref="D90:D91"/>
    <mergeCell ref="E90:E91"/>
    <mergeCell ref="F90:F91"/>
    <mergeCell ref="G67:G68"/>
    <mergeCell ref="H67:H68"/>
    <mergeCell ref="M67:M68"/>
    <mergeCell ref="N67:N68"/>
    <mergeCell ref="B67:B68"/>
    <mergeCell ref="C67:C68"/>
    <mergeCell ref="D67:D68"/>
    <mergeCell ref="E67:E68"/>
    <mergeCell ref="F67:F68"/>
    <mergeCell ref="D54:D59"/>
    <mergeCell ref="E54:E59"/>
    <mergeCell ref="F54:F56"/>
    <mergeCell ref="F57:F59"/>
    <mergeCell ref="AA1:AC1"/>
    <mergeCell ref="AF1:AH1"/>
    <mergeCell ref="B44:E44"/>
    <mergeCell ref="B65:E65"/>
    <mergeCell ref="B88:E88"/>
    <mergeCell ref="C98:C103"/>
    <mergeCell ref="D98:D103"/>
    <mergeCell ref="E98:E103"/>
    <mergeCell ref="F98:F100"/>
    <mergeCell ref="F101:F103"/>
    <mergeCell ref="C92:C97"/>
    <mergeCell ref="D92:D97"/>
    <mergeCell ref="E92:E97"/>
    <mergeCell ref="F92:F94"/>
    <mergeCell ref="F95:F97"/>
    <mergeCell ref="C75:C80"/>
    <mergeCell ref="D75:D80"/>
    <mergeCell ref="E75:E80"/>
    <mergeCell ref="F75:F77"/>
    <mergeCell ref="F78:F80"/>
    <mergeCell ref="C69:C74"/>
    <mergeCell ref="D69:D74"/>
    <mergeCell ref="E69:E74"/>
    <mergeCell ref="F69:F7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PHASE1</vt:lpstr>
      <vt:lpstr>PHASE1.0</vt:lpstr>
      <vt:lpstr>1) Meyerhof &amp; Adams </vt:lpstr>
      <vt:lpstr>2) Balla's Theory</vt:lpstr>
      <vt:lpstr> 3) Downs and Chieurzzi</vt:lpstr>
      <vt:lpstr>4)Veesaert &amp; Clemence's Theory </vt:lpstr>
      <vt:lpstr>5) Saeedy's Theory 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PCD</dc:creator>
  <cp:lastModifiedBy>PCD</cp:lastModifiedBy>
  <dcterms:created xsi:type="dcterms:W3CDTF">2017-12-01T16:14:09Z</dcterms:created>
  <dcterms:modified xsi:type="dcterms:W3CDTF">2018-03-13T22:27:02Z</dcterms:modified>
</cp:coreProperties>
</file>